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8_{C93EA676-4E9C-4D00-869F-F8F2E790FF7B}" xr6:coauthVersionLast="47" xr6:coauthVersionMax="47" xr10:uidLastSave="{00000000-0000-0000-0000-000000000000}"/>
  <bookViews>
    <workbookView xWindow="-110" yWindow="-110" windowWidth="19420" windowHeight="1162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9" i="8" l="1"/>
  <c r="J63" i="9"/>
  <c r="K428" i="8"/>
  <c r="K434" i="9"/>
  <c r="L16" i="8"/>
  <c r="K366" i="8"/>
  <c r="K372" i="9"/>
  <c r="K375" i="2"/>
  <c r="K472" i="10"/>
  <c r="J468" i="9"/>
  <c r="K459" i="9"/>
  <c r="K387" i="2"/>
  <c r="K481" i="10"/>
  <c r="K482" i="10"/>
  <c r="K188" i="10"/>
  <c r="K754" i="10"/>
  <c r="K432" i="10"/>
  <c r="J433" i="10"/>
  <c r="K524" i="10"/>
  <c r="K523" i="10"/>
  <c r="K517" i="10"/>
  <c r="K522" i="10"/>
  <c r="K525" i="10"/>
  <c r="K543" i="10"/>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13" i="10"/>
  <c r="K519" i="10"/>
  <c r="K613" i="10"/>
  <c r="K242" i="8" l="1"/>
  <c r="J243" i="8"/>
  <c r="K238" i="8"/>
  <c r="K248" i="9"/>
  <c r="K244" i="9"/>
  <c r="K161" i="10"/>
  <c r="K156" i="10"/>
  <c r="K804" i="10"/>
  <c r="K799" i="10"/>
  <c r="L482" i="10"/>
  <c r="K477" i="10"/>
  <c r="CJ61" i="12"/>
  <c r="CF61" i="12"/>
  <c r="CB61" i="12"/>
  <c r="CI60" i="12"/>
  <c r="CE60"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K357" i="2"/>
  <c r="L357" i="2" s="1"/>
  <c r="K235" i="8"/>
  <c r="L235" i="8" s="1"/>
  <c r="K150" i="10"/>
  <c r="L150" i="10" s="1"/>
  <c r="K793" i="10"/>
  <c r="L793" i="10" s="1"/>
  <c r="K234" i="8"/>
  <c r="L234" i="8" s="1"/>
  <c r="K794" i="10"/>
  <c r="L794" i="10" s="1"/>
  <c r="L472" i="10"/>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B64" i="11" l="1"/>
  <c r="K519" i="8"/>
  <c r="K520" i="8"/>
  <c r="K513" i="8"/>
  <c r="K521" i="8"/>
  <c r="K516" i="8"/>
  <c r="K511" i="8"/>
  <c r="K507" i="8"/>
  <c r="K510" i="8"/>
  <c r="K512" i="8"/>
  <c r="K504" i="8"/>
  <c r="K508" i="8"/>
  <c r="L481" i="10"/>
  <c r="K803" i="10"/>
  <c r="L512" i="8"/>
  <c r="AT19" i="12" s="1"/>
  <c r="L519" i="8"/>
  <c r="L513" i="8"/>
  <c r="L510" i="8"/>
  <c r="AL19" i="12" s="1"/>
  <c r="L516" i="8"/>
  <c r="K518" i="8"/>
  <c r="L518" i="8" s="1"/>
  <c r="L508" i="8"/>
  <c r="AO18" i="12" s="1"/>
  <c r="K509" i="8"/>
  <c r="L509" i="8" s="1"/>
  <c r="AS18" i="12" s="1"/>
  <c r="K514" i="8"/>
  <c r="L514" i="8" s="1"/>
  <c r="K515" i="8"/>
  <c r="L515" i="8" s="1"/>
  <c r="K505" i="8"/>
  <c r="L505" i="8" s="1"/>
  <c r="AN17" i="12" s="1"/>
  <c r="K506" i="8"/>
  <c r="L506" i="8" s="1"/>
  <c r="AR17" i="12"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L375" i="2"/>
  <c r="K367" i="8"/>
  <c r="L367" i="8" s="1"/>
  <c r="L372" i="9"/>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L366" i="8"/>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473" i="10" l="1"/>
  <c r="K478" i="10"/>
  <c r="K483" i="10"/>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382"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88" i="9" l="1"/>
  <c r="L388" i="9" s="1"/>
  <c r="K421" i="8"/>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L382" i="8"/>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81" i="8" l="1"/>
  <c r="L381" i="8"/>
  <c r="K386" i="8" s="1"/>
  <c r="K387" i="9"/>
  <c r="L387" i="9" s="1"/>
  <c r="K466" i="9" s="1"/>
  <c r="K460" i="8"/>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L466" i="9"/>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6" i="8" s="1"/>
  <c r="K427" i="8"/>
  <c r="L427" i="8" s="1"/>
  <c r="L460" i="8"/>
  <c r="L386" i="8"/>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3" i="8" l="1"/>
  <c r="L433" i="8" s="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23"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L423" i="8"/>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63"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L428" i="8"/>
  <c r="K470" i="9"/>
  <c r="L470" i="9" s="1"/>
  <c r="K468" i="9"/>
  <c r="L468" i="9" s="1"/>
  <c r="L463" i="9"/>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L434" i="9" l="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846" i="10" l="1"/>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L478" i="10"/>
  <c r="K474" i="10" s="1"/>
  <c r="K566" i="10"/>
  <c r="L566" i="10" s="1"/>
  <c r="L473" i="10"/>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L474" i="10"/>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<sst xmlns="http://schemas.openxmlformats.org/spreadsheetml/2006/main" count="26933" uniqueCount="4777">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</sst>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1">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
      <patternFill patternType="solid">
        <fgColor rgb="FFFFFF00"/>
        <bgColor indexed="64"/>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10">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11" fontId="0" fillId="20" borderId="0" xfId="0" applyNumberFormat="1" applyFill="1"/>
    <xf numFmtId="11" fontId="40" fillId="7"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1.4560811062028685E-7</c:v>
                </c:pt>
                <c:pt idx="1">
                  <c:v>1.7155035753715938E-8</c:v>
                </c:pt>
                <c:pt idx="2">
                  <c:v>1.2747104934705667E-9</c:v>
                </c:pt>
                <c:pt idx="3">
                  <c:v>5.589759351863442E-10</c:v>
                </c:pt>
                <c:pt idx="4">
                  <c:v>3.2880808061849706E-10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6.6876908921706771E-8</c:v>
                </c:pt>
                <c:pt idx="1">
                  <c:v>2.2537773495564633E-9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6.2758283409592951E-5</c:v>
                </c:pt>
                <c:pt idx="1">
                  <c:v>4.6126448825175887E-8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6.5480731391255922E-7</c:v>
                </c:pt>
                <c:pt idx="1">
                  <c:v>1.1118870848441962E-11</c:v>
                </c:pt>
                <c:pt idx="2">
                  <c:v>1.4309572766197927E-12</c:v>
                </c:pt>
                <c:pt idx="3">
                  <c:v>5.7800841370184332E-13</c:v>
                </c:pt>
                <c:pt idx="4">
                  <c:v>3.899752692748859E-13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1.0081833469495622E-15</c:v>
                </c:pt>
                <c:pt idx="3">
                  <c:v>4.4004035124404078E-16</c:v>
                </c:pt>
                <c:pt idx="4">
                  <c:v>2.5076523356419653E-16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3.2882457854055741E-7</c:v>
                </c:pt>
                <c:pt idx="1">
                  <c:v>1.9210752695562737E-8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1.1412474135085587E-6</c:v>
                </c:pt>
                <c:pt idx="1">
                  <c:v>4.8780162502544574E-9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3.288323480147964E-7</c:v>
                </c:pt>
                <c:pt idx="1">
                  <c:v>1.9210803846170376E-8</c:v>
                </c:pt>
                <c:pt idx="2">
                  <c:v>1.3448603165864585E-9</c:v>
                </c:pt>
                <c:pt idx="3">
                  <c:v>4.9098969211040951E-10</c:v>
                </c:pt>
                <c:pt idx="4">
                  <c:v>3.8802502935505616E-10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6.2370290388170148E-7</c:v>
                </c:pt>
                <c:pt idx="1">
                  <c:v>2.1023213957190612E-8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4.8907909734852259E-4</c:v>
                </c:pt>
                <c:pt idx="1">
                  <c:v>3.5953178903925905E-7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6.975718341327698E-8</c:v>
                </c:pt>
                <c:pt idx="1">
                  <c:v>1.1843477220297729E-12</c:v>
                </c:pt>
                <c:pt idx="2">
                  <c:v>1.0740348892475954E-16</c:v>
                </c:pt>
                <c:pt idx="3">
                  <c:v>4.6878249096682555E-17</c:v>
                </c:pt>
                <c:pt idx="4">
                  <c:v>2.6714449926132233E-17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26070356118.487907</c:v>
                </c:pt>
                <c:pt idx="1">
                  <c:v>2128970043.1497993</c:v>
                </c:pt>
                <c:pt idx="2">
                  <c:v>72340556763.49472</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8.949659005062274E-15</c:v>
                </c:pt>
                <c:pt idx="1">
                  <c:v>2836766.8886872372</c:v>
                </c:pt>
                <c:pt idx="2">
                  <c:v>189301987.96789736</c:v>
                </c:pt>
                <c:pt idx="3">
                  <c:v>25876324233.962948</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6088.0683598167607</c:v>
                </c:pt>
                <c:pt idx="1">
                  <c:v>224.09794798563408</c:v>
                </c:pt>
                <c:pt idx="2">
                  <c:v>4.226789715355598E-6</c:v>
                </c:pt>
                <c:pt idx="3">
                  <c:v>17.580102109050454</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27339.185595279487</c:v>
                </c:pt>
                <c:pt idx="1">
                  <c:v>1193580.0081709779</c:v>
                </c:pt>
                <c:pt idx="2">
                  <c:v>119910.11805758931</c:v>
                </c:pt>
                <c:pt idx="3">
                  <c:v>55560.603135818121</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21.911276833047804</c:v>
                </c:pt>
                <c:pt idx="1">
                  <c:v>7716.6627415450002</c:v>
                </c:pt>
                <c:pt idx="2">
                  <c:v>466176.0440785762</c:v>
                </c:pt>
                <c:pt idx="3">
                  <c:v>16495.388903676052</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6088.0683598167607</c:v>
                </c:pt>
                <c:pt idx="1">
                  <c:v>224.09794798563408</c:v>
                </c:pt>
                <c:pt idx="2">
                  <c:v>4.226789715355598E-6</c:v>
                </c:pt>
                <c:pt idx="3">
                  <c:v>17.580102109050454</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27339.185595279487</c:v>
                </c:pt>
                <c:pt idx="1">
                  <c:v>1193580.0081709779</c:v>
                </c:pt>
                <c:pt idx="2">
                  <c:v>119910.11805758931</c:v>
                </c:pt>
                <c:pt idx="3">
                  <c:v>55560.603135818121</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21.911276833047804</c:v>
                </c:pt>
                <c:pt idx="1">
                  <c:v>7716.6627415450002</c:v>
                </c:pt>
                <c:pt idx="2">
                  <c:v>466176.0440785762</c:v>
                </c:pt>
                <c:pt idx="3">
                  <c:v>16495.388903676052</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3.5159891305264797E-14</c:v>
                </c:pt>
                <c:pt idx="1">
                  <c:v>77736608.66652447</c:v>
                </c:pt>
                <c:pt idx="2">
                  <c:v>383238250.61298132</c:v>
                </c:pt>
                <c:pt idx="3">
                  <c:v>1667840883.3660583</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1256.9291759152384</c:v>
                </c:pt>
                <c:pt idx="1">
                  <c:v>1.255765880124295</c:v>
                </c:pt>
                <c:pt idx="2">
                  <c:v>1.7996319787907402E-9</c:v>
                </c:pt>
                <c:pt idx="3">
                  <c:v>0.11799381996830996</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122246.46197401312</c:v>
                </c:pt>
                <c:pt idx="1">
                  <c:v>23485.733463378892</c:v>
                </c:pt>
                <c:pt idx="2">
                  <c:v>1351.4490555289017</c:v>
                </c:pt>
                <c:pt idx="3">
                  <c:v>5574.7647316193197</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7.6666732952935464</c:v>
                </c:pt>
                <c:pt idx="1">
                  <c:v>25.415053405989827</c:v>
                </c:pt>
                <c:pt idx="2">
                  <c:v>202.95839288817584</c:v>
                </c:pt>
                <c:pt idx="3">
                  <c:v>147.7519556738599</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4.0757870998875805E-11</c:v>
                </c:pt>
                <c:pt idx="1">
                  <c:v>54364214678.549171</c:v>
                </c:pt>
                <c:pt idx="2">
                  <c:v>16917903676.158199</c:v>
                </c:pt>
                <c:pt idx="3">
                  <c:v>1058256715.0006607</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39.456503082230249</c:v>
                </c:pt>
                <c:pt idx="1">
                  <c:v>3.5348375578065423E-2</c:v>
                </c:pt>
                <c:pt idx="2">
                  <c:v>3.6865647760774898E-17</c:v>
                </c:pt>
                <c:pt idx="3">
                  <c:v>2.6971931226574589E-3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164520.84815807512</c:v>
                </c:pt>
                <c:pt idx="1">
                  <c:v>10722.582044667488</c:v>
                </c:pt>
                <c:pt idx="2">
                  <c:v>3.0206934006120399E-4</c:v>
                </c:pt>
                <c:pt idx="3">
                  <c:v>6404.7458565404158</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0.30282274004838527</c:v>
                </c:pt>
                <c:pt idx="1">
                  <c:v>0.68447656059068296</c:v>
                </c:pt>
                <c:pt idx="2">
                  <c:v>2.4970359009408397E-5</c:v>
                </c:pt>
                <c:pt idx="3">
                  <c:v>5.1284678920238829</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1256.9291759152384</c:v>
                </c:pt>
                <c:pt idx="1">
                  <c:v>1.255765880124295</c:v>
                </c:pt>
                <c:pt idx="2">
                  <c:v>1.7996319787907402E-9</c:v>
                </c:pt>
                <c:pt idx="3">
                  <c:v>0.11799381996830996</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122246.46197401312</c:v>
                </c:pt>
                <c:pt idx="1">
                  <c:v>23485.733463378892</c:v>
                </c:pt>
                <c:pt idx="2">
                  <c:v>1351.4490555289017</c:v>
                </c:pt>
                <c:pt idx="3">
                  <c:v>5574.7647316193197</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7.6666732952935464</c:v>
                </c:pt>
                <c:pt idx="1">
                  <c:v>25.415053405989827</c:v>
                </c:pt>
                <c:pt idx="2">
                  <c:v>202.95839288817584</c:v>
                </c:pt>
                <c:pt idx="3">
                  <c:v>147.7519556738599</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39.456503082230249</c:v>
                </c:pt>
                <c:pt idx="1">
                  <c:v>3.5348375578065423E-2</c:v>
                </c:pt>
                <c:pt idx="2">
                  <c:v>3.6865647760774898E-17</c:v>
                </c:pt>
                <c:pt idx="3">
                  <c:v>2.6971931226574589E-3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164520.84815807512</c:v>
                </c:pt>
                <c:pt idx="1">
                  <c:v>10722.582044667488</c:v>
                </c:pt>
                <c:pt idx="2">
                  <c:v>3.0206934006120399E-4</c:v>
                </c:pt>
                <c:pt idx="3">
                  <c:v>6404.7458565404158</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0.30282274004838527</c:v>
                </c:pt>
                <c:pt idx="1">
                  <c:v>0.68447656059068296</c:v>
                </c:pt>
                <c:pt idx="2">
                  <c:v>2.4970359009408397E-5</c:v>
                </c:pt>
                <c:pt idx="3">
                  <c:v>5.1284678920238829</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33449.165231929292</c:v>
                </c:pt>
                <c:pt idx="1">
                  <c:v>123511.05782322364</c:v>
                </c:pt>
                <c:pt idx="2" formatCode="0.00E+00">
                  <c:v>164560.60748389747</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4038287.6575477463</c:v>
                </c:pt>
                <c:pt idx="1">
                  <c:v>77760121.070807129</c:v>
                </c:pt>
                <c:pt idx="2">
                  <c:v>54364225401.851044</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189888074.13003775</c:v>
                </c:pt>
                <c:pt idx="1">
                  <c:v>383239805.02042973</c:v>
                </c:pt>
                <c:pt idx="2">
                  <c:v>16917903676.158527</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25876396307.535088</c:v>
                </c:pt>
                <c:pt idx="1">
                  <c:v>1667846606.0007393</c:v>
                </c:pt>
                <c:pt idx="2">
                  <c:v>1058263124.8776823</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26068462988.819534</c:v>
                </c:pt>
                <c:pt idx="1">
                  <c:v>2128815742.6455641</c:v>
                </c:pt>
                <c:pt idx="2">
                  <c:v>72340375069.708023</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6329.7464141382361</c:v>
                </c:pt>
                <c:pt idx="1">
                  <c:v>1258.3029356171305</c:v>
                </c:pt>
                <c:pt idx="2">
                  <c:v>39.494548650930966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1396389.9149596652</c:v>
                </c:pt>
                <c:pt idx="1">
                  <c:v>152658.40922454026</c:v>
                </c:pt>
                <c:pt idx="2">
                  <c:v>181648.17636135238</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490410.00700063031</c:v>
                </c:pt>
                <c:pt idx="1">
                  <c:v>383.79207526331908</c:v>
                </c:pt>
                <c:pt idx="2">
                  <c:v>6.1157921630219603</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6329.7464141382361</c:v>
                </c:pt>
                <c:pt idx="1">
                  <c:v>1258.3029356171305</c:v>
                </c:pt>
                <c:pt idx="2">
                  <c:v>39.494548650930966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1396389.9149596652</c:v>
                </c:pt>
                <c:pt idx="1">
                  <c:v>152658.40922454026</c:v>
                </c:pt>
                <c:pt idx="2">
                  <c:v>181648.17636135238</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490410.00700063031</c:v>
                </c:pt>
                <c:pt idx="1">
                  <c:v>383.79207526331908</c:v>
                </c:pt>
                <c:pt idx="2">
                  <c:v>6.1157921630219603</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33449.165231929292</c:v>
                </c:pt>
                <c:pt idx="1">
                  <c:v>4038287.6575477463</c:v>
                </c:pt>
                <c:pt idx="2">
                  <c:v>189888074.13003775</c:v>
                </c:pt>
                <c:pt idx="3">
                  <c:v>25876396307.535088</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123511.05782322364</c:v>
                </c:pt>
                <c:pt idx="1">
                  <c:v>77760121.070807129</c:v>
                </c:pt>
                <c:pt idx="2">
                  <c:v>383239805.02042973</c:v>
                </c:pt>
                <c:pt idx="3">
                  <c:v>1667846606.0007393</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164560.60748389747</c:v>
                </c:pt>
                <c:pt idx="1">
                  <c:v>54364225401.851044</c:v>
                </c:pt>
                <c:pt idx="2">
                  <c:v>16917903676.158527</c:v>
                </c:pt>
                <c:pt idx="3">
                  <c:v>1058263124.8776823</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6329.7464141382361</c:v>
                </c:pt>
                <c:pt idx="1">
                  <c:v>1396389.9149596652</c:v>
                </c:pt>
                <c:pt idx="2">
                  <c:v>490410.00700063031</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1258.3029356171305</c:v>
                </c:pt>
                <c:pt idx="1">
                  <c:v>152658.40922454026</c:v>
                </c:pt>
                <c:pt idx="2">
                  <c:v>383.79207526331908</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39.494548650930966</c:v>
                </c:pt>
                <c:pt idx="1">
                  <c:v>181648.17636135238</c:v>
                </c:pt>
                <c:pt idx="2">
                  <c:v>6.1157921630219603</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6088.0683598167607</c:v>
                </c:pt>
                <c:pt idx="1">
                  <c:v>27339.185595279487</c:v>
                </c:pt>
                <c:pt idx="2">
                  <c:v>21.911276833047804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224.09794798563408</c:v>
                </c:pt>
                <c:pt idx="1">
                  <c:v>1193580.0081709779</c:v>
                </c:pt>
                <c:pt idx="2">
                  <c:v>7716.6627415450002</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4.226789715355598E-6</c:v>
                </c:pt>
                <c:pt idx="1">
                  <c:v>119910.11805758931</c:v>
                </c:pt>
                <c:pt idx="2">
                  <c:v>466176.0440785762</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17.580102109050454</c:v>
                </c:pt>
                <c:pt idx="1">
                  <c:v>55560.603135818121</c:v>
                </c:pt>
                <c:pt idx="2">
                  <c:v>16495.388903676052</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39.456503082230249</c:v>
                </c:pt>
                <c:pt idx="1">
                  <c:v>164520.84815807512</c:v>
                </c:pt>
                <c:pt idx="2">
                  <c:v>0.30282274004838527</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3.5348375578065423E-2</c:v>
                </c:pt>
                <c:pt idx="1">
                  <c:v>10722.582044667488</c:v>
                </c:pt>
                <c:pt idx="2">
                  <c:v>0.68447656059068296</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3.6865647760774898E-17</c:v>
                </c:pt>
                <c:pt idx="1">
                  <c:v>3.0206934006120399E-4</c:v>
                </c:pt>
                <c:pt idx="2">
                  <c:v>2.4970359009408397E-5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2.6971931226574589E-3</c:v>
                </c:pt>
                <c:pt idx="1">
                  <c:v>6404.7458565404158</c:v>
                </c:pt>
                <c:pt idx="2">
                  <c:v>5.1284678920238829</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1256.9291759152384</c:v>
                </c:pt>
                <c:pt idx="1">
                  <c:v>122246.46197401312</c:v>
                </c:pt>
                <c:pt idx="2">
                  <c:v>7.6666732952935464</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1.255765880124295</c:v>
                </c:pt>
                <c:pt idx="1">
                  <c:v>23485.733463378892</c:v>
                </c:pt>
                <c:pt idx="2">
                  <c:v>25.415053405989827</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1.7996319787907402E-9</c:v>
                </c:pt>
                <c:pt idx="1">
                  <c:v>1351.4490555289017</c:v>
                </c:pt>
                <c:pt idx="2">
                  <c:v>202.95839288817584</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0.11799381996830996</c:v>
                </c:pt>
                <c:pt idx="1">
                  <c:v>5574.7647316193197</c:v>
                </c:pt>
                <c:pt idx="2">
                  <c:v>147.7519556738599</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17991731051.115921</c:v>
                </c:pt>
                <c:pt idx="1">
                  <c:v>11545878042.142666</c:v>
                </c:pt>
                <c:pt idx="2">
                  <c:v>42802947670.236137</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45504</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3.2784917270906483E-24</v>
      </c>
      <c r="CE4" s="2"/>
    </row>
    <row r="5" spans="1:83" ht="12.75" customHeight="1" x14ac:dyDescent="0.45">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3.4328871321844293E-25</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1.0561677117983993E-20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8.4307065298872895E-20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33449.165231929292</v>
      </c>
      <c r="D11" s="446">
        <f t="shared" ref="D11:D17" si="0">C11/$C$103</f>
        <v>1.2830344579838199E-6</v>
      </c>
      <c r="E11" s="453">
        <f>SUM(E12,E15:E17)</f>
        <v>123511.05782322364</v>
      </c>
      <c r="F11" s="446">
        <f t="shared" ref="F11:F17" si="1">E11/$E$103</f>
        <v>5.8014464891431595E-5</v>
      </c>
      <c r="G11" s="445">
        <f>SUM(G12,G15:G17)</f>
        <v>98881.089955741263</v>
      </c>
      <c r="H11" s="446">
        <f t="shared" ref="H11:H17" si="2">G11/$G$103</f>
        <v>5.4959186347779615E-6</v>
      </c>
      <c r="I11" s="445">
        <f>SUM(I12,I15:I17)</f>
        <v>23756.484595209706</v>
      </c>
      <c r="J11" s="446">
        <f t="shared" ref="J11:J17" si="3">I11/$I$103</f>
        <v>2.0575727985778215E-6</v>
      </c>
      <c r="K11" s="445">
        <f>SUM(K12,K15:K17)</f>
        <v>41923.032932946495</v>
      </c>
      <c r="L11" s="461">
        <f t="shared" ref="L11:L17" si="4">K11/$K$103</f>
        <v>9.7944266025628173E-7</v>
      </c>
      <c r="M11" s="459">
        <f xml:space="preserve"> (M.aRG+M.aRS+M.aRA+M.aRP+M.cwRS+M.cwRA+M.cwRP)*(Molweight*1000)/(VOLUME.aR+VOLUME.cwR)</f>
        <v>1.457035554816932E-7</v>
      </c>
      <c r="N11" s="459">
        <f xml:space="preserve"> (M.aCG+M.aCS+M.aCA+M.aCP+M.cwCS+M.cwCA+M.cwCP)*Molweight*1000/(VOLUME.aC+VOLUME.cwC)</f>
        <v>1.7156100680381257E-8</v>
      </c>
      <c r="O11" s="459">
        <f xml:space="preserve"> (M.aMG+M.aMS+M.aMA+M.aMP+M.cwMS+M.cwMA+M.cwMP)*Molweight*1000/(VOLUME.aM+VOLUME.cwM)</f>
        <v>1.2747142683113774E-9</v>
      </c>
      <c r="P11" s="459">
        <f xml:space="preserve"> (M.aAG+M.aAS+M.aAA+M.aAP+M.cwAS+M.cwAA+M.cwAP)*Molweight*1000/(VOLUME.aA+VOLUME.cwA)</f>
        <v>5.5897610812263161E-10</v>
      </c>
      <c r="Q11" s="459">
        <f xml:space="preserve"> (M.aTG+M.aTS+M.aTA+M.aTP+M.cwTS+M.cwTA+M.cwTP)*Molweight*1000/(VOLUME.aT+VOLUME.cwT)</f>
        <v>3.2880810143490405E-10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8.949659005062274E-15</v>
      </c>
      <c r="D12" s="446">
        <f t="shared" si="0"/>
        <v>3.4328871321844293E-25</v>
      </c>
      <c r="E12" s="296">
        <f>(M.aCG)*Molweight</f>
        <v>3.5159891305264797E-14</v>
      </c>
      <c r="F12" s="446">
        <f t="shared" si="1"/>
        <v>1.6514977004207131E-23</v>
      </c>
      <c r="G12" s="296">
        <f>(M.aMG)*Molweight</f>
        <v>1.7450717098510617E-12</v>
      </c>
      <c r="H12" s="446">
        <f t="shared" si="2"/>
        <v>9.699298554948247E-23</v>
      </c>
      <c r="I12" s="296">
        <f>(M.aAG)*Molweight</f>
        <v>7.6001957669963776E-14</v>
      </c>
      <c r="J12" s="446">
        <f t="shared" si="3"/>
        <v>6.5826052719901635E-24</v>
      </c>
      <c r="K12" s="296">
        <f>(M.aTG)*Molweight</f>
        <v>3.8936797331354778E-11</v>
      </c>
      <c r="L12" s="461">
        <f t="shared" si="4"/>
        <v>9.0967560531888882E-22</v>
      </c>
      <c r="M12" s="124">
        <f>(M.aRG)*(Molweight*1000)/(VOLUME.aR + VOLUME.cwR)</f>
        <v>3.8984444853696382E-26</v>
      </c>
      <c r="N12" s="124">
        <f>(M.aCG)*(Molweight*1000)/(VOLUME.aC + VOLUME.cwC)</f>
        <v>4.8838269688186911E-27</v>
      </c>
      <c r="O12" s="124">
        <f>(M.aMG)*(Molweight*1000)/(VOLUME.aM + VOLUME.cwM)</f>
        <v>2.249639247270982E-26</v>
      </c>
      <c r="P12" s="124">
        <f>(M.aAG)*(Molweight*1000)/(VOLUME.aA + VOLUME.cwA)</f>
        <v>1.7882813569404848E-27</v>
      </c>
      <c r="Q12" s="124">
        <f>(M.aTG)*(Molweight*1000)/(VOLUME.aT + VOLUME.cwT)</f>
        <v>3.0538664573614337E-25</v>
      </c>
      <c r="R12" s="160" t="s">
        <v>137</v>
      </c>
      <c r="S12" s="163">
        <f>F.aR</f>
        <v>8.5633892600686674E-25</v>
      </c>
      <c r="T12" s="163">
        <f>F.aC</f>
        <v>1.0727897131732595E-25</v>
      </c>
      <c r="U12" s="163">
        <f>F.aM</f>
        <v>4.9415957162931584E-25</v>
      </c>
      <c r="V12" s="163">
        <f>F.aA</f>
        <v>3.6249420590421683E-26</v>
      </c>
      <c r="W12" s="162">
        <f>F.aT</f>
        <v>7.0141617654121537E-24</v>
      </c>
      <c r="X12" s="17"/>
      <c r="Y12" s="156"/>
      <c r="Z12" s="17"/>
      <c r="AA12" s="312" t="s">
        <v>141</v>
      </c>
      <c r="AB12" s="162" t="s">
        <v>110</v>
      </c>
      <c r="AC12" s="161">
        <f>E.aRG*Molweight</f>
        <v>0</v>
      </c>
      <c r="AD12" s="163">
        <f>k.aC.aR*M.aC*Molweight</f>
        <v>1.0561677117983993E-20</v>
      </c>
      <c r="AE12" s="163">
        <f>k.aR.aC*M.aR*Molweight</f>
        <v>8.4307065298872895E-20</v>
      </c>
      <c r="AF12" s="163">
        <f>kesc.aR*VOLUME.aR*C.aRG*Molweight</f>
        <v>3.2784917270906483E-24</v>
      </c>
      <c r="AG12" s="163"/>
      <c r="AH12" s="162">
        <f>KDEG.aR*VOLUME.aR*C.aR*Molweight</f>
        <v>3.408357974625399E-47</v>
      </c>
      <c r="AI12" s="163">
        <f>SUM(AI13:AI15,AK18:AK20)</f>
        <v>6.1446722303208503E-20</v>
      </c>
      <c r="AJ12" s="163">
        <f>SUM(AJ13:AJ15,AL18:AL20)</f>
        <v>1.351953889758245E-19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3.408357974625399E-47</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3.7881447930487778E-27</v>
      </c>
      <c r="D13" s="446">
        <f t="shared" si="0"/>
        <v>1.4530468152532823E-37</v>
      </c>
      <c r="E13" s="296">
        <f>FRgas.aC*E12</f>
        <v>1.4882216081848702E-26</v>
      </c>
      <c r="F13" s="446">
        <f t="shared" si="1"/>
        <v>6.9903360687173151E-36</v>
      </c>
      <c r="G13" s="296">
        <f>FRgas.aC*G12</f>
        <v>7.3864091441135623E-25</v>
      </c>
      <c r="H13" s="446">
        <f t="shared" si="2"/>
        <v>4.1054466205215018E-35</v>
      </c>
      <c r="I13" s="296">
        <f>FRgas.aC*I12</f>
        <v>3.2169540766428739E-26</v>
      </c>
      <c r="J13" s="446">
        <f t="shared" si="3"/>
        <v>2.7862359752120478E-36</v>
      </c>
      <c r="K13" s="296">
        <f>FRgas.aC*K12</f>
        <v>1.6480876644052745E-23</v>
      </c>
      <c r="L13" s="461">
        <f t="shared" si="4"/>
        <v>3.8504069324910169E-34</v>
      </c>
      <c r="M13" s="124">
        <f>FRgas.aR*M12</f>
        <v>1.6501044531293802E-38</v>
      </c>
      <c r="N13" s="124">
        <f>FRgas.aC*N12</f>
        <v>2.0671897880820977E-39</v>
      </c>
      <c r="O13" s="124">
        <f>FRgas.aM*O12</f>
        <v>9.5221049159162287E-39</v>
      </c>
      <c r="P13" s="124">
        <f>FRgas.aA*P12</f>
        <v>3.9343870213237692E-44</v>
      </c>
      <c r="Q13" s="124">
        <f>FRgas.aT*Q12</f>
        <v>5.124021625902236E-37</v>
      </c>
      <c r="R13" s="160" t="s">
        <v>137</v>
      </c>
      <c r="S13" s="163">
        <f>S12*FRgas.aR</f>
        <v>3.6246474215419817E-37</v>
      </c>
      <c r="T13" s="163">
        <f>T12*FRgas.aC</f>
        <v>4.5408241405565115E-38</v>
      </c>
      <c r="U13" s="163">
        <f>U12*FRgas.aM</f>
        <v>2.0916417118730011E-37</v>
      </c>
      <c r="V13" s="163">
        <f>V12*FRgas.aA</f>
        <v>7.9752131479726732E-43</v>
      </c>
      <c r="W13" s="162">
        <f>W12*FRgas.aT</f>
        <v>1.1768922143570601E-35</v>
      </c>
      <c r="X13" s="17"/>
      <c r="Y13" s="156"/>
      <c r="Z13" s="17"/>
      <c r="AA13" s="312" t="s">
        <v>143</v>
      </c>
      <c r="AB13" s="162" t="s">
        <v>144</v>
      </c>
      <c r="AC13" s="938">
        <f>E.w0RD*Molweight</f>
        <v>0</v>
      </c>
      <c r="AD13" s="163">
        <f>k.w1R.w0R*M.w1RD*Molweight</f>
        <v>0</v>
      </c>
      <c r="AE13" s="163">
        <f>(k.w0R.w1R+k.w0R.w2R)*M.w0RD*Molweight</f>
        <v>4.5116285774658539E-3</v>
      </c>
      <c r="AF13" s="163"/>
      <c r="AG13" s="163">
        <f>(kdis.w0S.w0D*M.w0RS+kdis.w0A.w0D*M.w0RA+kdis.w0P.w0D*M.w0RP)*Molweight</f>
        <v>5.0531703637772291E-4</v>
      </c>
      <c r="AH13" s="162">
        <f>KDEG.w0R*M.w0RD*Molweight</f>
        <v>7.2951448864926199E-15</v>
      </c>
      <c r="AI13" s="163">
        <f>k.aRG.w0RD*M.aRG*Molweight</f>
        <v>1.5294765558269395E-22</v>
      </c>
      <c r="AJ13" s="163">
        <f>k.w0RD.aRG*M.w0R*Molweight</f>
        <v>1.0036809436295364E-21</v>
      </c>
      <c r="AK13" s="163"/>
      <c r="AL13" s="163"/>
      <c r="AM13" s="163"/>
      <c r="AN13" s="163">
        <f>k.w0RD.sd0RD*M.w0RD*Molweight</f>
        <v>2.5210099817627164E-2</v>
      </c>
      <c r="AO13" s="162">
        <f>k.sd0RD.w0RD*M.sd0RD*Molweight</f>
        <v>0</v>
      </c>
      <c r="AP13" s="909">
        <f>SUM(AC13,AD13,AI13,AM13,AO13,AG13)-SUM(AF13,AE13,AH13,AJ13,AN13)</f>
        <v>-2.9216411358722591E-2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8.9496590050584859E-15</v>
      </c>
      <c r="D14" s="446">
        <f t="shared" si="0"/>
        <v>3.432887132182976E-25</v>
      </c>
      <c r="E14" s="296">
        <f>(1-FRgas.aC)*E12</f>
        <v>3.5159891305249916E-14</v>
      </c>
      <c r="F14" s="446">
        <f t="shared" si="1"/>
        <v>1.651497700420014E-23</v>
      </c>
      <c r="G14" s="296">
        <f>(1-FRgas.aC)*G12</f>
        <v>1.7450717098503231E-12</v>
      </c>
      <c r="H14" s="446">
        <f t="shared" si="2"/>
        <v>9.6992985549441422E-23</v>
      </c>
      <c r="I14" s="296">
        <f>(1-FRgas.aC)*I12</f>
        <v>7.6001957669931616E-14</v>
      </c>
      <c r="J14" s="446">
        <f t="shared" si="3"/>
        <v>6.5826052719873776E-24</v>
      </c>
      <c r="K14" s="296">
        <f>(1-FRgas.aC)*K12</f>
        <v>3.8936797331338299E-11</v>
      </c>
      <c r="L14" s="461">
        <f t="shared" si="4"/>
        <v>9.0967560531850383E-22</v>
      </c>
      <c r="M14" s="124">
        <f>(1-FRgas.aR)*M12</f>
        <v>3.898444485367988E-26</v>
      </c>
      <c r="N14" s="124">
        <f>(1-FRgas.aC)*N12</f>
        <v>4.883826968816624E-27</v>
      </c>
      <c r="O14" s="124">
        <f>(1-FRgas.aM)*O12</f>
        <v>2.2496392472700298E-26</v>
      </c>
      <c r="P14" s="124">
        <f>(1-FRgas.aA)*P12</f>
        <v>1.7882813569404848E-27</v>
      </c>
      <c r="Q14" s="124">
        <f>(1-FRgas.aT)*Q12</f>
        <v>3.0538664573563097E-25</v>
      </c>
      <c r="R14" s="160" t="s">
        <v>137</v>
      </c>
      <c r="S14" s="163">
        <f>S12*(1-FRgas.aR)</f>
        <v>8.5633892600650435E-25</v>
      </c>
      <c r="T14" s="163">
        <f>T12*(1-FRgas.aC)</f>
        <v>1.0727897131728053E-25</v>
      </c>
      <c r="U14" s="163">
        <f>U12*(1-FRgas.aM)</f>
        <v>4.9415957162910673E-25</v>
      </c>
      <c r="V14" s="163">
        <f>V12*(1-FRgas.aA)</f>
        <v>3.6249420590421683E-26</v>
      </c>
      <c r="W14" s="162">
        <f>W12*(1-FRgas.aT)</f>
        <v>7.0141617654003841E-24</v>
      </c>
      <c r="X14" s="17"/>
      <c r="Y14" s="156"/>
      <c r="Z14" s="17"/>
      <c r="AA14" s="312" t="s">
        <v>146</v>
      </c>
      <c r="AB14" s="162" t="s">
        <v>111</v>
      </c>
      <c r="AC14" s="161">
        <f>E.w1RD*Molweight</f>
        <v>0</v>
      </c>
      <c r="AD14" s="163">
        <f>(WATERflow.w0R.w1R*C.w0R+WATERflow.w1C.w1R*C.w1C)*Molweight</f>
        <v>4.5116285774658539E-3</v>
      </c>
      <c r="AE14" s="163">
        <f>(WATERflow.w1R.w0R+WATERflow.w1R.w2R)*C.w1R*Molweight</f>
        <v>6.2809240483684262E-2</v>
      </c>
      <c r="AF14" s="163"/>
      <c r="AG14" s="163">
        <f>(kdis.w1S.w1D*M.w1RS+kdis.w1A.w1D*M.w1RA+kdis.w1P.w1D*M.w1RP)*Molweight</f>
        <v>0.15722645974857241</v>
      </c>
      <c r="AH14" s="162">
        <f>KDEG.w1R*VOLUME.w1R*C.w1R*Molweight</f>
        <v>1.4478786282212514E-15</v>
      </c>
      <c r="AI14" s="163">
        <f>k.aRG.w1RD*M.aRG*Molweight</f>
        <v>1.6824242114096339E-21</v>
      </c>
      <c r="AJ14" s="163">
        <f>k.w1RD.aRG*M.w1R*Molweight</f>
        <v>6.6400700303423399E-21</v>
      </c>
      <c r="AK14" s="163"/>
      <c r="AL14" s="163"/>
      <c r="AM14" s="163">
        <f>(k.s1RD.w1RD*M.s1R+k.s2RD.w1RD*M.s2R+k.s3RD.w1RD*M.s3R)*Molweight</f>
        <v>0.32138052494594854</v>
      </c>
      <c r="AN14" s="163">
        <f>k.w1RD.sd1RD*M.w1R*Molweight</f>
        <v>4.9844575836879645</v>
      </c>
      <c r="AO14" s="162">
        <f>k.sd1RD.w1RD*M.sd1R*Molweight</f>
        <v>4.5641482108996634</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3.7118770044332988E-21</v>
      </c>
      <c r="BY14" s="113"/>
      <c r="BZ14" s="138">
        <f>IF(AL20&lt;0,"",AL20)</f>
        <v>1.3747684841792135E-21</v>
      </c>
      <c r="CA14" s="113"/>
      <c r="CB14" s="136">
        <f>IF(AL19&lt;0,"",AL19)</f>
        <v>1.2212350408324713E-19</v>
      </c>
      <c r="CC14" s="140"/>
      <c r="CD14" s="113"/>
      <c r="CE14" s="2"/>
    </row>
    <row r="15" spans="1:83" ht="12.75" customHeight="1" x14ac:dyDescent="0.35">
      <c r="A15" s="17"/>
      <c r="B15" s="159" t="s">
        <v>147</v>
      </c>
      <c r="C15" s="295">
        <f>(M.aRS+M.cwRS)*Molweight</f>
        <v>6088.0683598167607</v>
      </c>
      <c r="D15" s="446">
        <f t="shared" si="0"/>
        <v>2.335245568624734E-7</v>
      </c>
      <c r="E15" s="296">
        <f>(M.aCS+M.cwCS)*Molweight</f>
        <v>1256.9291759152384</v>
      </c>
      <c r="F15" s="446">
        <f t="shared" si="1"/>
        <v>5.9039307761025079E-7</v>
      </c>
      <c r="G15" s="296">
        <f>(M.aMS+M.cwMS)*Molweight</f>
        <v>38.559002500769957</v>
      </c>
      <c r="H15" s="446">
        <f t="shared" si="2"/>
        <v>2.1431513394248061E-9</v>
      </c>
      <c r="I15" s="296">
        <f>(M.aAS+M.cwAS)*Molweight</f>
        <v>0.34113600913169279</v>
      </c>
      <c r="J15" s="446">
        <f t="shared" si="3"/>
        <v>2.9546129613229945E-11</v>
      </c>
      <c r="K15" s="296">
        <f>(M.aTS+M.cwTS)*Molweight</f>
        <v>0.55636457232859604</v>
      </c>
      <c r="L15" s="461">
        <f t="shared" si="4"/>
        <v>1.2998277048930324E-11</v>
      </c>
      <c r="M15" s="124">
        <f>(M.aRS+M.cwRS)*(Molweight*1000)/(VOLUME.aR + VOLUME.cwR)</f>
        <v>2.6519442260823751E-8</v>
      </c>
      <c r="N15" s="124">
        <f>(M.aCS+M.cwCS)*(Molweight*1000)/(VOLUME.aC + VOLUME.cwC)</f>
        <v>1.745916832885858E-10</v>
      </c>
      <c r="O15" s="124">
        <f>(M.aMS+M.cwMS)*(Molweight*1000)/(VOLUME.aM + VOLUME.cwM)</f>
        <v>4.9707897315437795E-13</v>
      </c>
      <c r="P15" s="124">
        <f>(M.aAS+M.cwAS)*(Molweight*1000)/(VOLUME.aA + VOLUME.cwA)</f>
        <v>8.0267296266287874E-15</v>
      </c>
      <c r="Q15" s="124">
        <f>(M.aTS+M.cwTS)*(Molweight*1000)/(VOLUME.aT + VOLUME.cwT)</f>
        <v>4.3636437045383998E-15</v>
      </c>
      <c r="R15" s="160" t="s">
        <v>137</v>
      </c>
      <c r="S15" s="163"/>
      <c r="T15" s="163"/>
      <c r="U15" s="163"/>
      <c r="V15" s="163"/>
      <c r="W15" s="162"/>
      <c r="X15" s="17"/>
      <c r="Y15" s="156"/>
      <c r="Z15" s="17"/>
      <c r="AA15" s="312" t="s">
        <v>148</v>
      </c>
      <c r="AB15" s="162" t="s">
        <v>112</v>
      </c>
      <c r="AC15" s="161">
        <f>E.w2RD*Molweight</f>
        <v>0</v>
      </c>
      <c r="AD15" s="163">
        <f>(k.w1R.w2R*M.w1R+k.w2C.w2R*M.w2C)*Molweight</f>
        <v>6.4096247244246979E-2</v>
      </c>
      <c r="AE15" s="163">
        <f>k.w2R.w2C*M.w2R*Molweight</f>
        <v>0.12350497399956721</v>
      </c>
      <c r="AF15" s="163"/>
      <c r="AG15" s="163">
        <f>(kdis.w2S.w2D*M.w2RS+kdis.w2A.w2D*M.w2RA+kdis.w2P.w2D*M.w2RP)*Molweight</f>
        <v>7.7680178141790554E-2</v>
      </c>
      <c r="AH15" s="162">
        <f>KDEG.w2R*M.w2RD*Molweight</f>
        <v>2.4820712096525372E-16</v>
      </c>
      <c r="AI15" s="163">
        <f>k.aRG.w2RD*M.aRG*Molweight</f>
        <v>2.6766007014515312E-22</v>
      </c>
      <c r="AJ15" s="163">
        <f>k.w2RD.aRG*M.w2R*Molweight</f>
        <v>3.4148842999299134E-22</v>
      </c>
      <c r="AK15" s="163"/>
      <c r="AL15" s="163"/>
      <c r="AM15" s="163"/>
      <c r="AN15" s="163">
        <f>k.w2RD.sd2RD*M.w2R*Molweight</f>
        <v>8.5586050822579043E-2</v>
      </c>
      <c r="AO15" s="162">
        <f>k.sd2RD.w2RD*M.sd2R*Molweight</f>
        <v>6.7314599436108971E-2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1.0036809436295364E-21</v>
      </c>
      <c r="BW15" s="2"/>
      <c r="BX15" s="137"/>
      <c r="BY15" s="113"/>
      <c r="BZ15" s="113"/>
      <c r="CA15" s="113"/>
      <c r="CB15" s="2"/>
      <c r="CC15" s="137"/>
      <c r="CD15" s="113"/>
      <c r="CE15" s="2"/>
    </row>
    <row r="16" spans="1:83" ht="12.75" customHeight="1" thickBot="1" x14ac:dyDescent="0.35">
      <c r="A16" s="17"/>
      <c r="B16" s="159" t="s">
        <v>150</v>
      </c>
      <c r="C16" s="295">
        <f>(M.aRA+M.cwRA)*Molweight</f>
        <v>27339.185595279487</v>
      </c>
      <c r="D16" s="446">
        <f t="shared" si="0"/>
        <v>1.0486694340125175E-6</v>
      </c>
      <c r="E16" s="296">
        <f>(M.aCA+M.cwCA)*Molweight</f>
        <v>122246.46197401312</v>
      </c>
      <c r="F16" s="446">
        <f t="shared" si="1"/>
        <v>5.7420470695374444E-5</v>
      </c>
      <c r="G16" s="296">
        <f>(M.aMA+M.cwMA)*Molweight</f>
        <v>98842.238134384505</v>
      </c>
      <c r="H16" s="446">
        <f t="shared" si="2"/>
        <v>5.4937592082477191E-6</v>
      </c>
      <c r="I16" s="296">
        <f>(M.aAA+M.cwAA)*Molweight</f>
        <v>23756.136109408355</v>
      </c>
      <c r="J16" s="446">
        <f t="shared" si="3"/>
        <v>2.0575426158753822E-6</v>
      </c>
      <c r="K16" s="296">
        <f>(M.aTA+M.cwTA)*Molweight</f>
        <v>41922.47391428228</v>
      </c>
      <c r="L16" s="461">
        <f t="shared" si="4"/>
        <v>9.7942959997201055E-7</v>
      </c>
      <c r="M16" s="124">
        <f>(M.aRA+M.cwRA)*(Molweight*1000)/(VOLUME.aR + VOLUME.cwR)</f>
        <v>1.190886683594631E-7</v>
      </c>
      <c r="N16" s="124">
        <f>(M.aCA+M.cwCA)*(Molweight*1000)/(VOLUME.aC + VOLUME.cwC)</f>
        <v>1.6980444070427352E-8</v>
      </c>
      <c r="O16" s="124">
        <f>(M.aMA+M.cwMA)*(Molweight*1000)/(VOLUME.aM + VOLUME.cwM)</f>
        <v>1.2742134144974124E-9</v>
      </c>
      <c r="P16" s="124">
        <f>(M.aAA+M.cwAA)*(Molweight*1000)/(VOLUME.aA + VOLUME.cwA)</f>
        <v>5.5896790845671753E-10</v>
      </c>
      <c r="Q16" s="124">
        <f>(M.aTA+M.cwTA)*(Molweight*1000)/(VOLUME.aT + VOLUME.cwT)</f>
        <v>3.2880371697479254E-10</v>
      </c>
      <c r="R16" s="160" t="s">
        <v>137</v>
      </c>
      <c r="S16" s="163"/>
      <c r="T16" s="163"/>
      <c r="U16" s="163"/>
      <c r="V16" s="163"/>
      <c r="W16" s="162"/>
      <c r="X16" s="17"/>
      <c r="Y16" s="156"/>
      <c r="Z16" s="17"/>
      <c r="AA16" s="312" t="s">
        <v>151</v>
      </c>
      <c r="AB16" s="162" t="s">
        <v>113</v>
      </c>
      <c r="AC16" s="161"/>
      <c r="AD16" s="163"/>
      <c r="AE16" s="163"/>
      <c r="AF16" s="163">
        <f>NETsedrate.w1R*SYSTEMAREA.R*AREAFRAC.w1R*C.sd1R*Molweight</f>
        <v>0.49766748948721179</v>
      </c>
      <c r="AG16" s="163">
        <f>(kdis.sd1S.sd1D*M.sd1RS+kdis.sd1A.sd1D*M.sd1RA+kdis.sd1P.sd1D*M.sd1RP)*Molweight</f>
        <v>7.7358116699609195E-2</v>
      </c>
      <c r="AH16" s="162">
        <f>KDEG.sd1R*VOLUME.sd1R*C.sd1R*Molweight</f>
        <v>6.9806597145847556E-13</v>
      </c>
      <c r="AI16" s="163"/>
      <c r="AJ16" s="163"/>
      <c r="AK16" s="163"/>
      <c r="AL16" s="163"/>
      <c r="AM16" s="163"/>
      <c r="AN16" s="163">
        <f>k.w1RD.sd1RD*M.w1R*Molweight</f>
        <v>4.9844575836879645</v>
      </c>
      <c r="AO16" s="162">
        <f>k.sd1RD.w1RD*M.sd1R*Molweight</f>
        <v>4.5641482108996634</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3.4148842999299134E-22</v>
      </c>
      <c r="BR16" s="113"/>
      <c r="BS16" s="113"/>
      <c r="BT16" s="138">
        <f>IF(AJ14&lt;0,"",AJ14)</f>
        <v>6.6400700303423399E-21</v>
      </c>
      <c r="BU16" s="113"/>
      <c r="BV16" s="113"/>
      <c r="BW16" s="2"/>
      <c r="BX16" s="137"/>
      <c r="BY16" s="113"/>
      <c r="BZ16" s="113"/>
      <c r="CA16" s="113"/>
      <c r="CB16" s="2"/>
      <c r="CC16" s="137"/>
      <c r="CD16" s="113"/>
      <c r="CE16" s="2"/>
    </row>
    <row r="17" spans="1:83" ht="12.75" customHeight="1" x14ac:dyDescent="0.3">
      <c r="A17" s="17"/>
      <c r="B17" s="159" t="s">
        <v>152</v>
      </c>
      <c r="C17" s="295">
        <f>(M.aRP+M.cwRP)*Molweight</f>
        <v>21.911276833047804</v>
      </c>
      <c r="D17" s="446">
        <f t="shared" si="0"/>
        <v>8.4046710882899395E-10</v>
      </c>
      <c r="E17" s="296">
        <f>(M.aCP+M.cwCP)*Molweight</f>
        <v>7.6666732952935464</v>
      </c>
      <c r="F17" s="446">
        <f t="shared" si="1"/>
        <v>3.6011184469043754E-9</v>
      </c>
      <c r="G17" s="296">
        <f>(M.aMP+M.cwMP)*Molweight</f>
        <v>0.29281885598445906</v>
      </c>
      <c r="H17" s="446">
        <f t="shared" si="2"/>
        <v>1.6275190816966845E-11</v>
      </c>
      <c r="I17" s="296">
        <f>(M.aAP+M.cwAP)*Molweight</f>
        <v>7.3497922188262461E-3</v>
      </c>
      <c r="J17" s="446">
        <f t="shared" si="3"/>
        <v>6.365728264233669E-13</v>
      </c>
      <c r="K17" s="296">
        <f>(M.aTP+M.cwTP)*Molweight</f>
        <v>2.6540918450999366E-3</v>
      </c>
      <c r="L17" s="461">
        <f t="shared" si="4"/>
        <v>6.200722122101677E-14</v>
      </c>
      <c r="M17" s="124">
        <f>(M.aRP+M.cwRP)*(Molweight*1000)/(VOLUME.aR + VOLUME.cwR)</f>
        <v>9.544486140632389E-11</v>
      </c>
      <c r="N17" s="124">
        <f>(M.aCP+M.cwCP)*(Molweight*1000)/(VOLUME.aC + VOLUME.cwC)</f>
        <v>1.0649266653185035E-12</v>
      </c>
      <c r="O17" s="124">
        <f>(M.aMP+M.cwMP)*(Molweight*1000)/(VOLUME.aM + VOLUME.cwM)</f>
        <v>3.7748408105237716E-15</v>
      </c>
      <c r="P17" s="124">
        <f>(M.aAP+M.cwAP)*(Molweight*1000)/(VOLUME.aA + VOLUME.cwA)</f>
        <v>1.7293628750180958E-16</v>
      </c>
      <c r="Q17" s="124">
        <f>(M.aTP+M.cwTP)*(Molweight*1000)/(VOLUME.aT + VOLUME.cwT)</f>
        <v>2.0816406628236668E-17</v>
      </c>
      <c r="R17" s="160" t="s">
        <v>137</v>
      </c>
      <c r="S17" s="163"/>
      <c r="T17" s="163"/>
      <c r="U17" s="163"/>
      <c r="V17" s="163"/>
      <c r="W17" s="162"/>
      <c r="X17" s="17"/>
      <c r="Y17" s="156"/>
      <c r="Z17" s="17"/>
      <c r="AA17" s="312" t="s">
        <v>153</v>
      </c>
      <c r="AB17" s="162" t="s">
        <v>114</v>
      </c>
      <c r="AC17" s="161"/>
      <c r="AD17" s="163"/>
      <c r="AE17" s="163"/>
      <c r="AF17" s="163">
        <f>NETsedrate.w2R*SYSTEMAREA.R*AREAFRAC.w2R*C.sd2R*Molweight</f>
        <v>1.8406383521815423E-2</v>
      </c>
      <c r="AG17" s="163">
        <f>(kdis.sd2S.sd2D*M.sd2RS+kdis.sd2A.sd2D*M.sd2RA+kdis.sd2P.sd2D*M.sd2RP)*Molweight</f>
        <v>1.349321353807487E-4</v>
      </c>
      <c r="AH17" s="162">
        <f>KDEG.sd2R*VOLUME.sd2R*C.sd2R*Molweight</f>
        <v>3.5372150923927059E-14</v>
      </c>
      <c r="AI17" s="163"/>
      <c r="AJ17" s="163"/>
      <c r="AK17" s="163"/>
      <c r="AL17" s="163"/>
      <c r="AM17" s="163"/>
      <c r="AN17" s="163">
        <f>k.w2RD.sd2RD*M.w2R*Molweight</f>
        <v>8.5586050822579043E-2</v>
      </c>
      <c r="AO17" s="162">
        <f>k.sd2RD.w2RD*M.sd2R*Molweight</f>
        <v>6.7314599436108971E-2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1.1711319120304948E-5</v>
      </c>
      <c r="AG18" s="163">
        <f>(kdis.s1S.s1D*M.s1RS+kdis.s1A.s1D*M.s1RA+kdis.s1P.s1D*M.s1RP)*Molweight</f>
        <v>1.0241812535536264E-2</v>
      </c>
      <c r="AH18" s="162">
        <f>KDEG.s1R*VOLUME.s1R*C.s1R*Molweight</f>
        <v>1.4264829771652328E-12</v>
      </c>
      <c r="AI18" s="163"/>
      <c r="AJ18" s="163"/>
      <c r="AK18" s="163">
        <f>k.aRG.s1RD*M.aR*Molweight</f>
        <v>1.6518346802926987E-20</v>
      </c>
      <c r="AL18" s="163">
        <f>k.s1RD.aRG*M.s1R*Molweight</f>
        <v>3.7118770044332988E-21</v>
      </c>
      <c r="AM18" s="163">
        <f>k.s1RD.w1RD*M.s1R*Molweight</f>
        <v>9.3775927804070226E-3</v>
      </c>
      <c r="AN18" s="163"/>
      <c r="AO18" s="162"/>
      <c r="AP18" s="909">
        <f>SUM(AC18,AD18,AK18,AG18)-SUM(AE18,AF18,AH18,AL18,AM18,AP17)</f>
        <v>8.5250843458245344E-4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1885821.7945379685</v>
      </c>
      <c r="D19" s="446">
        <f t="shared" ref="D19:D25" si="5">C19/$C$103</f>
        <v>7.2335866298375176E-5</v>
      </c>
      <c r="E19" s="295">
        <f>SUM(E20,E23:E25)</f>
        <v>165279.3122775782</v>
      </c>
      <c r="F19" s="446">
        <f t="shared" ref="F19:F25" si="6">E19/$E$103</f>
        <v>7.7633460747549251E-5</v>
      </c>
      <c r="G19" s="296"/>
      <c r="H19" s="446"/>
      <c r="I19" s="296"/>
      <c r="J19" s="446"/>
      <c r="K19" s="296"/>
      <c r="L19" s="461"/>
      <c r="M19" s="459">
        <f>(M.w0RD+M.w0RS+M.w0RA+M.w0RP)*Molweight/(VOLUME.w0R)</f>
        <v>3.3002087667462367E-5</v>
      </c>
      <c r="N19" s="459">
        <f>(M.w0CD+M.w0CS+M.w0CA+M.w0CP)*Molweight/(VOLUME.w0C)</f>
        <v>1.8965794445824038E-7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3.853110775762699E-4</v>
      </c>
      <c r="AG19" s="163">
        <f>(kdis.s2S.s2D*M.s2RS+kdis.s2A.s2D*M.s2RA+kdis.s2P.s2D*M.s2RP)*Molweight</f>
        <v>0.33696322203515267</v>
      </c>
      <c r="AH19" s="162">
        <f>KDEG.s2R*VOLUME.s2R*C.s2R*Molweight</f>
        <v>1.0313572213238779E-10</v>
      </c>
      <c r="AI19" s="163"/>
      <c r="AJ19" s="163"/>
      <c r="AK19" s="163">
        <f>k.aRG.s2RD*M.aR*Molweight</f>
        <v>3.6707437339837741E-20</v>
      </c>
      <c r="AL19" s="163">
        <f>k.s2RD.aRG*M.s2R*Molweight</f>
        <v>1.2212350408324713E-19</v>
      </c>
      <c r="AM19" s="163">
        <f>k.s2RD.w1RD*M.s2R*Molweight</f>
        <v>0.30852975161657065</v>
      </c>
      <c r="AN19" s="163"/>
      <c r="AO19" s="162"/>
      <c r="AP19" s="909">
        <f>SUM(AC19,AD19,AK19,AG19)-SUM(AE19,AF19,AH19,AL19,AM19,AP18)</f>
        <v>2.7195650803287563E-2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0.32138052494594854</v>
      </c>
      <c r="BU19" s="137"/>
      <c r="BV19" s="140"/>
      <c r="BW19" s="113"/>
      <c r="BX19" s="2"/>
      <c r="BY19" s="113"/>
      <c r="BZ19" s="140"/>
      <c r="CA19" s="137"/>
      <c r="CB19" s="2"/>
      <c r="CC19" s="2"/>
      <c r="CD19" s="78"/>
      <c r="CE19" s="2"/>
    </row>
    <row r="20" spans="1:83" ht="12.75" customHeight="1" x14ac:dyDescent="0.3">
      <c r="A20" s="17"/>
      <c r="B20" s="443" t="s">
        <v>140</v>
      </c>
      <c r="C20" s="295">
        <f>M.w0RD*Molweight</f>
        <v>1881993.6351714707</v>
      </c>
      <c r="D20" s="446">
        <f t="shared" si="5"/>
        <v>7.2189026748155797E-5</v>
      </c>
      <c r="E20" s="295">
        <f>M.w0CD*Molweight</f>
        <v>163314.23869866726</v>
      </c>
      <c r="F20" s="446">
        <f t="shared" si="6"/>
        <v>7.6710444669782552E-5</v>
      </c>
      <c r="G20" s="296"/>
      <c r="H20" s="446"/>
      <c r="I20" s="296"/>
      <c r="J20" s="446"/>
      <c r="K20" s="296"/>
      <c r="L20" s="461"/>
      <c r="M20" s="124">
        <f>C.w0R*Molweight</f>
        <v>3.2935094459841108E-5</v>
      </c>
      <c r="N20" s="124">
        <f>C.w0C*Molweight</f>
        <v>1.874030233156625E-7</v>
      </c>
      <c r="O20" s="124"/>
      <c r="P20" s="124"/>
      <c r="Q20" s="124"/>
      <c r="R20" s="160" t="s">
        <v>158</v>
      </c>
      <c r="S20" s="163">
        <f>F.w0R</f>
        <v>8.1827410163539199E-24</v>
      </c>
      <c r="T20" s="163">
        <f>F.w0C</f>
        <v>4.6560376723486072E-26</v>
      </c>
      <c r="U20" s="163"/>
      <c r="V20" s="163"/>
      <c r="W20" s="162"/>
      <c r="X20" s="17"/>
      <c r="Y20" s="156"/>
      <c r="Z20" s="17"/>
      <c r="AA20" s="312" t="s">
        <v>160</v>
      </c>
      <c r="AB20" s="162" t="s">
        <v>117</v>
      </c>
      <c r="AC20" s="161">
        <f>E.s3RD*Molweight</f>
        <v>0</v>
      </c>
      <c r="AD20" s="163"/>
      <c r="AE20" s="163"/>
      <c r="AF20" s="163">
        <f>(FRACinf.s3R*RAINrate.R/Ks3w.R*SYSTEMAREA.R*AREAFRAC.s3R*CORRleach.s3R)*C.s3R*Molweight</f>
        <v>4.3375231494823603E-6</v>
      </c>
      <c r="AG20" s="163">
        <f>(kdis.s3S.s3D*M.s3RS+kdis.s3A.s3D*M.s3RA+kdis.s3P.s3D*M.s3RP)*Molweight</f>
        <v>3.793261758918789E-3</v>
      </c>
      <c r="AH20" s="162">
        <f>KDEG.s3R*VOLUME.s3R*C.s3R*Molweight</f>
        <v>5.2832673008363915E-13</v>
      </c>
      <c r="AI20" s="163"/>
      <c r="AJ20" s="163"/>
      <c r="AK20" s="163">
        <f>k.aRG.s3RD*M.aR*Molweight</f>
        <v>6.1179062233062901E-21</v>
      </c>
      <c r="AL20" s="163">
        <f>k.s3RD.aRG*M.s3R*Molweight</f>
        <v>1.3747684841792135E-21</v>
      </c>
      <c r="AM20" s="163">
        <f>k.s3RD.w1RD*M.s3R*Molweight</f>
        <v>3.4731805489708984E-3</v>
      </c>
      <c r="AN20" s="163"/>
      <c r="AO20" s="162"/>
      <c r="AP20" s="909">
        <f>SUM(AC20,AD20,AK20,AG20)-SUM(AE20,AF20,AH20,AL20,AM20,AP19)</f>
        <v>-2.6879907117017484E-2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2.6766007014515312E-22</v>
      </c>
      <c r="BR20" s="113"/>
      <c r="BS20" s="113"/>
      <c r="BT20" s="138">
        <f>IF(AI14&lt;0,"",AI14)</f>
        <v>1.6824242114096339E-21</v>
      </c>
      <c r="BU20" s="137"/>
      <c r="BV20" s="136">
        <f>IF(AI13&lt;0,"",AI13)</f>
        <v>1.5294765558269395E-22</v>
      </c>
      <c r="BW20" s="114"/>
      <c r="BX20" s="299">
        <f>IF(AK18&lt;0,"",AK18)</f>
        <v>1.6518346802926987E-20</v>
      </c>
      <c r="BY20" s="113"/>
      <c r="BZ20" s="138">
        <f>IF(AK20&lt;0,"",AK20)</f>
        <v>6.1179062233062901E-21</v>
      </c>
      <c r="CA20" s="137"/>
      <c r="CB20" s="136">
        <f>IF(AK19&lt;0,"",AK19)</f>
        <v>3.6707437339837741E-20</v>
      </c>
      <c r="CC20" s="140"/>
      <c r="CD20" s="2"/>
      <c r="CE20" s="2"/>
    </row>
    <row r="21" spans="1:83" ht="12.75" customHeight="1" thickBot="1" x14ac:dyDescent="0.35">
      <c r="A21" s="17"/>
      <c r="B21" s="159" t="s">
        <v>161</v>
      </c>
      <c r="C21" s="295">
        <f>FRwD.w0R*C20</f>
        <v>1796275.3743094248</v>
      </c>
      <c r="D21" s="446">
        <f t="shared" si="5"/>
        <v>6.890106779307047E-5</v>
      </c>
      <c r="E21" s="295">
        <f>FRw.w0C*E20</f>
        <v>155875.84344926817</v>
      </c>
      <c r="F21" s="446">
        <f t="shared" si="6"/>
        <v>7.3216550862618404E-5</v>
      </c>
      <c r="G21" s="296"/>
      <c r="H21" s="446"/>
      <c r="I21" s="296"/>
      <c r="J21" s="446"/>
      <c r="K21" s="296"/>
      <c r="L21" s="461"/>
      <c r="M21" s="124">
        <f>M20*FRwD.w0R</f>
        <v>3.1435015519261928E-5</v>
      </c>
      <c r="N21" s="124">
        <f>N20*FRw.w0C</f>
        <v>1.7886746775442147E-7</v>
      </c>
      <c r="O21" s="124"/>
      <c r="P21" s="124"/>
      <c r="Q21" s="124"/>
      <c r="R21" s="160" t="s">
        <v>158</v>
      </c>
      <c r="S21" s="163">
        <f>S20*FRwD.w0R</f>
        <v>7.8100456384853956E-24</v>
      </c>
      <c r="T21" s="163">
        <f>T20*FRw.w0C</f>
        <v>4.4439713590927026E-26</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4.5116285774658539E-3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85718.260862046009</v>
      </c>
      <c r="D22" s="446">
        <f t="shared" si="5"/>
        <v>3.2879589550853326E-6</v>
      </c>
      <c r="E22" s="295">
        <f>(1-FRw.w0C)*E20</f>
        <v>7438.3952493991001</v>
      </c>
      <c r="F22" s="446">
        <f t="shared" si="6"/>
        <v>3.4938938071641607E-6</v>
      </c>
      <c r="G22" s="296"/>
      <c r="H22" s="446"/>
      <c r="I22" s="296"/>
      <c r="J22" s="446"/>
      <c r="K22" s="296"/>
      <c r="L22" s="461"/>
      <c r="M22" s="124">
        <f>M21*Kp.susp1R</f>
        <v>2.986326474329883</v>
      </c>
      <c r="N22" s="124">
        <f>N21*Kp.susp1C</f>
        <v>1.699240943667004E-2</v>
      </c>
      <c r="O22" s="124"/>
      <c r="P22" s="124"/>
      <c r="Q22" s="124"/>
      <c r="R22" s="160" t="s">
        <v>164</v>
      </c>
      <c r="S22" s="163">
        <f>S20*(1-FRwD.w0R)</f>
        <v>3.7269537786852422E-25</v>
      </c>
      <c r="T22" s="163">
        <f>T20*(1-FRw.w0C)</f>
        <v>2.1206631325590442E-27</v>
      </c>
      <c r="U22" s="163"/>
      <c r="V22" s="163"/>
      <c r="W22" s="162"/>
      <c r="X22" s="17"/>
      <c r="Y22" s="156"/>
      <c r="Z22" s="17"/>
      <c r="AA22" s="312" t="s">
        <v>141</v>
      </c>
      <c r="AB22" s="162" t="s">
        <v>118</v>
      </c>
      <c r="AC22" s="161">
        <f>E.aCG*Molweight</f>
        <v>0</v>
      </c>
      <c r="AD22" s="163">
        <f>(k.aR.aC*M.aR+k.aM.aC*M.aM)*Molweight</f>
        <v>3.0809719884685084E-19</v>
      </c>
      <c r="AE22" s="163">
        <f>(k.aC.aM+k.aC.aR)*M.aC*Molweight</f>
        <v>5.9145124037440157E-20</v>
      </c>
      <c r="AF22" s="163">
        <f>kesc.aC*VOLUME.aC*C.aC*Molweight</f>
        <v>1.2879978187382902E-23</v>
      </c>
      <c r="AG22" s="163"/>
      <c r="AH22" s="162">
        <f>KDEG.aC*VOLUME.aC*C.aC*Molweight</f>
        <v>1.3390174513853183E-46</v>
      </c>
      <c r="AI22" s="163">
        <f>SUM(AI23:AI25,AK28:AK30)</f>
        <v>2.7414595383362318E-19</v>
      </c>
      <c r="AJ22" s="163">
        <f>SUM(AJ23:AJ25,AL28:AL30)</f>
        <v>2.5206759002399815E-20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6.2809240483684262E-2</v>
      </c>
      <c r="BO22" s="113"/>
      <c r="BP22" s="113"/>
      <c r="BQ22" s="137"/>
      <c r="BR22" s="113"/>
      <c r="BS22" s="130">
        <f>AD14</f>
        <v>4.5116285774658539E-3</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0.20211887180655055</v>
      </c>
      <c r="D23" s="446">
        <f t="shared" si="5"/>
        <v>7.7528235858357556E-12</v>
      </c>
      <c r="E23" s="295">
        <f>M.w0CS*Molweight</f>
        <v>2.0276722699537255E-2</v>
      </c>
      <c r="F23" s="446">
        <f t="shared" si="6"/>
        <v>9.5241935248360547E-12</v>
      </c>
      <c r="G23" s="296"/>
      <c r="H23" s="446"/>
      <c r="I23" s="296"/>
      <c r="J23" s="446"/>
      <c r="K23" s="296"/>
      <c r="L23" s="461"/>
      <c r="M23" s="124">
        <f>C.w0RS*Molweight</f>
        <v>3.5371023635044066E-12</v>
      </c>
      <c r="N23" s="124">
        <f>C.w0CS*Molweight</f>
        <v>2.3267531154083096E-14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3.9150673660639411E-4</v>
      </c>
      <c r="AF23" s="163"/>
      <c r="AG23" s="163">
        <f>(kdis.w0S.w0D*M.w0CS+kdis.w0A.w0D*M.w0CA+kdis.w0P.w0D*M.w0CP)*Molweight</f>
        <v>2.5938971241624184E-4</v>
      </c>
      <c r="AH23" s="162">
        <f>KDEG.w0C*VOLUME.w0C*C.w0C*Molweight</f>
        <v>6.3305263687858727E-16</v>
      </c>
      <c r="AI23" s="163">
        <f>k.aC.w0C*M.aC*Molweight</f>
        <v>3.3185016901465146E-22</v>
      </c>
      <c r="AJ23" s="163">
        <f>k.w0C.aC*M.w0C*Molweight</f>
        <v>8.7096675643264433E-23</v>
      </c>
      <c r="AK23" s="163"/>
      <c r="AL23" s="163"/>
      <c r="AM23" s="163"/>
      <c r="AN23" s="163">
        <f>k.w0C.sd0C*M.w0CD*Molweight</f>
        <v>2.1876632217505193E-3</v>
      </c>
      <c r="AO23" s="162">
        <f>k.sd0C.w0C*M.sd0CD*Molweight</f>
        <v>0</v>
      </c>
      <c r="AP23" s="909">
        <f>SUM(AC23,AD23,AI23,AM23,AO23,AG23)-SUM(AF23,AE23,AH23,AJ23,AN23)</f>
        <v>-2.3197802459413047E-3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0.12350497399956721</v>
      </c>
      <c r="BO23" s="132"/>
      <c r="BP23" s="130">
        <f>AD15</f>
        <v>6.4096247244246979E-2</v>
      </c>
      <c r="BQ23" s="301"/>
      <c r="BR23" s="134"/>
      <c r="BS23" s="135"/>
      <c r="BT23" s="55">
        <f>AH14</f>
        <v>1.4478786282212514E-15</v>
      </c>
      <c r="BU23" s="113"/>
      <c r="BV23" s="940">
        <f>AH13</f>
        <v>7.2951448864926199E-15</v>
      </c>
      <c r="BW23" s="113"/>
      <c r="BX23" s="137"/>
      <c r="BY23" s="113"/>
      <c r="BZ23" s="2"/>
      <c r="CA23" s="113"/>
      <c r="CB23" s="2"/>
      <c r="CC23" s="141"/>
      <c r="CD23" s="113"/>
      <c r="CE23" s="2"/>
    </row>
    <row r="24" spans="1:83" ht="12.75" customHeight="1" thickBot="1" x14ac:dyDescent="0.4">
      <c r="A24" s="17"/>
      <c r="B24" s="159" t="s">
        <v>150</v>
      </c>
      <c r="C24" s="295">
        <f>M.w0RA*Molweight</f>
        <v>3821.3116491868232</v>
      </c>
      <c r="D24" s="446">
        <f t="shared" si="5"/>
        <v>1.4657688724385792E-7</v>
      </c>
      <c r="E24" s="295">
        <f>M.w0CA*Molweight</f>
        <v>1964.0565323217756</v>
      </c>
      <c r="F24" s="446">
        <f t="shared" si="6"/>
        <v>9.2253836010579323E-7</v>
      </c>
      <c r="G24" s="296"/>
      <c r="H24" s="446"/>
      <c r="I24" s="296"/>
      <c r="J24" s="446"/>
      <c r="K24" s="296"/>
      <c r="L24" s="461"/>
      <c r="M24" s="124">
        <f>C.w0RA*Molweight</f>
        <v>6.687337181934327E-8</v>
      </c>
      <c r="N24" s="124">
        <f>C.w0CA*Molweight</f>
        <v>2.2537540820253091E-9</v>
      </c>
      <c r="O24" s="124"/>
      <c r="P24" s="124"/>
      <c r="Q24" s="124"/>
      <c r="R24" s="160" t="s">
        <v>158</v>
      </c>
      <c r="S24" s="163"/>
      <c r="T24" s="163"/>
      <c r="U24" s="163"/>
      <c r="V24" s="163"/>
      <c r="W24" s="162"/>
      <c r="X24" s="17"/>
      <c r="Y24" s="156"/>
      <c r="Z24" s="17"/>
      <c r="AA24" s="312" t="s">
        <v>146</v>
      </c>
      <c r="AB24" s="162" t="s">
        <v>119</v>
      </c>
      <c r="AC24" s="161">
        <f>E.w1CD*Molweight</f>
        <v>0</v>
      </c>
      <c r="AD24" s="163">
        <f>k.w0C.w1C*M.w0C*Molweight</f>
        <v>3.9150673660639411E-4</v>
      </c>
      <c r="AE24" s="163">
        <f>(k.w1C.w0C+k.w1C.w1R+k.w1C.w2C)*M.w1C*Molweight</f>
        <v>3.1838982754571789E-3</v>
      </c>
      <c r="AF24" s="163"/>
      <c r="AG24" s="163">
        <f>(kdis.w1S.w1D*M.w1CS+kdis.w1A.w1D*M.w1CA+kdis.w1P.w1D*M.w1CP)*Molweight</f>
        <v>1.7514325878571612E-3</v>
      </c>
      <c r="AH24" s="162">
        <f>KDEG.w1C*VOLUME.w1C*C.w1C*Molweight</f>
        <v>7.3395223886880831E-17</v>
      </c>
      <c r="AI24" s="163">
        <f>k.aC.w1C*M.aC*Molweight</f>
        <v>3.6503518591611659E-21</v>
      </c>
      <c r="AJ24" s="163">
        <f>k.w1C.aC*M.w1C*Molweight</f>
        <v>3.3659549702744245E-22</v>
      </c>
      <c r="AK24" s="163"/>
      <c r="AL24" s="163"/>
      <c r="AM24" s="163">
        <f>(k.s1C.w1C*M.s1C+k.s2C.w1C*M.s2C+k.s3C.w1C*M.s3C)*Molweight</f>
        <v>2.5517582705354352E-2</v>
      </c>
      <c r="AN24" s="163">
        <f>k.w1C.sd1C*M.w1C*Molweight</f>
        <v>0.25266992217357021</v>
      </c>
      <c r="AO24" s="162">
        <f>k.sd1C.w1C*M.sd1C*Molweight</f>
        <v>0.22819329841920963</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6.6455984392716667</v>
      </c>
      <c r="D25" s="446">
        <f t="shared" si="5"/>
        <v>2.5491015193915635E-10</v>
      </c>
      <c r="E25" s="295">
        <f>M.w0CP*Molweight</f>
        <v>0.99676986644764864</v>
      </c>
      <c r="F25" s="446">
        <f t="shared" si="6"/>
        <v>4.681934673786829E-10</v>
      </c>
      <c r="G25" s="296"/>
      <c r="H25" s="446"/>
      <c r="I25" s="296"/>
      <c r="J25" s="446"/>
      <c r="K25" s="296"/>
      <c r="L25" s="461"/>
      <c r="M25" s="124">
        <f>C.w0RP*Molweight</f>
        <v>1.1629869955412636E-10</v>
      </c>
      <c r="N25" s="124">
        <f>C.w0CP*Molweight</f>
        <v>1.1437930214211193E-12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2.702090133464186</v>
      </c>
      <c r="AE25" s="163">
        <f>(k.w2C.w2M+k.w2C.w2R)*M.w2C*Molweight</f>
        <v>2.4583002321842362</v>
      </c>
      <c r="AF25" s="163"/>
      <c r="AG25" s="163">
        <f>(kdis.w2S.w2D*M.w2CS+kdis.w2A.w2D*M.w2CA+kdis.w2P.w2D*M.w2CP)*Molweight</f>
        <v>9.7691043692824664E-2</v>
      </c>
      <c r="AH25" s="162">
        <f>KDEG.w2C*VOLUME.w2C*C.w2C*Molweight</f>
        <v>2.1343763770581446E-13</v>
      </c>
      <c r="AI25" s="163">
        <f>k.aC.w2C*M.aC*Molweight</f>
        <v>1.4140588622778976E-19</v>
      </c>
      <c r="AJ25" s="163">
        <f>k.w2C.aC*M.w2C*Molweight</f>
        <v>1.4682593214514336E-20</v>
      </c>
      <c r="AK25" s="163"/>
      <c r="AL25" s="163"/>
      <c r="AM25" s="163"/>
      <c r="AN25" s="163">
        <f>k.w2C.sd2C*M.w2C*Molweight</f>
        <v>3.6798469836605268</v>
      </c>
      <c r="AO25" s="162">
        <f>k.sd2C.w2C*M.sd2C*Molweight</f>
        <v>3.3383660386879654</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2.4680518122258403E-2</v>
      </c>
      <c r="AG26" s="163">
        <f>(kdis.sd1S.sd1D*M.sd1CS+kdis.sd1A.sd1D*M.sd1CA+kdis.sd1P.sd1D*M.sd1CP)*Molweight</f>
        <v>2.0389436793265359E-4</v>
      </c>
      <c r="AH26" s="162">
        <f>KDEG.sd1C*VOLUME.sd1C*C.sd1C*Molweight</f>
        <v>3.4873376837276112E-14</v>
      </c>
      <c r="AI26" s="163"/>
      <c r="AJ26" s="163"/>
      <c r="AK26" s="163"/>
      <c r="AL26" s="163"/>
      <c r="AM26" s="163"/>
      <c r="AN26" s="163">
        <f>k.w1C.sd1C*M.w1C*Molweight</f>
        <v>0.25266992217357021</v>
      </c>
      <c r="AO26" s="162">
        <f>k.sd1C.w1C*M.sd1C*Molweight</f>
        <v>0.22819329841920963</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4.5641482108996634</v>
      </c>
      <c r="BT26" s="82">
        <f>IF(ISERROR(D36),0,D36)</f>
        <v>3.3164643208995983E-5</v>
      </c>
      <c r="BU26" s="113"/>
      <c r="BV26" s="82">
        <f>IF(ISERROR(F36),0,D20)</f>
        <v>7.2189026748155797E-5</v>
      </c>
      <c r="BW26" s="2"/>
      <c r="BX26" s="76" t="s">
        <v>171</v>
      </c>
      <c r="BY26" s="42"/>
      <c r="BZ26" s="76" t="s">
        <v>172</v>
      </c>
      <c r="CA26" s="113"/>
      <c r="CB26" s="113"/>
      <c r="CC26" s="76" t="s">
        <v>173</v>
      </c>
      <c r="CD26" s="94"/>
      <c r="CE26" s="2"/>
    </row>
    <row r="27" spans="1:83" ht="12.75" customHeight="1" x14ac:dyDescent="0.35">
      <c r="A27" s="17"/>
      <c r="B27" s="104" t="s">
        <v>174</v>
      </c>
      <c r="C27" s="295">
        <f>SUM(C28,C31:C33)</f>
        <v>8708366.9754215963</v>
      </c>
      <c r="D27" s="446">
        <f t="shared" ref="D27:D33" si="7">C27/$C$103</f>
        <v>3.3403329574182607E-4</v>
      </c>
      <c r="E27" s="295">
        <f>SUM(E28,E31:E33)</f>
        <v>761567.89625239326</v>
      </c>
      <c r="F27" s="446">
        <f t="shared" ref="F27:F33" si="8">E27/$E$103</f>
        <v>3.5771658633846146E-4</v>
      </c>
      <c r="G27" s="296"/>
      <c r="H27" s="446"/>
      <c r="I27" s="296"/>
      <c r="J27" s="446"/>
      <c r="K27" s="296"/>
      <c r="L27" s="461"/>
      <c r="M27" s="459">
        <f>((M.sd0RD+M.sd0RS+M.sd0RA+M.sd0RP)*Molweight*1000/(VOLUME.sd0R))/(FRACw.sdR*1000+FRACs.sdR*RHOsolid)</f>
        <v>0.39076249885504849</v>
      </c>
      <c r="N27" s="459">
        <f>((M.sd0CD+M.sd0CS+M.sd0CA+M.sd0CP)*Molweight*1000/(VOLUME.sd0C))/(FRACw.sdC*1000+FRACs.sdC*RHOsolid)</f>
        <v>2.2407662950897993E-3</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0.34148607160531474</v>
      </c>
      <c r="AG27" s="163">
        <f>(kdis.sd2S.sd2D*M.sd2CS+kdis.sd2A.sd2D*M.sd2CA+kdis.sd2P.sd2D*M.sd2CP)*Molweight</f>
        <v>5.1266342721687984E-6</v>
      </c>
      <c r="AH27" s="162">
        <f>KDEG.sd2C*VOLUME.sd2C*C.sd2C*Molweight</f>
        <v>1.5184646714435794E-12</v>
      </c>
      <c r="AI27" s="163"/>
      <c r="AJ27" s="163"/>
      <c r="AK27" s="163"/>
      <c r="AL27" s="163"/>
      <c r="AM27" s="163"/>
      <c r="AN27" s="163">
        <f>k.w2C.sd2C*M.w2C*Molweight</f>
        <v>3.6798469836605268</v>
      </c>
      <c r="AO27" s="162">
        <f>k.sd2C.w2C*M.sd2C*Molweight</f>
        <v>3.3383660386879654</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1.3472823616883229E-2</v>
      </c>
      <c r="BY27" s="42"/>
      <c r="BZ27" s="96">
        <f>IF(ISERROR(D92),0,D92)</f>
        <v>4.9899318536887416E-3</v>
      </c>
      <c r="CA27" s="113"/>
      <c r="CB27" s="113"/>
      <c r="CC27" s="96">
        <f>IF(ISERROR(D84),0,D84)</f>
        <v>0.97409461951720733</v>
      </c>
      <c r="CD27" s="2"/>
      <c r="CE27" s="2"/>
    </row>
    <row r="28" spans="1:83" ht="12.75" customHeight="1" x14ac:dyDescent="0.3">
      <c r="A28" s="17"/>
      <c r="B28" s="443" t="s">
        <v>140</v>
      </c>
      <c r="C28" s="295">
        <f>M.sd0RD*Molweight</f>
        <v>8708338.5868413355</v>
      </c>
      <c r="D28" s="446">
        <f t="shared" si="7"/>
        <v>3.3403220681998199E-4</v>
      </c>
      <c r="E28" s="295">
        <f>M.sd0CD*Molweight</f>
        <v>761558.57756702602</v>
      </c>
      <c r="F28" s="446">
        <f t="shared" si="8"/>
        <v>3.5771220925227501E-4</v>
      </c>
      <c r="G28" s="296"/>
      <c r="H28" s="446"/>
      <c r="I28" s="296"/>
      <c r="J28" s="446"/>
      <c r="K28" s="296"/>
      <c r="L28" s="461"/>
      <c r="M28" s="124">
        <f>C.sd0RD*(Molweight*1000)/(FRACw.sdR*1000+FRACs.sdR*RHOsolid)</f>
        <v>0.39076122500053667</v>
      </c>
      <c r="N28" s="124">
        <f>C.sd0CD*(Molweight*1000)/(FRACw.sdC*1000+FRACs.sdC*RHOsolid)</f>
        <v>2.2407388766597582E-3</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8.7874358456502158E-6</v>
      </c>
      <c r="AG28" s="163">
        <f>(kdis.s1S.s1D*M.s1CS+kdis.s1A.s1D*M.s1CA+kdis.s1P.s1D*M.s1CP)*Molweight</f>
        <v>7.6848107095947417E-3</v>
      </c>
      <c r="AH28" s="162">
        <f>KDEG.s1C*VOLUME.s1C*C.s1C*Molweight</f>
        <v>1.0703429321653742E-12</v>
      </c>
      <c r="AI28" s="163"/>
      <c r="AJ28" s="163"/>
      <c r="AK28" s="163">
        <f>k.aC.s1C*M.aC*Molweight</f>
        <v>3.5839818253574798E-20</v>
      </c>
      <c r="AL28" s="163">
        <f>k.s1C.aC*M.s1C*Molweight</f>
        <v>2.7851585895946954E-21</v>
      </c>
      <c r="AM28" s="163">
        <f>k.s1C.w1C*M.s1C*Molweight</f>
        <v>7.0363546666221879E-3</v>
      </c>
      <c r="AN28" s="163"/>
      <c r="AO28" s="162"/>
      <c r="AP28" s="909">
        <f>SUM(AC28,AD28,AK28,AG28)-SUM(AE28,AF28,AH28,AL28,AM28,AP27)</f>
        <v>6.3966860605656033E-4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4.9844575836879645</v>
      </c>
      <c r="BT28" s="22">
        <f>AH16</f>
        <v>6.9806597145847556E-13</v>
      </c>
      <c r="BU28" s="113"/>
      <c r="BV28" s="113"/>
      <c r="BW28" s="113"/>
      <c r="BX28" s="2"/>
      <c r="BY28" s="42"/>
      <c r="BZ28" s="113"/>
      <c r="CA28" s="113"/>
      <c r="CB28" s="113"/>
      <c r="CC28" s="113"/>
      <c r="CD28" s="2"/>
      <c r="CE28" s="2"/>
    </row>
    <row r="29" spans="1:83" ht="12.75" customHeight="1" thickBot="1" x14ac:dyDescent="0.4">
      <c r="A29" s="17"/>
      <c r="B29" s="159" t="s">
        <v>178</v>
      </c>
      <c r="C29" s="295">
        <f>C28*FRACw.sdR</f>
        <v>6966670.869473069</v>
      </c>
      <c r="D29" s="446">
        <f t="shared" si="7"/>
        <v>2.672257654559856E-4</v>
      </c>
      <c r="E29" s="295">
        <f>E28*FRACw.sdC</f>
        <v>609246.86205362086</v>
      </c>
      <c r="F29" s="446">
        <f t="shared" si="8"/>
        <v>2.8616976740182006E-4</v>
      </c>
      <c r="G29" s="296"/>
      <c r="H29" s="446"/>
      <c r="I29" s="296"/>
      <c r="J29" s="446"/>
      <c r="K29" s="296"/>
      <c r="L29" s="461"/>
      <c r="M29" s="124">
        <f>M30/Kp.sd0R</f>
        <v>2.1388315025207476E-2</v>
      </c>
      <c r="N29" s="124">
        <f>N30/Kp.sd0C</f>
        <v>1.2264683882891046E-4</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1.9825897483476457E-5</v>
      </c>
      <c r="AG29" s="163">
        <f>(kdis.s2S.s2D*M.s2CS+kdis.s2A.s2D*M.s2CA+kdis.s2P.s2D*M.s2CP)*Molweight</f>
        <v>1.7338194213864691E-2</v>
      </c>
      <c r="AH29" s="162">
        <f>KDEG.s2C*VOLUME.s2C*C.s2C*Molweight</f>
        <v>5.3067725608700865E-12</v>
      </c>
      <c r="AI29" s="163"/>
      <c r="AJ29" s="163"/>
      <c r="AK29" s="163">
        <f>k.aC.s2C*M.aC*Molweight</f>
        <v>7.9644040563499531E-20</v>
      </c>
      <c r="AL29" s="163">
        <f>k.s2C.aC*M.s2C*Molweight</f>
        <v>6.2837748852370141E-21</v>
      </c>
      <c r="AM29" s="163">
        <f>k.s2C.w1C*M.s2C*Molweight</f>
        <v>1.587517095181824E-2</v>
      </c>
      <c r="AN29" s="163"/>
      <c r="AO29" s="162"/>
      <c r="AP29" s="909">
        <f>SUM(AC29,AD29,AK29,AG29)-SUM(AE29,AF29,AH29,AL29,AM29,AP28)</f>
        <v>8.0352875319963935E-4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1.4264829771652328E-12</v>
      </c>
      <c r="BY29" s="42"/>
      <c r="BZ29" s="55">
        <f>AH20</f>
        <v>5.2832673008363915E-13</v>
      </c>
      <c r="CA29" s="2"/>
      <c r="CB29" s="113"/>
      <c r="CC29" s="22">
        <f>AH19</f>
        <v>1.0313572213238779E-10</v>
      </c>
      <c r="CD29" s="2"/>
      <c r="CE29" s="2"/>
    </row>
    <row r="30" spans="1:83" ht="12.75" customHeight="1" x14ac:dyDescent="0.3">
      <c r="A30" s="17"/>
      <c r="B30" s="159" t="s">
        <v>179</v>
      </c>
      <c r="C30" s="295">
        <f>C28*FRACs.sdR</f>
        <v>1741667.7173682668</v>
      </c>
      <c r="D30" s="446">
        <f t="shared" si="7"/>
        <v>6.6806441363996387E-5</v>
      </c>
      <c r="E30" s="295">
        <f>E28*FRACs.sdC</f>
        <v>152311.71551340516</v>
      </c>
      <c r="F30" s="446">
        <f t="shared" si="8"/>
        <v>7.1542441850454988E-5</v>
      </c>
      <c r="G30" s="296"/>
      <c r="H30" s="446"/>
      <c r="I30" s="296"/>
      <c r="J30" s="446"/>
      <c r="K30" s="296"/>
      <c r="L30" s="461"/>
      <c r="M30" s="124">
        <f>C.sd0RD*FRACs.sdR/(FRACw.sdR/(Kp.sd0R*RHOsolid/1000)+FRACs.sdR)*(Molweight*1000*1000)/(FRACs.sdR*RHOsolid)</f>
        <v>1015.9449636973552</v>
      </c>
      <c r="N30" s="124">
        <f>C.sd0CD*FRACs.sdC/(FRACw.sdC/(Kp.sd0C*RHOsolid/1000)+FRACs.sdC)*(Molweight*1000*1000)/(FRACs.sdC*RHOsolid)</f>
        <v>5.8257248443732461</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3.2546056227082809E-6</v>
      </c>
      <c r="AG30" s="163">
        <f>(kdis.s3S.s3D*M.s3CS+kdis.s3A.s3D*M.s3CA+kdis.s3P.s3D*M.s3CP)*Molweight</f>
        <v>2.8462259735615972E-3</v>
      </c>
      <c r="AH30" s="162">
        <f>KDEG.s3C*VOLUME.s3C*C.s3C*Molweight</f>
        <v>3.9642327823944801E-13</v>
      </c>
      <c r="AI30" s="163"/>
      <c r="AJ30" s="163"/>
      <c r="AK30" s="163">
        <f>k.aC.s3C*M.aC*Molweight</f>
        <v>1.3274006760583252E-20</v>
      </c>
      <c r="AL30" s="163">
        <f>k.s3C.aC*M.s3C*Molweight</f>
        <v>1.0315401403830605E-21</v>
      </c>
      <c r="AM30" s="163">
        <f>k.s3C.w1C*M.s3C*Molweight</f>
        <v>2.6060570869139267E-3</v>
      </c>
      <c r="AN30" s="163"/>
      <c r="AO30" s="162"/>
      <c r="AP30" s="909">
        <f>SUM(AC30,AD30,AK30,AG30)-SUM(AE30,AF30,AH30,AL30,AM30,AP29)</f>
        <v>-5.6661447257110031E-4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1.3189736069516903E-10</v>
      </c>
      <c r="D31" s="446">
        <f t="shared" si="7"/>
        <v>5.0592849631859626E-21</v>
      </c>
      <c r="E31" s="295">
        <f>M.sd0CS*Molweight</f>
        <v>1.3232046027425176E-11</v>
      </c>
      <c r="F31" s="446">
        <f t="shared" si="8"/>
        <v>6.2152335445023158E-21</v>
      </c>
      <c r="G31" s="296"/>
      <c r="H31" s="446"/>
      <c r="I31" s="296"/>
      <c r="J31" s="446"/>
      <c r="K31" s="296"/>
      <c r="L31" s="461"/>
      <c r="M31" s="124">
        <f>C.sd0RS*(Molweight*1000)/(FRACw.sdR*1000+FRACs.sdR*RHOsolid)</f>
        <v>5.9185083039216635E-18</v>
      </c>
      <c r="N31" s="124">
        <f>C.sd0CS*(Molweight*1000)/(FRACw.sdC*1000+FRACs.sdC*RHOsolid)</f>
        <v>3.8932737185004519E-20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6.5930823269255805E-3</v>
      </c>
      <c r="BU31" s="113"/>
      <c r="BV31" s="113"/>
      <c r="BW31" s="113"/>
      <c r="BX31" s="113"/>
      <c r="BY31" s="113"/>
      <c r="BZ31" s="2"/>
      <c r="CA31" s="113"/>
      <c r="CB31" s="2"/>
      <c r="CC31" s="2"/>
      <c r="CD31" s="2"/>
      <c r="CE31" s="2"/>
    </row>
    <row r="32" spans="1:83" ht="12.75" customHeight="1" thickBot="1" x14ac:dyDescent="0.35">
      <c r="A32" s="17"/>
      <c r="B32" s="159" t="s">
        <v>150</v>
      </c>
      <c r="C32" s="295">
        <f>M.sd0RA*Molweight</f>
        <v>13.899577842041552</v>
      </c>
      <c r="D32" s="446">
        <f t="shared" si="7"/>
        <v>5.3315642405761406E-10</v>
      </c>
      <c r="E32" s="295">
        <f>M.sd0CA*Molweight</f>
        <v>7.1451471136887665</v>
      </c>
      <c r="F32" s="446">
        <f t="shared" si="8"/>
        <v>3.3561520213396526E-9</v>
      </c>
      <c r="G32" s="296"/>
      <c r="H32" s="446"/>
      <c r="I32" s="296"/>
      <c r="J32" s="446"/>
      <c r="K32" s="296"/>
      <c r="L32" s="461"/>
      <c r="M32" s="124">
        <f>C.sd0RA*(Molweight*1000)/(FRACw.sdR*1000+FRACs.sdR*RHOsolid)</f>
        <v>6.2370290387578294E-7</v>
      </c>
      <c r="N32" s="124">
        <f>C.sd0CA*(Molweight*1000)/(FRACw.sdC*1000+FRACs.sdC*RHOsolid)</f>
        <v>2.1023213957151678E-8</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1.5665165610889598E-17</v>
      </c>
      <c r="AE32" s="163">
        <f>(k.aM.aA+k.aM.aC+k.aM.aT)*M.aM*Molweight</f>
        <v>2.0322595446200121E-18</v>
      </c>
      <c r="AF32" s="163">
        <f>kesc.aM*VOLUME.aM*C.aM*Molweight</f>
        <v>6.3926493296454133E-22</v>
      </c>
      <c r="AG32" s="163"/>
      <c r="AH32" s="162">
        <f>KDEG.aM*VOLUME.aM*C.aM*Molweight</f>
        <v>6.6458722898824677E-45</v>
      </c>
      <c r="AI32" s="163">
        <f>SUM(AI33,AK36)</f>
        <v>1.3800846287569736E-17</v>
      </c>
      <c r="AJ32" s="163">
        <f>SUM(AJ33,AL36)</f>
        <v>1.6857948623311464E-19</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2.4820712096525372E-16</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14.489002419948836</v>
      </c>
      <c r="D33" s="446">
        <f t="shared" si="7"/>
        <v>5.5576542008468758E-10</v>
      </c>
      <c r="E33" s="295">
        <f>M.sd0CP*Molweight</f>
        <v>2.1735382535320356</v>
      </c>
      <c r="F33" s="446">
        <f t="shared" si="8"/>
        <v>1.0209341651028109E-9</v>
      </c>
      <c r="G33" s="296"/>
      <c r="H33" s="446"/>
      <c r="I33" s="296"/>
      <c r="J33" s="446"/>
      <c r="K33" s="296"/>
      <c r="L33" s="461"/>
      <c r="M33" s="124">
        <f>C.sd0RP*(Molweight*1000)/(FRACw.sdR*1000+FRACs.sdR*RHOsolid)</f>
        <v>6.5015160793243329E-7</v>
      </c>
      <c r="N33" s="124">
        <f>C.sd0CP*(Molweight*1000)/(FRACw.sdC*1000+FRACs.sdC*RHOsolid)</f>
        <v>6.3952160845667063E-9</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124.62366795409025</v>
      </c>
      <c r="AE33" s="163">
        <f>(k.w2M.w2C+k.w2M.w2A+k.w2M.w2T+k.w2M.w3M)*M.w2M*Molweight</f>
        <v>124.71075802990495</v>
      </c>
      <c r="AF33" s="163"/>
      <c r="AG33" s="163">
        <f>(kdis.w2S.w2D*M.w2MS+kdis.w2A.w2D*M.w2MA+kdis.w2P.w2D*M.w2MP)*Molweight</f>
        <v>6.5498084046952093E-2</v>
      </c>
      <c r="AH33" s="162">
        <f>KDEG.w2M*VOLUME.w2M*C.w2M*Molweight</f>
        <v>1.1683579536797953E-12</v>
      </c>
      <c r="AI33" s="163">
        <f>k.aM.w2M*M.aM*Molweight</f>
        <v>6.9004231437855865E-18</v>
      </c>
      <c r="AJ33" s="163">
        <f>k.w2M.aM*M.w2M*Molweight</f>
        <v>1.6074507520990515E-19</v>
      </c>
      <c r="AK33" s="163"/>
      <c r="AL33" s="163"/>
      <c r="AM33" s="163">
        <f>k.sM.w2M*M.sM*Molweight</f>
        <v>2.1591991768999504E-2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122.15090554107016</v>
      </c>
      <c r="AE34" s="163">
        <f>(k.w3M.w2M+k.w3M.w3A+k.w3M.w3T)*M.w3M*Molweight</f>
        <v>122.14007539787744</v>
      </c>
      <c r="AF34" s="163"/>
      <c r="AG34" s="163">
        <f>(kdis.w2S.w2D*M.w3MS+kdis.w2A.w2D*M.w3MA+kdis.w2P.w2D*M.w3MP)*Molweight</f>
        <v>1.3845890594645623E-3</v>
      </c>
      <c r="AH34" s="162">
        <f>KDEG.w3M*M.w3MD*Molweight</f>
        <v>3.505209277549167E-11</v>
      </c>
      <c r="AI34" s="163"/>
      <c r="AJ34" s="163"/>
      <c r="AK34" s="163"/>
      <c r="AL34" s="163"/>
      <c r="AM34" s="163"/>
      <c r="AN34" s="163">
        <f>k.w3M.sdM*M.w3M*Molweight</f>
        <v>40.288532443581644</v>
      </c>
      <c r="AO34" s="162">
        <f>k.sdM.w3M*M.sdM*Molweight</f>
        <v>40.276317711364463</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6.7314599436108971E-2</v>
      </c>
      <c r="BQ34" s="96">
        <f>IF(ISERROR(D52),0,D52)</f>
        <v>3.4583031434201661E-6</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2055723.6025509082</v>
      </c>
      <c r="D35" s="446">
        <f t="shared" ref="D35:D41" si="9">C35/$C$103</f>
        <v>7.8852916055607031E-5</v>
      </c>
      <c r="E35" s="295">
        <f>SUM(E36,E39:E41)</f>
        <v>57097.062670609557</v>
      </c>
      <c r="F35" s="446">
        <f t="shared" ref="F35:F41" si="10">E35/$E$103</f>
        <v>2.6819101026961738E-5</v>
      </c>
      <c r="G35" s="296"/>
      <c r="H35" s="446"/>
      <c r="I35" s="296"/>
      <c r="J35" s="446"/>
      <c r="K35" s="296"/>
      <c r="L35" s="461"/>
      <c r="M35" s="459">
        <f>(M.w1RD+M.w1RS+M.w1RA+M.w1RP)*Molweight/(VOLUME.w1R)</f>
        <v>1.0901632694186426E-4</v>
      </c>
      <c r="N35" s="459">
        <f>(M.w1CD+M.w1CS+M.w1CA+M.w1CP)*Molweight/(VOLUME.w1C)</f>
        <v>1.9854198934219598E-7</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1.2214734402636505E-2</v>
      </c>
      <c r="AG35" s="163">
        <f>(kdis.sd2S.sd2D*M.sdMS+kdis.sd2A.sd2D*M.sdMA+kdis.sd2P.sd2D*M.sdMP)*Molweight</f>
        <v>2.2020840108716062E-9</v>
      </c>
      <c r="AH35" s="162">
        <f>KDEG.sdM*M.sdMD*Molweight</f>
        <v>1.6624774950080817E-11</v>
      </c>
      <c r="AI35" s="163"/>
      <c r="AJ35" s="163"/>
      <c r="AK35" s="163"/>
      <c r="AL35" s="163"/>
      <c r="AM35" s="163"/>
      <c r="AN35" s="163">
        <f>k.w3M.sdM*M.w3M*Molweight</f>
        <v>40.288532443581644</v>
      </c>
      <c r="AO35" s="162">
        <f>k.sdM.w3M*M.sdM*Molweight</f>
        <v>40.276317711364463</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864614.05900111678</v>
      </c>
      <c r="D36" s="446">
        <f t="shared" si="9"/>
        <v>3.3164643208995983E-5</v>
      </c>
      <c r="E36" s="295">
        <f>M.w1CD*Molweight</f>
        <v>43828.633974721961</v>
      </c>
      <c r="F36" s="446">
        <f t="shared" si="10"/>
        <v>2.0586778153946094E-5</v>
      </c>
      <c r="G36" s="296"/>
      <c r="H36" s="446"/>
      <c r="I36" s="296"/>
      <c r="J36" s="446"/>
      <c r="K36" s="296"/>
      <c r="L36" s="461"/>
      <c r="M36" s="124">
        <f>C.w1R*Molweight</f>
        <v>4.5851032122040283E-5</v>
      </c>
      <c r="N36" s="124">
        <f>C.w1C*Molweight</f>
        <v>1.5240406025249846E-7</v>
      </c>
      <c r="O36" s="124"/>
      <c r="P36" s="124"/>
      <c r="Q36" s="124"/>
      <c r="R36" s="160" t="s">
        <v>158</v>
      </c>
      <c r="S36" s="163">
        <f>F.w1R</f>
        <v>1.1391712316011681E-23</v>
      </c>
      <c r="T36" s="163">
        <f>F.w1C</f>
        <v>3.7864866500006671E-26</v>
      </c>
      <c r="U36" s="163"/>
      <c r="V36" s="163"/>
      <c r="W36" s="162"/>
      <c r="X36" s="17"/>
      <c r="Y36" s="156"/>
      <c r="Z36" s="17"/>
      <c r="AA36" s="312" t="s">
        <v>206</v>
      </c>
      <c r="AB36" s="162" t="s">
        <v>192</v>
      </c>
      <c r="AC36" s="161">
        <f>E.sMD*Molweight</f>
        <v>0</v>
      </c>
      <c r="AD36" s="163"/>
      <c r="AE36" s="163"/>
      <c r="AF36" s="163">
        <f>(FRACinf.sM*RAINrate.M/Kslw.M*SYSTEMAREA.M*AREAFRAC.sM*CORRleach.sM)*C.sM*Molweight</f>
        <v>2.47182995295527E-5</v>
      </c>
      <c r="AG36" s="163">
        <f>(kdis.s1S.s1D*M.sMS+kdis.s1A.s1D*M.sMA+kdis.s1P.s1D*M.sMP)*Molweight</f>
        <v>2.161671007153983E-2</v>
      </c>
      <c r="AH36" s="162">
        <f>KDEG.sM*VOLUME.sM*C.sM*Molweight</f>
        <v>3.0107824012962405E-12</v>
      </c>
      <c r="AI36" s="163"/>
      <c r="AJ36" s="163"/>
      <c r="AK36" s="163">
        <f>k.aM.sM*M.aM*Molweight</f>
        <v>6.900423143784149E-18</v>
      </c>
      <c r="AL36" s="163">
        <f>k.sM.aM*M.sM*Molweight</f>
        <v>7.8344110232094852E-21</v>
      </c>
      <c r="AM36" s="163">
        <f>k.sM.w2M*M.sM*Molweight</f>
        <v>2.1591991768999504E-2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356509.53686721897</v>
      </c>
      <c r="D37" s="446">
        <f t="shared" si="9"/>
        <v>1.3674900919914886E-5</v>
      </c>
      <c r="E37" s="295">
        <f>FRw.w1C*E36</f>
        <v>18072.023970906539</v>
      </c>
      <c r="F37" s="446">
        <f t="shared" si="10"/>
        <v>8.4886229512976519E-6</v>
      </c>
      <c r="G37" s="296"/>
      <c r="H37" s="446"/>
      <c r="I37" s="296"/>
      <c r="J37" s="446"/>
      <c r="K37" s="296"/>
      <c r="L37" s="461"/>
      <c r="M37" s="124">
        <f>M36*FRwD.w1R</f>
        <v>1.8905926935304954E-5</v>
      </c>
      <c r="N37" s="124">
        <f>N36*FRw.w1C</f>
        <v>6.2841334086185358E-8</v>
      </c>
      <c r="O37" s="124"/>
      <c r="P37" s="124"/>
      <c r="Q37" s="124"/>
      <c r="R37" s="160" t="s">
        <v>158</v>
      </c>
      <c r="S37" s="163">
        <f>S36*FRwD.w1R</f>
        <v>4.6971871896206036E-24</v>
      </c>
      <c r="T37" s="163">
        <f>T36*FRw.w1C</f>
        <v>1.5612961504526051E-26</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8.5586050822579043E-2</v>
      </c>
      <c r="BQ37" s="55">
        <f>AH17</f>
        <v>3.5372150923927059E-14</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508104.52213389776</v>
      </c>
      <c r="D38" s="446">
        <f t="shared" si="9"/>
        <v>1.9489742289081092E-5</v>
      </c>
      <c r="E38" s="295">
        <f>(1-FRw.w1C)*E36</f>
        <v>25756.610003815418</v>
      </c>
      <c r="F38" s="446">
        <f t="shared" si="10"/>
        <v>1.2098155202648441E-5</v>
      </c>
      <c r="G38" s="296"/>
      <c r="H38" s="446"/>
      <c r="I38" s="296"/>
      <c r="J38" s="446"/>
      <c r="K38" s="296"/>
      <c r="L38" s="461"/>
      <c r="M38" s="124">
        <f>M37*Kp.susp1R</f>
        <v>1.7960630588539706</v>
      </c>
      <c r="N38" s="124">
        <f>N37*Kp.susp1C</f>
        <v>5.9699267381876087E-3</v>
      </c>
      <c r="O38" s="124"/>
      <c r="P38" s="124"/>
      <c r="Q38" s="124"/>
      <c r="R38" s="160" t="s">
        <v>164</v>
      </c>
      <c r="S38" s="163">
        <f>S36*(1-FRwD.w1R)</f>
        <v>6.6945251263910758E-24</v>
      </c>
      <c r="T38" s="163">
        <f>T36*(1-FRw.w1C)</f>
        <v>2.2251904995480617E-26</v>
      </c>
      <c r="U38" s="163"/>
      <c r="V38" s="163"/>
      <c r="W38" s="162"/>
      <c r="X38" s="17"/>
      <c r="Y38" s="156"/>
      <c r="Z38" s="17"/>
      <c r="AA38" s="312" t="s">
        <v>141</v>
      </c>
      <c r="AB38" s="162" t="s">
        <v>193</v>
      </c>
      <c r="AC38" s="161">
        <f>E.aAG*Molweight</f>
        <v>0</v>
      </c>
      <c r="AD38" s="163">
        <f>k.aM.aA*M.aM*Molweight</f>
        <v>6.6194574641944723E-19</v>
      </c>
      <c r="AE38" s="163">
        <f>k.aA.aM*M.aA*Molweight</f>
        <v>5.261933614751531E-20</v>
      </c>
      <c r="AF38" s="163">
        <f>kesc.aA*VOLUME.aA*C.aA*Molweight</f>
        <v>2.7841484164114929E-23</v>
      </c>
      <c r="AG38" s="163"/>
      <c r="AH38" s="162">
        <f>KDEG.aA*VOLUME.aA*C.aA*Molweight</f>
        <v>1.2581697715341736E-50</v>
      </c>
      <c r="AI38" s="163">
        <f>SUM(AI39,AK42)</f>
        <v>6.0929885899943919E-19</v>
      </c>
      <c r="AJ38" s="163">
        <f>SUM(AJ39,AL42)</f>
        <v>2.9021167141665056E-25</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223.84334269431812</v>
      </c>
      <c r="D39" s="446">
        <f t="shared" si="9"/>
        <v>8.5861252403674927E-9</v>
      </c>
      <c r="E39" s="295">
        <f>M.w1CS*Molweight</f>
        <v>8.2994512148115027E-2</v>
      </c>
      <c r="F39" s="446">
        <f t="shared" si="10"/>
        <v>3.8983410036773046E-11</v>
      </c>
      <c r="G39" s="296"/>
      <c r="H39" s="446"/>
      <c r="I39" s="296"/>
      <c r="J39" s="446"/>
      <c r="K39" s="296"/>
      <c r="L39" s="461"/>
      <c r="M39" s="124">
        <f>C.w1RS*Molweight</f>
        <v>1.1870554485361192E-8</v>
      </c>
      <c r="N39" s="124">
        <f>C.w1CS*Molweight</f>
        <v>2.8859445259788701E-13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91.614682064365283</v>
      </c>
      <c r="AE39" s="163">
        <f>(k.w2A.w2M+k.w2A.w3A)*M.w2A*Molweight</f>
        <v>91.635528179667034</v>
      </c>
      <c r="AF39" s="163"/>
      <c r="AG39" s="163">
        <f>(kdis.w2S.w2D*M.w2AS+kdis.w2A.w2D*M.w2AA+kdis.w2P.w2D*M.w2AP)*Molweight</f>
        <v>1.7392370402588529E-2</v>
      </c>
      <c r="AH39" s="162">
        <f>KDEG.w2A*VOLUME.w2A*C.w2A*Molweight</f>
        <v>2.0390518518840832E-13</v>
      </c>
      <c r="AI39" s="163">
        <f>k.aA.w2A*M.aA*Molweight</f>
        <v>3.6557931539966355E-19</v>
      </c>
      <c r="AJ39" s="163">
        <f>k.w2A.aA*M.w2A*Molweight</f>
        <v>2.8707853396562855E-25</v>
      </c>
      <c r="AK39" s="163"/>
      <c r="AL39" s="163"/>
      <c r="AM39" s="163">
        <f>k.sA.w2A*M.sA*Molweight</f>
        <v>3.4537448993888489E-3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3.3408232553527428E-4</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1183210.6758690851</v>
      </c>
      <c r="D40" s="446">
        <f t="shared" si="9"/>
        <v>4.5385290116156339E-5</v>
      </c>
      <c r="E40" s="295">
        <f>M.w1CA*Molweight</f>
        <v>13265.04418623982</v>
      </c>
      <c r="F40" s="446">
        <f t="shared" si="10"/>
        <v>6.23073313263453E-6</v>
      </c>
      <c r="G40" s="296"/>
      <c r="H40" s="446"/>
      <c r="I40" s="296"/>
      <c r="J40" s="446"/>
      <c r="K40" s="296"/>
      <c r="L40" s="461"/>
      <c r="M40" s="124">
        <f>C.w1RA*Molweight</f>
        <v>6.2746412855107589E-5</v>
      </c>
      <c r="N40" s="124">
        <f>C.w1CA*Molweight</f>
        <v>4.6126160230723288E-8</v>
      </c>
      <c r="O40" s="124"/>
      <c r="P40" s="124"/>
      <c r="Q40" s="124"/>
      <c r="R40" s="160" t="s">
        <v>158</v>
      </c>
      <c r="S40" s="163"/>
      <c r="T40" s="163"/>
      <c r="U40" s="163"/>
      <c r="V40" s="163"/>
      <c r="W40" s="162"/>
      <c r="X40" s="17"/>
      <c r="Y40" s="156"/>
      <c r="Z40" s="17"/>
      <c r="AA40" s="312" t="s">
        <v>189</v>
      </c>
      <c r="AB40" s="162" t="s">
        <v>195</v>
      </c>
      <c r="AC40" s="161"/>
      <c r="AD40" s="163">
        <f>(k.w2A.w3A*M.w2A+k.w3M.w3A*M.w3M)*Molweight</f>
        <v>91.635528179667034</v>
      </c>
      <c r="AE40" s="163">
        <f>(k.w3A.w2A+k.w3A.w3M)*M.w3A*Molweight</f>
        <v>91.630230836719647</v>
      </c>
      <c r="AF40" s="163"/>
      <c r="AG40" s="163">
        <f>(kdis.w2S.w2D*M.w3AS+kdis.w2A.w2D*M.w3AA+kdis.w2P.w2D*M.w3AP)*Molweight</f>
        <v>3.9722906079363198E-4</v>
      </c>
      <c r="AH40" s="162">
        <f>KDEG.w3A*VOLUME.w3A*C.w3A*Molweight</f>
        <v>5.0200979317073887E-12</v>
      </c>
      <c r="AI40" s="163"/>
      <c r="AJ40" s="163"/>
      <c r="AK40" s="163"/>
      <c r="AL40" s="163"/>
      <c r="AM40" s="163"/>
      <c r="AN40" s="163">
        <f>k.w3A.sdA*M.w3A*Molweight</f>
        <v>26.512194389152594</v>
      </c>
      <c r="AO40" s="162">
        <f>k.sdA.w3A*M.sdA*Molweight</f>
        <v>26.506499817149429</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7675.02433801179</v>
      </c>
      <c r="D41" s="446">
        <f t="shared" si="9"/>
        <v>2.9439660521434201E-7</v>
      </c>
      <c r="E41" s="295">
        <f>M.w1CP*Molweight</f>
        <v>3.3015151356197081</v>
      </c>
      <c r="F41" s="446">
        <f t="shared" si="10"/>
        <v>1.5507569710727985E-9</v>
      </c>
      <c r="G41" s="296"/>
      <c r="H41" s="446"/>
      <c r="I41" s="296"/>
      <c r="J41" s="446"/>
      <c r="K41" s="296"/>
      <c r="L41" s="461"/>
      <c r="M41" s="124">
        <f>C.w1RP*Molweight</f>
        <v>4.0701141023103011E-7</v>
      </c>
      <c r="N41" s="124">
        <f>C.w1CP*Molweight</f>
        <v>1.1480264521675949E-11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5.6945725547598129E-3</v>
      </c>
      <c r="AG41" s="163">
        <f>(kdis.sd2S.sd2D*M.sdAS+kdis.sd2A.sd2D*M.sdAA+kdis.sd2P.sd2D*M.sdAP)*Molweight</f>
        <v>5.5396911785281006E-10</v>
      </c>
      <c r="AH41" s="162">
        <f>KDEG.sdA*VOLUME.sdA*C.sdA*Molweight</f>
        <v>2.3809704850936686E-12</v>
      </c>
      <c r="AI41" s="163"/>
      <c r="AJ41" s="163"/>
      <c r="AK41" s="163"/>
      <c r="AL41" s="163"/>
      <c r="AM41" s="163"/>
      <c r="AN41" s="163">
        <f>k.w3A.sdA*M.w3A*Molweight</f>
        <v>26.512194389152594</v>
      </c>
      <c r="AO41" s="162">
        <f>k.sdA.w3A*M.sdA*Molweight</f>
        <v>26.506499817149429</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1.5852178405675163E-6</v>
      </c>
      <c r="AG42" s="163">
        <f>(kdis.s1S.s1D*M.sAS+kdis.s1A.s1D*M.sAA+kdis.s1P.s1D*M.sAP)*Molweight</f>
        <v>3.4553301173470808E-3</v>
      </c>
      <c r="AH42" s="162">
        <f>KDEG.sA*VOLUME.sA*C.sA*Molweight</f>
        <v>1.1766350211116074E-13</v>
      </c>
      <c r="AI42" s="163"/>
      <c r="AJ42" s="163"/>
      <c r="AK42" s="163">
        <f>k.aA.sA*M.aA*Molweight</f>
        <v>2.4371954359977569E-19</v>
      </c>
      <c r="AL42" s="163">
        <f>k.sA.aA*M.sA*Molweight</f>
        <v>3.1331374510220263E-27</v>
      </c>
      <c r="AM42" s="163">
        <f>k.sA.w2A*M.sA*Molweight</f>
        <v>3.4537448993888489E-3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172470050.52009222</v>
      </c>
      <c r="D43" s="446">
        <f t="shared" ref="D43:D49" si="11">C43/$C$103</f>
        <v>6.6155617413213748E-3</v>
      </c>
      <c r="E43" s="295">
        <f>SUM(E44,E47:E49)</f>
        <v>8588377.2678394169</v>
      </c>
      <c r="F43" s="446">
        <f t="shared" ref="F43:F49" si="12">E43/$E$103</f>
        <v>4.0340526610383679E-3</v>
      </c>
      <c r="G43" s="296"/>
      <c r="H43" s="446"/>
      <c r="I43" s="296"/>
      <c r="J43" s="446"/>
      <c r="K43" s="296"/>
      <c r="L43" s="461"/>
      <c r="M43" s="459">
        <f>((M.sd1RD+M.sd1RS+M.sd1RA+M.sd1RP)*Molweight*1000/(VOLUME.sd1R))/(FRACw.sdR*1000+FRACs.sdR*RHOsolid)</f>
        <v>0.70355355434295808</v>
      </c>
      <c r="N43" s="459">
        <f>((M.sd1CD+M.sd1CS+M.sd1CA+M.sd1CP)*Molweight*1000/(VOLUME.sd1C))/(FRACw.sdC*1000+FRACs.sdC*RHOsolid)</f>
        <v>2.2972399686573245E-3</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1.8406383521815423E-2</v>
      </c>
      <c r="BQ43" s="113"/>
      <c r="BR43" s="113"/>
      <c r="BS43" s="22">
        <f>AF16</f>
        <v>0.49766748948721179</v>
      </c>
      <c r="BT43" s="113"/>
      <c r="BU43" s="113"/>
      <c r="BV43" s="113"/>
      <c r="BW43" s="22">
        <f>AF18</f>
        <v>1.1711319120304948E-5</v>
      </c>
      <c r="BX43" s="2"/>
      <c r="BY43" s="113"/>
      <c r="BZ43" s="22">
        <f>AF20</f>
        <v>4.3375231494823603E-6</v>
      </c>
      <c r="CA43" s="113"/>
      <c r="CB43" s="112">
        <f>AF19</f>
        <v>3.853110775762699E-4</v>
      </c>
      <c r="CC43" s="113"/>
      <c r="CD43" s="113"/>
      <c r="CE43" s="2"/>
    </row>
    <row r="44" spans="1:83" ht="12.75" customHeight="1" x14ac:dyDescent="0.3">
      <c r="A44" s="17"/>
      <c r="B44" s="443" t="s">
        <v>140</v>
      </c>
      <c r="C44" s="295">
        <f>M.sd1RD*Molweight</f>
        <v>171884004.1814588</v>
      </c>
      <c r="D44" s="446">
        <f t="shared" si="11"/>
        <v>6.5930823269255805E-3</v>
      </c>
      <c r="E44" s="295">
        <f>M.sd1CD*Molweight</f>
        <v>8586832.613536898</v>
      </c>
      <c r="F44" s="446">
        <f t="shared" si="12"/>
        <v>4.0333271203913824E-3</v>
      </c>
      <c r="G44" s="296"/>
      <c r="H44" s="446"/>
      <c r="I44" s="296"/>
      <c r="J44" s="446"/>
      <c r="K44" s="296"/>
      <c r="L44" s="461"/>
      <c r="M44" s="124">
        <f>C.sd1R*(Molweight*1000)/(FRACw.sdR*1000+FRACs.sdR*RHOsolid)</f>
        <v>0.70116290748391275</v>
      </c>
      <c r="N44" s="124">
        <f>C.sd1C*(Molweight*1000)/(FRACw.sdC*1000+FRACs.sdC*RHOsolid)</f>
        <v>2.2968268007804546E-3</v>
      </c>
      <c r="O44" s="124"/>
      <c r="P44" s="124"/>
      <c r="Q44" s="124"/>
      <c r="R44" s="160" t="s">
        <v>175</v>
      </c>
      <c r="S44" s="163">
        <f>F.sd1R</f>
        <v>9.5350710952824816E-24</v>
      </c>
      <c r="T44" s="163">
        <f>F.sd1C</f>
        <v>3.1234405878058121E-26</v>
      </c>
      <c r="U44" s="163"/>
      <c r="V44" s="163"/>
      <c r="W44" s="162"/>
      <c r="X44" s="17"/>
      <c r="Y44" s="156"/>
      <c r="Z44" s="17"/>
      <c r="AA44" s="312" t="s">
        <v>141</v>
      </c>
      <c r="AB44" s="162" t="s">
        <v>198</v>
      </c>
      <c r="AC44" s="161">
        <f>E.aTG*Molweight</f>
        <v>0</v>
      </c>
      <c r="AD44" s="163">
        <f>k.aM.aT*M.aM*Molweight</f>
        <v>1.1465236646525871E-18</v>
      </c>
      <c r="AE44" s="163">
        <f>k.aT.aM*M.aT*Molweight</f>
        <v>1.5563962827822627E-17</v>
      </c>
      <c r="AF44" s="163">
        <f>kesc.aT*VOLUME.aT*C.aT*Molweight</f>
        <v>1.4263556617972353E-20</v>
      </c>
      <c r="AG44" s="163"/>
      <c r="AH44" s="162">
        <f>KDEG.aT*VOLUME.aT*C.aT*Molweight</f>
        <v>6.5331275730247632E-43</v>
      </c>
      <c r="AI44" s="163">
        <f>SUM(AI45,AK48)</f>
        <v>3.1485944083406057E-16</v>
      </c>
      <c r="AJ44" s="163">
        <f>SUM(AJ45,AL48)</f>
        <v>3.2929114355384852E-16</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137507203.34516704</v>
      </c>
      <c r="D45" s="446">
        <f t="shared" si="11"/>
        <v>5.2744658615404647E-3</v>
      </c>
      <c r="E45" s="295">
        <f>E44*FRACw.sdC</f>
        <v>6869466.0908295186</v>
      </c>
      <c r="F45" s="446">
        <f t="shared" si="12"/>
        <v>3.2266616963131062E-3</v>
      </c>
      <c r="G45" s="296"/>
      <c r="H45" s="446"/>
      <c r="I45" s="296"/>
      <c r="J45" s="446"/>
      <c r="K45" s="296"/>
      <c r="L45" s="461"/>
      <c r="M45" s="124">
        <f>M46/Kp.sd1R</f>
        <v>3.8378150619309111E-2</v>
      </c>
      <c r="N45" s="124">
        <f>N46/Kp.sd1C</f>
        <v>1.2571681126591911E-4</v>
      </c>
      <c r="O45" s="124"/>
      <c r="P45" s="124"/>
      <c r="Q45" s="124"/>
      <c r="R45" s="160" t="s">
        <v>158</v>
      </c>
      <c r="S45" s="163">
        <f>S44*FRACw.sdR</f>
        <v>7.6280568762259856E-24</v>
      </c>
      <c r="T45" s="163">
        <f>T44*FRACw.sdC</f>
        <v>2.4987524702446498E-26</v>
      </c>
      <c r="U45" s="163"/>
      <c r="V45" s="163"/>
      <c r="W45" s="162"/>
      <c r="X45" s="17"/>
      <c r="Y45" s="156"/>
      <c r="Z45" s="17"/>
      <c r="AA45" s="312" t="s">
        <v>186</v>
      </c>
      <c r="AB45" s="162" t="s">
        <v>199</v>
      </c>
      <c r="AC45" s="161">
        <f>E.w2TD*Molweight</f>
        <v>0</v>
      </c>
      <c r="AD45" s="163">
        <f>(k.w2M.w2T*M.w2M+k.w3T.w2T*M.w3T)*Molweight</f>
        <v>238.68437635113148</v>
      </c>
      <c r="AE45" s="163">
        <f>(k.w2T.w2M+k.w2T.w3T)*M.w2T*Molweight</f>
        <v>238.73157943343347</v>
      </c>
      <c r="AF45" s="163"/>
      <c r="AG45" s="163">
        <f>(kdis.w2S.w2D*M.w2TS+kdis.w2A.w2D*M.w2TA+kdis.w2P.w2D*M.w2TP)*Molweight</f>
        <v>4.1070402315378812E-2</v>
      </c>
      <c r="AH45" s="162">
        <f>KDEG.w2T*VOLUME.w2T*C.w2T*Molweight</f>
        <v>6.6308959158159979E-12</v>
      </c>
      <c r="AI45" s="163">
        <f>k.aT.w2T*M.aT*Molweight</f>
        <v>2.2040160858389579E-16</v>
      </c>
      <c r="AJ45" s="163">
        <f>k.w2T.aT*M.w2T*Molweight</f>
        <v>3.2757389310438308E-16</v>
      </c>
      <c r="AK45" s="163"/>
      <c r="AL45" s="163"/>
      <c r="AM45" s="163">
        <f>k.sT.w2T*M.sT*Molweight</f>
        <v>6.1326799932692232E-3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34376800.836291753</v>
      </c>
      <c r="D46" s="446">
        <f t="shared" si="11"/>
        <v>1.3186164653851157E-3</v>
      </c>
      <c r="E46" s="295">
        <f>E44*FRACs.sdC</f>
        <v>1717366.5227073792</v>
      </c>
      <c r="F46" s="446">
        <f t="shared" si="12"/>
        <v>8.0666542407827632E-4</v>
      </c>
      <c r="G46" s="296"/>
      <c r="H46" s="446"/>
      <c r="I46" s="296"/>
      <c r="J46" s="446"/>
      <c r="K46" s="296"/>
      <c r="L46" s="461"/>
      <c r="M46" s="124">
        <f>C.sd1R*FRACs.sdR/(FRACw.sdR/(Kp.sd1R*RHOsolid/1000)+FRACs.sdR)*(Molweight*1000*1000)/(FRACs.sdR*RHOsolid)</f>
        <v>1822.9621544171828</v>
      </c>
      <c r="N46" s="124">
        <f>C.sd1C*FRACs.sdC/(FRACw.sdC/(Kp.sd1C*RHOsolid/1000)+FRACs.sdC)*(Molweight*1000*1000)/(FRACs.sdC*RHOsolid)</f>
        <v>5.9715485351311575</v>
      </c>
      <c r="O46" s="124"/>
      <c r="P46" s="124"/>
      <c r="Q46" s="124"/>
      <c r="R46" s="160" t="s">
        <v>164</v>
      </c>
      <c r="S46" s="163">
        <f>S44*(1-FRACw.sdR)</f>
        <v>1.907014219056496E-24</v>
      </c>
      <c r="T46" s="163">
        <f>T44*(1-FRACw.sdC)</f>
        <v>6.2468811756116225E-27</v>
      </c>
      <c r="U46" s="163"/>
      <c r="V46" s="163"/>
      <c r="W46" s="162"/>
      <c r="X46" s="17"/>
      <c r="Y46" s="156"/>
      <c r="Z46" s="17"/>
      <c r="AA46" s="312" t="s">
        <v>189</v>
      </c>
      <c r="AB46" s="162" t="s">
        <v>200</v>
      </c>
      <c r="AC46" s="161"/>
      <c r="AD46" s="163">
        <f>(k.w2T.w3T*M.w2T+k.w3M.w3T*M.w3M)*Molweight</f>
        <v>238.70500010264436</v>
      </c>
      <c r="AE46" s="163">
        <f>(k.w3T.w2T+k.w3T.w3M)*M.w3T*Molweight</f>
        <v>238.68437635113148</v>
      </c>
      <c r="AF46" s="163"/>
      <c r="AG46" s="163">
        <f>(kdis.w2S.w2D*M.w3TS+kdis.w2A.w2D*M.w3TA+kdis.w2P.w2D*M.w3TP)*Molweight</f>
        <v>7.9228717614553221E-4</v>
      </c>
      <c r="AH46" s="162">
        <f>KDEG.w3T*VOLUME.w3T*C.w3T*Molweight</f>
        <v>2.1359702637134125E-10</v>
      </c>
      <c r="AI46" s="163"/>
      <c r="AJ46" s="163"/>
      <c r="AK46" s="163"/>
      <c r="AL46" s="163"/>
      <c r="AM46" s="163"/>
      <c r="AN46" s="163">
        <f>k.w3T.sdT*M.w3T*Molweight</f>
        <v>99.706553250531229</v>
      </c>
      <c r="AO46" s="162">
        <f>k.sdT.w3T*M.sdT*Molweight</f>
        <v>99.685137212055793</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3.8984444853696382E-26</v>
      </c>
      <c r="BX46" s="120" t="s">
        <v>137</v>
      </c>
      <c r="BY46" s="2"/>
      <c r="BZ46" s="2"/>
      <c r="CA46" s="2"/>
      <c r="CB46" s="2"/>
      <c r="CC46" s="2"/>
      <c r="CD46" s="2"/>
      <c r="CE46" s="2"/>
    </row>
    <row r="47" spans="1:83" ht="12.75" customHeight="1" x14ac:dyDescent="0.3">
      <c r="A47" s="17"/>
      <c r="B47" s="159" t="s">
        <v>147</v>
      </c>
      <c r="C47" s="295">
        <f>M.sd1RS*Molweight</f>
        <v>4.2264580235586224E-6</v>
      </c>
      <c r="D47" s="446">
        <f t="shared" si="11"/>
        <v>1.6211738743995949E-16</v>
      </c>
      <c r="E47" s="295">
        <f>M.sd1CS*Molweight</f>
        <v>1.5670460312002752E-9</v>
      </c>
      <c r="F47" s="446">
        <f t="shared" si="12"/>
        <v>7.3605828144102931E-19</v>
      </c>
      <c r="G47" s="296"/>
      <c r="H47" s="446"/>
      <c r="I47" s="296"/>
      <c r="J47" s="446"/>
      <c r="K47" s="296"/>
      <c r="L47" s="461"/>
      <c r="M47" s="124">
        <f>C.sd1RS*(Molweight*1000)/(FRACw.sdR*1000+FRACs.sdR*RHOsolid)</f>
        <v>1.7240903889046953E-14</v>
      </c>
      <c r="N47" s="124">
        <f>C.sd1CS*(Molweight*1000)/(FRACw.sdC*1000+FRACs.sdC*RHOsolid)</f>
        <v>4.1915727073139249E-19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2.1416039477154016E-2</v>
      </c>
      <c r="AG47" s="163">
        <f>(kdis.sd2S.sd2D*M.sdTS+kdis.sd2A.sd2D*M.sdTA+kdis.sd2P.sd2D*M.sdTP)*Molweight</f>
        <v>1.1030153203092454E-9</v>
      </c>
      <c r="AH47" s="162">
        <f>KDEG.sdT*VOLUME.sdT*C.sdT*Molweight</f>
        <v>1.0130643314272885E-10</v>
      </c>
      <c r="AI47" s="163"/>
      <c r="AJ47" s="163"/>
      <c r="AK47" s="163"/>
      <c r="AL47" s="163"/>
      <c r="AM47" s="163"/>
      <c r="AN47" s="163">
        <f>k.w3T.sdT*M.w3T*Molweight</f>
        <v>99.706553250531229</v>
      </c>
      <c r="AO47" s="162">
        <f>k.sdT.w3T*M.sdT*Molweight</f>
        <v>99.685137212055793</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119893.49794959436</v>
      </c>
      <c r="D48" s="446">
        <f t="shared" si="11"/>
        <v>4.5988438901519786E-6</v>
      </c>
      <c r="E48" s="295">
        <f>M.sd1CA*Molweight</f>
        <v>1344.1323876371282</v>
      </c>
      <c r="F48" s="446">
        <f t="shared" si="12"/>
        <v>6.3135335885163128E-7</v>
      </c>
      <c r="G48" s="296"/>
      <c r="H48" s="446"/>
      <c r="I48" s="296"/>
      <c r="J48" s="446"/>
      <c r="K48" s="296"/>
      <c r="L48" s="461"/>
      <c r="M48" s="124">
        <f>C.sd1RA*(Molweight*1000)/(FRACw.sdR*1000+FRACs.sdR*RHOsolid)</f>
        <v>4.8907909733128172E-4</v>
      </c>
      <c r="N48" s="124">
        <f>C.sd1CA*(Molweight*1000)/(FRACw.sdC*1000+FRACs.sdC*RHOsolid)</f>
        <v>3.5953178903883987E-7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1.1380911322505943E-5</v>
      </c>
      <c r="AG48" s="163">
        <f>(kdis.s1S.s1D*M.sTS+kdis.s1A.s1D*M.sTA+kdis.s1P.s1D*M.sTP)*Molweight</f>
        <v>6.144060906429577E-3</v>
      </c>
      <c r="AH48" s="162">
        <f>KDEG.sT*VOLUME.sT*C.sT*Molweight</f>
        <v>1.8379407198451374E-12</v>
      </c>
      <c r="AI48" s="163"/>
      <c r="AJ48" s="163"/>
      <c r="AK48" s="163">
        <f>k.aT.sT*M.aT*Molweight</f>
        <v>9.4457832250164787E-17</v>
      </c>
      <c r="AL48" s="163">
        <f>k.sT.aT*M.sT*Molweight</f>
        <v>1.7172504494654329E-18</v>
      </c>
      <c r="AM48" s="163">
        <f>k.sT.w2T*M.sT*Molweight</f>
        <v>6.1326799932692232E-3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3.2935094459841108E-5</v>
      </c>
      <c r="BX48" s="304" t="s">
        <v>158</v>
      </c>
      <c r="BY48" s="2"/>
      <c r="BZ48" s="2"/>
      <c r="CA48" s="2"/>
      <c r="CB48" s="2"/>
      <c r="CC48" s="2"/>
      <c r="CD48" s="2"/>
      <c r="CE48" s="2"/>
    </row>
    <row r="49" spans="1:83" ht="12.75" customHeight="1" thickBot="1" x14ac:dyDescent="0.35">
      <c r="A49" s="17"/>
      <c r="B49" s="159" t="s">
        <v>152</v>
      </c>
      <c r="C49" s="295">
        <f>M.sd1RP*Molweight</f>
        <v>466152.84067958221</v>
      </c>
      <c r="D49" s="446">
        <f t="shared" si="11"/>
        <v>1.7880570505479513E-5</v>
      </c>
      <c r="E49" s="295">
        <f>M.sd1CP*Molweight</f>
        <v>200.52191488140812</v>
      </c>
      <c r="F49" s="446">
        <f t="shared" si="12"/>
        <v>9.4187288133344076E-8</v>
      </c>
      <c r="G49" s="296"/>
      <c r="H49" s="446"/>
      <c r="I49" s="296"/>
      <c r="J49" s="446"/>
      <c r="K49" s="296"/>
      <c r="L49" s="461"/>
      <c r="M49" s="124">
        <f>C.sd1RP*(Molweight*1000)/(FRACw.sdR*1000+FRACs.sdR*RHOsolid)</f>
        <v>1.9015677616965733E-3</v>
      </c>
      <c r="N49" s="124">
        <f>C.sd1CP*(Molweight*1000)/(FRACw.sdC*1000+FRACs.sdC*RHOsolid)</f>
        <v>5.3636087830263385E-8</v>
      </c>
      <c r="O49" s="124"/>
      <c r="P49" s="124"/>
      <c r="Q49" s="124"/>
      <c r="R49" s="160" t="s">
        <v>175</v>
      </c>
      <c r="S49" s="163"/>
      <c r="T49" s="163"/>
      <c r="U49" s="163"/>
      <c r="V49" s="163"/>
      <c r="W49" s="162"/>
      <c r="X49" s="17"/>
      <c r="Y49" s="156"/>
      <c r="Z49" s="17"/>
      <c r="AA49" s="927"/>
      <c r="AB49" s="928"/>
      <c r="AC49" s="912">
        <f>SUM(AC11:AC48)</f>
        <v>0</v>
      </c>
      <c r="AD49" s="913"/>
      <c r="AE49" s="913"/>
      <c r="AF49" s="914">
        <f>SUM(AF11:AF48)</f>
        <v>0.92203672145864091</v>
      </c>
      <c r="AG49" s="914"/>
      <c r="AH49" s="915">
        <f>SUM(AH11:AH48)</f>
        <v>5.0132492343215742E-10</v>
      </c>
      <c r="AI49" s="929"/>
      <c r="AJ49" s="930"/>
      <c r="AK49" s="930"/>
      <c r="AL49" s="929"/>
      <c r="AM49" s="929"/>
      <c r="AN49" s="929"/>
      <c r="AO49" s="486"/>
      <c r="AP49" s="931">
        <f>SUM(AP12:AP48)</f>
        <v>-2.9491356597126261E-2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4.5851032122040283E-5</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9.0159194514649778E-6</v>
      </c>
      <c r="BX50" s="120" t="s">
        <v>158</v>
      </c>
      <c r="BY50" s="2"/>
      <c r="BZ50" s="2"/>
      <c r="CA50" s="2"/>
      <c r="CB50" s="2"/>
      <c r="CC50" s="2"/>
      <c r="CD50" s="2"/>
      <c r="CE50" s="2"/>
    </row>
    <row r="51" spans="1:83" ht="12.75" customHeight="1" thickBot="1" x14ac:dyDescent="0.4">
      <c r="A51" s="17"/>
      <c r="B51" s="104" t="s">
        <v>220</v>
      </c>
      <c r="C51" s="295">
        <f>SUM(C52,C55:C57)</f>
        <v>96742.260458869423</v>
      </c>
      <c r="D51" s="446">
        <f t="shared" ref="D51:D57" si="13">C51/$C$103</f>
        <v>3.7108146900327237E-6</v>
      </c>
      <c r="E51" s="295">
        <f>SUM(E52,E55:E57)</f>
        <v>77537744.69585894</v>
      </c>
      <c r="F51" s="446">
        <f t="shared" ref="F51:F57" si="14">E51/$E$103</f>
        <v>3.6420308000737429E-2</v>
      </c>
      <c r="G51" s="296">
        <f>SUM(G52,G55:G57)</f>
        <v>424401964.4499507</v>
      </c>
      <c r="H51" s="446">
        <f t="shared" ref="H51:H57" si="15">G51/$G$103</f>
        <v>2.358872324426101E-2</v>
      </c>
      <c r="I51" s="296">
        <f>SUM(I52,I55:I57)</f>
        <v>340323490.68522221</v>
      </c>
      <c r="J51" s="446">
        <f t="shared" ref="J51:J57" si="16">I51/$I$103</f>
        <v>2.9475756581096323E-2</v>
      </c>
      <c r="K51" s="296">
        <f>SUM(K52,K55:K57)</f>
        <v>978206507.83557689</v>
      </c>
      <c r="L51" s="461">
        <f t="shared" ref="L51:L57" si="17">K51/$K$103</f>
        <v>2.2853718285289773E-2</v>
      </c>
      <c r="M51" s="459">
        <f>(M.w2RD+M.w2RS+M.w2RA+M.w2RP)*Molweight/(VOLUME.w2R)</f>
        <v>9.6742260458869333E-6</v>
      </c>
      <c r="N51" s="459">
        <f>(M.w2CD+M.w2CS+M.w2CA+M.w2CP)*Molweight/(VOLUME.w2C)</f>
        <v>1.0440234810572889E-7</v>
      </c>
      <c r="O51" s="459">
        <f>(M.w2MD+M.w2MS+M.w2MA+M.w2MP)*Molweight/(VOLUME.w2M)</f>
        <v>1.0942258824732347E-7</v>
      </c>
      <c r="P51" s="459">
        <f>(M.w2AD+M.w2AS+M.w2AA+M.w2AP)*Molweight/(VOLUME.w2A)</f>
        <v>1.3346019242557732E-7</v>
      </c>
      <c r="Q51" s="459">
        <f>(M.w2TD+M.w2TS+M.w2TA+M.w2TP)*Molweight/(VOLUME.w2T)</f>
        <v>1.0960297006561087E-7</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90159.194514649891</v>
      </c>
      <c r="D52" s="446">
        <f t="shared" si="13"/>
        <v>3.4583031434201661E-6</v>
      </c>
      <c r="E52" s="295">
        <f>M.w2CD*Molweight</f>
        <v>77529465.793851078</v>
      </c>
      <c r="F52" s="446">
        <f t="shared" si="14"/>
        <v>3.641641931191604E-2</v>
      </c>
      <c r="G52" s="296">
        <f>M.w2MD*Molweight</f>
        <v>424396413.76486194</v>
      </c>
      <c r="H52" s="446">
        <f t="shared" si="15"/>
        <v>2.3588414731140567E-2</v>
      </c>
      <c r="I52" s="296">
        <f>M.w2AD*Molweight</f>
        <v>340322016.75552702</v>
      </c>
      <c r="J52" s="446">
        <f t="shared" si="16"/>
        <v>2.9475628922576994E-2</v>
      </c>
      <c r="K52" s="296">
        <f>M.w2TD*Molweight</f>
        <v>978203027.29300785</v>
      </c>
      <c r="L52" s="461">
        <f t="shared" si="17"/>
        <v>2.2853636969801975E-2</v>
      </c>
      <c r="M52" s="124">
        <f>C.w2R*Molweight</f>
        <v>9.0159194514649778E-6</v>
      </c>
      <c r="N52" s="124">
        <f>C.w2C*Molweight</f>
        <v>1.0439120080175779E-7</v>
      </c>
      <c r="O52" s="124">
        <f>C.w2M*Molweight</f>
        <v>1.0942115712687675E-7</v>
      </c>
      <c r="P52" s="124">
        <f>C.w2A*Molweight</f>
        <v>1.3345961441393214E-7</v>
      </c>
      <c r="Q52" s="124">
        <f>C.w2T*Molweight</f>
        <v>1.0960258008885244E-7</v>
      </c>
      <c r="R52" s="160" t="s">
        <v>158</v>
      </c>
      <c r="S52" s="163">
        <f>F.w2R</f>
        <v>2.2400097860840178E-24</v>
      </c>
      <c r="T52" s="163">
        <f>F.w2C</f>
        <v>2.5936047081587825E-26</v>
      </c>
      <c r="U52" s="163">
        <f>F.w2M</f>
        <v>2.7185742295980068E-26</v>
      </c>
      <c r="V52" s="163">
        <f>F.w2A</f>
        <v>6.8146781528206931E-32</v>
      </c>
      <c r="W52" s="162">
        <f>F.w2T</f>
        <v>2.5173661217752692E-23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0.70116290748391275</v>
      </c>
      <c r="BX52" s="120" t="s">
        <v>175</v>
      </c>
      <c r="BY52" s="2"/>
      <c r="BZ52" s="2"/>
      <c r="CA52" s="2"/>
      <c r="CB52" s="2"/>
      <c r="CC52" s="2"/>
      <c r="CD52" s="2"/>
      <c r="CE52" s="2"/>
    </row>
    <row r="53" spans="1:83" ht="12.75" customHeight="1" x14ac:dyDescent="0.3">
      <c r="A53" s="17"/>
      <c r="B53" s="159" t="s">
        <v>161</v>
      </c>
      <c r="C53" s="295">
        <f>FRwD.w2R*C52</f>
        <v>61115.762065759605</v>
      </c>
      <c r="D53" s="446">
        <f t="shared" si="13"/>
        <v>2.3442626478899185E-6</v>
      </c>
      <c r="E53" s="295">
        <f>FRw.w2C*E52</f>
        <v>52554511.051809944</v>
      </c>
      <c r="F53" s="446">
        <f t="shared" si="14"/>
        <v>2.468541594603926E-2</v>
      </c>
      <c r="G53" s="296">
        <f>FRw.w2M*G52</f>
        <v>287683473.49199569</v>
      </c>
      <c r="H53" s="446">
        <f t="shared" si="15"/>
        <v>1.5989760666978867E-2</v>
      </c>
      <c r="I53" s="296">
        <f>FRw.w2A*I52</f>
        <v>230692382.66531569</v>
      </c>
      <c r="J53" s="446">
        <f t="shared" si="16"/>
        <v>1.9980497093706018E-2</v>
      </c>
      <c r="K53" s="296">
        <f>FRw.w2T*K52</f>
        <v>663089591.58159983</v>
      </c>
      <c r="L53" s="461">
        <f t="shared" si="17"/>
        <v>1.5491680542428906E-2</v>
      </c>
      <c r="M53" s="124">
        <f>M52*FRwD.w2R</f>
        <v>6.1115762065759523E-6</v>
      </c>
      <c r="N53" s="124">
        <f>N52*FRw.w2C</f>
        <v>7.0763140956438887E-8</v>
      </c>
      <c r="O53" s="124">
        <f>O52*FRw.w2M</f>
        <v>7.4172772282694604E-8</v>
      </c>
      <c r="P53" s="124">
        <f>P52*FRw.w2A</f>
        <v>9.0467601045221814E-8</v>
      </c>
      <c r="Q53" s="124">
        <f>Q52*FRw.w2T</f>
        <v>7.4295752558162465E-8</v>
      </c>
      <c r="R53" s="160" t="s">
        <v>158</v>
      </c>
      <c r="S53" s="163">
        <f>S52*FRwD.w2R</f>
        <v>1.5184242255961942E-24</v>
      </c>
      <c r="T53" s="163">
        <f>T52*FRw.w2C</f>
        <v>1.7581138461780495E-26</v>
      </c>
      <c r="U53" s="163">
        <f>U52*FRw.w2M</f>
        <v>1.8428263103794732E-26</v>
      </c>
      <c r="V53" s="163">
        <f>V52*FRw.w2A</f>
        <v>4.6194317815788101E-32</v>
      </c>
      <c r="W53" s="162">
        <f>W52*FRw.w2T</f>
        <v>1.7064343770930905E-23</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0.22332423588710756</v>
      </c>
      <c r="BX53" s="120" t="s">
        <v>175</v>
      </c>
      <c r="BY53" s="2"/>
      <c r="BZ53" s="2"/>
      <c r="CA53" s="2"/>
      <c r="CB53" s="2"/>
      <c r="CC53" s="2"/>
      <c r="CD53" s="2"/>
      <c r="CE53" s="2"/>
    </row>
    <row r="54" spans="1:83" ht="12.75" customHeight="1" thickBot="1" x14ac:dyDescent="0.35">
      <c r="A54" s="17"/>
      <c r="B54" s="159" t="s">
        <v>163</v>
      </c>
      <c r="C54" s="295">
        <f>(1-FRwD.w2R)*C52</f>
        <v>29043.432448890286</v>
      </c>
      <c r="D54" s="446">
        <f t="shared" si="13"/>
        <v>1.1140404955302474E-6</v>
      </c>
      <c r="E54" s="295">
        <f>(1-FRw.w2C)*E52</f>
        <v>24974954.74204113</v>
      </c>
      <c r="F54" s="446">
        <f t="shared" si="14"/>
        <v>1.1731003365876781E-2</v>
      </c>
      <c r="G54" s="296">
        <f>(1-FRw.w2M)*G52</f>
        <v>136712940.27286625</v>
      </c>
      <c r="H54" s="446">
        <f t="shared" si="15"/>
        <v>7.5986540641617001E-3</v>
      </c>
      <c r="I54" s="296">
        <f>(1-FRw.w2A)*I52</f>
        <v>109629634.09021135</v>
      </c>
      <c r="J54" s="446">
        <f t="shared" si="16"/>
        <v>9.4951318288709775E-3</v>
      </c>
      <c r="K54" s="296">
        <f>(1-FRw.w2T)*K52</f>
        <v>315113435.71140796</v>
      </c>
      <c r="L54" s="461">
        <f t="shared" si="17"/>
        <v>7.3619564273730669E-3</v>
      </c>
      <c r="M54" s="124">
        <f>M53*Kp.susp2R</f>
        <v>0.58059973962471545</v>
      </c>
      <c r="N54" s="124">
        <f>N53*Kp.susp2C</f>
        <v>6.7224983908616941E-3</v>
      </c>
      <c r="O54" s="124">
        <f>O53*Kp.susp2M</f>
        <v>7.0464133668559871E-3</v>
      </c>
      <c r="P54" s="124">
        <f>P53*Kp.susp2A</f>
        <v>8.5944220992960722E-3</v>
      </c>
      <c r="Q54" s="124">
        <f>Q53*Kp.susp2T</f>
        <v>7.0580964930254345E-3</v>
      </c>
      <c r="R54" s="160" t="s">
        <v>164</v>
      </c>
      <c r="S54" s="163">
        <f>S52*(1-FRwD.w2R)</f>
        <v>7.215855604878236E-25</v>
      </c>
      <c r="T54" s="163">
        <f>T52*(1-FRw.w2C)</f>
        <v>8.3549086198073301E-27</v>
      </c>
      <c r="U54" s="163">
        <f>U52*(1-FRw.w2M)</f>
        <v>8.7574791921853347E-27</v>
      </c>
      <c r="V54" s="163">
        <f>V52*(1-FRw.w2A)</f>
        <v>2.1952463712418828E-32</v>
      </c>
      <c r="W54" s="162">
        <f>W52*(1-FRw.w2T)</f>
        <v>8.1093174468217864E-24</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5.2486419509383736E-2</v>
      </c>
      <c r="D55" s="446">
        <f t="shared" si="13"/>
        <v>2.0132605504442176E-12</v>
      </c>
      <c r="E55" s="295">
        <f>M.w2CS*Molweight</f>
        <v>1.1524946452766427</v>
      </c>
      <c r="F55" s="446">
        <f t="shared" si="14"/>
        <v>5.4133906157342322E-10</v>
      </c>
      <c r="G55" s="296">
        <f>M.w2MS*Molweight</f>
        <v>3.4280358210597599E-2</v>
      </c>
      <c r="H55" s="446">
        <f t="shared" si="15"/>
        <v>1.905339631478728E-12</v>
      </c>
      <c r="I55" s="296">
        <f>M.w2AS*Molweight</f>
        <v>3.6113147491108132E-4</v>
      </c>
      <c r="J55" s="446">
        <f t="shared" si="16"/>
        <v>3.1277956825192925E-14</v>
      </c>
      <c r="K55" s="296">
        <f>M.w2TS*Molweight</f>
        <v>7.0398102543726407E-4</v>
      </c>
      <c r="L55" s="461">
        <f t="shared" si="17"/>
        <v>1.6447022080369267E-14</v>
      </c>
      <c r="M55" s="124">
        <f>C.w2RS*Molweight</f>
        <v>5.248641950938367E-12</v>
      </c>
      <c r="N55" s="124">
        <f>C.w2CS*Molweight</f>
        <v>1.5518009663310043E-15</v>
      </c>
      <c r="O55" s="124">
        <f>C.w2MS*Molweight</f>
        <v>8.8384263873767545E-18</v>
      </c>
      <c r="P55" s="124">
        <f>C.w2AS*Molweight</f>
        <v>1.4162018623963974E-19</v>
      </c>
      <c r="Q55" s="124">
        <f>C.w2TS*Molweight</f>
        <v>7.8877425819301292E-20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6.6958184482553876E-2</v>
      </c>
      <c r="BX55" s="120" t="s">
        <v>175</v>
      </c>
      <c r="BY55" s="2"/>
      <c r="BZ55" s="2"/>
      <c r="CA55" s="2"/>
      <c r="CB55" s="2"/>
      <c r="CC55" s="2"/>
      <c r="CD55" s="2"/>
      <c r="CE55" s="2"/>
    </row>
    <row r="56" spans="1:83" ht="12.75" customHeight="1" x14ac:dyDescent="0.3">
      <c r="A56" s="17"/>
      <c r="B56" s="159" t="s">
        <v>150</v>
      </c>
      <c r="C56" s="295">
        <f>M.w2RA*Molweight</f>
        <v>6548.02065270609</v>
      </c>
      <c r="D56" s="446">
        <f t="shared" si="13"/>
        <v>2.511672883540909E-7</v>
      </c>
      <c r="E56" s="295">
        <f>M.w2CA*Molweight</f>
        <v>8256.632744817296</v>
      </c>
      <c r="F56" s="446">
        <f t="shared" si="14"/>
        <v>3.8782287103493737E-6</v>
      </c>
      <c r="G56" s="296">
        <f>M.w2MA*Molweight</f>
        <v>5550.017943490976</v>
      </c>
      <c r="H56" s="446">
        <f t="shared" si="15"/>
        <v>3.0847603978310589E-7</v>
      </c>
      <c r="I56" s="296">
        <f>M.w2AA*Molweight</f>
        <v>1473.9210938082254</v>
      </c>
      <c r="J56" s="446">
        <f t="shared" si="16"/>
        <v>1.2765777435275052E-7</v>
      </c>
      <c r="K56" s="296">
        <f>M.w2TA*Molweight</f>
        <v>3480.5285742973306</v>
      </c>
      <c r="L56" s="461">
        <f t="shared" si="17"/>
        <v>8.131516084154139E-8</v>
      </c>
      <c r="M56" s="124">
        <f>C.w2RA*Molweight</f>
        <v>6.5480206527060833E-7</v>
      </c>
      <c r="N56" s="124">
        <f>C.w2CA*Molweight</f>
        <v>1.1117319047475632E-11</v>
      </c>
      <c r="O56" s="124">
        <f>C.w2MA*Molweight</f>
        <v>1.4309484381934053E-12</v>
      </c>
      <c r="P56" s="124">
        <f>C.w2AA*Molweight</f>
        <v>5.7800827208165711E-13</v>
      </c>
      <c r="Q56" s="124">
        <f>C.w2TA*Molweight</f>
        <v>3.8997519039746007E-13</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0.54462642893790147</v>
      </c>
      <c r="BX56" s="120" t="s">
        <v>175</v>
      </c>
      <c r="BY56" s="2"/>
      <c r="BZ56" s="2"/>
      <c r="CA56" s="2"/>
      <c r="CB56" s="2"/>
      <c r="CC56" s="2"/>
      <c r="CD56" s="2"/>
      <c r="CE56" s="2"/>
    </row>
    <row r="57" spans="1:83" ht="12.75" customHeight="1" thickBot="1" x14ac:dyDescent="0.35">
      <c r="A57" s="17"/>
      <c r="B57" s="159" t="s">
        <v>152</v>
      </c>
      <c r="C57" s="295">
        <f>M.w2RP*Molweight</f>
        <v>34.992805093939126</v>
      </c>
      <c r="D57" s="446">
        <f t="shared" si="13"/>
        <v>1.3422449979163815E-9</v>
      </c>
      <c r="E57" s="295">
        <f>M.w2CP*Molweight</f>
        <v>21.116768403922471</v>
      </c>
      <c r="F57" s="446">
        <f t="shared" si="14"/>
        <v>9.9187719770261912E-9</v>
      </c>
      <c r="G57" s="296">
        <f>M.w2MP*Molweight</f>
        <v>0.63286487556637883</v>
      </c>
      <c r="H57" s="446">
        <f t="shared" si="15"/>
        <v>3.5175318804419652E-11</v>
      </c>
      <c r="I57" s="296">
        <f>M.w2AP*Molweight</f>
        <v>8.2401949206692762E-3</v>
      </c>
      <c r="J57" s="446">
        <f t="shared" si="16"/>
        <v>7.1369149150826068E-13</v>
      </c>
      <c r="K57" s="296">
        <f>M.w2TP*Molweight</f>
        <v>1.3290821543170994E-2</v>
      </c>
      <c r="L57" s="461">
        <f t="shared" si="17"/>
        <v>3.1051182842748527E-13</v>
      </c>
      <c r="M57" s="124">
        <f>C.w2RP*Molweight</f>
        <v>3.4992805093939086E-9</v>
      </c>
      <c r="N57" s="124">
        <f>C.w2CP*Molweight</f>
        <v>2.8433122660738337E-14</v>
      </c>
      <c r="O57" s="124">
        <f>C.w2MP*Molweight</f>
        <v>1.63170104042862E-16</v>
      </c>
      <c r="P57" s="124">
        <f>C.w2AP*Molweight</f>
        <v>3.2314489884977555E-18</v>
      </c>
      <c r="Q57" s="124">
        <f>C.w2TP*Molweight</f>
        <v>1.4891676799071144E-18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6.6958146652281558E-2</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12732384419.614016</v>
      </c>
      <c r="H59" s="446">
        <f t="shared" ref="H59:H65" si="18">G59/$G$103</f>
        <v>0.70767978820049671</v>
      </c>
      <c r="I59" s="296">
        <f>SUM(I60,I63:I65)</f>
        <v>8378648427.7702866</v>
      </c>
      <c r="J59" s="446">
        <f t="shared" ref="J59:J65" si="19">I59/$I$103</f>
        <v>0.72568308769485235</v>
      </c>
      <c r="K59" s="296">
        <f>SUM(K60,K63:K65)</f>
        <v>31510260591.495991</v>
      </c>
      <c r="L59" s="461">
        <f t="shared" ref="L59:L65" si="20">K59/$K$103</f>
        <v>0.73617034121711356</v>
      </c>
      <c r="M59" s="459"/>
      <c r="N59" s="459"/>
      <c r="O59" s="459">
        <f>(M.w3MD+M.w3MS+M.w3MA+M.w3MP)*Molweight/(VOLUME.w3M)</f>
        <v>1.0942538555869173E-7</v>
      </c>
      <c r="P59" s="459">
        <f>(M.w3AD+M.w3AS+M.w3AA+M.w3AP)*Molweight/(VOLUME.w3A)</f>
        <v>1.0952481604928479E-7</v>
      </c>
      <c r="Q59" s="459">
        <f>(M.w3TD+M.w3TS+M.w3TA+M.w3TP)*Molweight/(VOLUME.w3T)</f>
        <v>1.1768538036039588E-7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12732384302.275961</v>
      </c>
      <c r="H60" s="446">
        <f t="shared" si="18"/>
        <v>0.70767978167871992</v>
      </c>
      <c r="I60" s="296">
        <f>M.w3AD*Molweight</f>
        <v>8378648394.1068068</v>
      </c>
      <c r="J60" s="446">
        <f t="shared" si="19"/>
        <v>0.72568308477922483</v>
      </c>
      <c r="K60" s="296">
        <f>M.w3TD*Molweight</f>
        <v>31510260524.353008</v>
      </c>
      <c r="L60" s="461">
        <f t="shared" si="20"/>
        <v>0.73617033964846024</v>
      </c>
      <c r="M60" s="124"/>
      <c r="N60" s="124"/>
      <c r="O60" s="124">
        <f>C.w3M*Molweight</f>
        <v>1.0942538455025831E-7</v>
      </c>
      <c r="P60" s="124">
        <f>C.w3A*Molweight</f>
        <v>1.0952481560923931E-7</v>
      </c>
      <c r="Q60" s="124">
        <f>C.w3T*Molweight</f>
        <v>1.1768538010962844E-7</v>
      </c>
      <c r="R60" s="160" t="s">
        <v>158</v>
      </c>
      <c r="S60" s="163"/>
      <c r="T60" s="163"/>
      <c r="U60" s="163">
        <f>F.w3M</f>
        <v>2.7186792601475319E-26</v>
      </c>
      <c r="V60" s="163">
        <f>F.w3A</f>
        <v>5.5925260341984173E-32</v>
      </c>
      <c r="W60" s="162">
        <f>F.w3T</f>
        <v>2.7030129096966007E-23</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8630837639.3188534</v>
      </c>
      <c r="H61" s="446">
        <f t="shared" si="18"/>
        <v>0.47971135266517523</v>
      </c>
      <c r="I61" s="296">
        <f>FRw.w3A*I60</f>
        <v>5679592463.5693703</v>
      </c>
      <c r="J61" s="446">
        <f t="shared" si="19"/>
        <v>0.49191516165671889</v>
      </c>
      <c r="K61" s="296">
        <f>FRw.w3T*K60</f>
        <v>21359702637.134125</v>
      </c>
      <c r="L61" s="461">
        <f t="shared" si="20"/>
        <v>0.49902410464097569</v>
      </c>
      <c r="M61" s="124"/>
      <c r="N61" s="124"/>
      <c r="O61" s="124">
        <f>O60*FRw.w3M</f>
        <v>7.4175637905029964E-8</v>
      </c>
      <c r="P61" s="124">
        <f>P60*FRw.w3A</f>
        <v>7.4243038739468899E-8</v>
      </c>
      <c r="Q61" s="124">
        <f>Q60*FRw.w3T</f>
        <v>7.9774799765206835E-8</v>
      </c>
      <c r="R61" s="160" t="s">
        <v>158</v>
      </c>
      <c r="S61" s="163"/>
      <c r="T61" s="163"/>
      <c r="U61" s="163">
        <f>U60*FRw.w3M</f>
        <v>1.8428975069125499E-26</v>
      </c>
      <c r="V61" s="163">
        <f>V60*FRw.w3A</f>
        <v>3.7909776400797285E-32</v>
      </c>
      <c r="W61" s="162">
        <f>W60*FRw.w3T</f>
        <v>1.8322778363204136E-23</v>
      </c>
      <c r="X61" s="17"/>
      <c r="Y61" s="156"/>
      <c r="Z61" s="17"/>
      <c r="AA61" s="312" t="s">
        <v>141</v>
      </c>
      <c r="AB61" s="162" t="s">
        <v>110</v>
      </c>
      <c r="AC61" s="161">
        <f>E.aRS*Molweight</f>
        <v>0.31709791983764585</v>
      </c>
      <c r="AD61" s="163">
        <f>k.aC.aR*(M.aCS+M.aCA+M.aCP)*Molweight</f>
        <v>3.7008870069458383E-2</v>
      </c>
      <c r="AE61" s="163">
        <f>k.aR.aC*(M.aRS+M.aRA+M.aRP)*Molweight</f>
        <v>0.31364349679773895</v>
      </c>
      <c r="AF61" s="163">
        <f>kesc.aR*VOLUME.aR*(C.aRS+C.aRA+C.aRP)*Molweight</f>
        <v>1.219681417994888E-5</v>
      </c>
      <c r="AG61" s="163"/>
      <c r="AH61" s="162">
        <f>(kdegS.a*C.aRS+kdegA.a*C.aRA+kdegP.a*C.aRP)*VOLUME.aR*Molweight</f>
        <v>3.3294983469583909E-16</v>
      </c>
      <c r="AI61" s="163">
        <f>SUM(AI62:AI64)</f>
        <v>2.7764306240855652E-3</v>
      </c>
      <c r="AJ61" s="163">
        <f>SUM(AJ62:AJ64)</f>
        <v>0</v>
      </c>
      <c r="AK61" s="163">
        <f>SUM(AK67:AK69)</f>
        <v>3.7674665671099485E-2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4101546662.9571071</v>
      </c>
      <c r="H62" s="446">
        <f t="shared" si="18"/>
        <v>0.22796842901354467</v>
      </c>
      <c r="I62" s="296">
        <f>(1-FRw.w3A)*I60</f>
        <v>2699055930.537437</v>
      </c>
      <c r="J62" s="446">
        <f t="shared" si="19"/>
        <v>0.23376792312250602</v>
      </c>
      <c r="K62" s="296">
        <f>(1-FRw.w3T)*K60</f>
        <v>10150557887.218882</v>
      </c>
      <c r="L62" s="461">
        <f t="shared" si="20"/>
        <v>0.23714623500748452</v>
      </c>
      <c r="M62" s="124"/>
      <c r="N62" s="124"/>
      <c r="O62" s="124">
        <f>O61*Kp.susp3M</f>
        <v>7.0466856009778469E-3</v>
      </c>
      <c r="P62" s="124">
        <f>P61*Kp.susp3A</f>
        <v>7.0530886802495458E-3</v>
      </c>
      <c r="Q62" s="124">
        <f>Q61*Kp.susp3T</f>
        <v>7.5786059776946496E-3</v>
      </c>
      <c r="R62" s="160" t="s">
        <v>164</v>
      </c>
      <c r="S62" s="163"/>
      <c r="T62" s="163"/>
      <c r="U62" s="163">
        <f>U60*(1-FRw.w3M)</f>
        <v>8.7578175323498219E-27</v>
      </c>
      <c r="V62" s="163">
        <f>V60*(1-FRw.w3A)</f>
        <v>1.801548394118689E-32</v>
      </c>
      <c r="W62" s="162">
        <f>W60*(1-FRw.w3T)</f>
        <v>8.7073507337618717E-24</v>
      </c>
      <c r="X62" s="17"/>
      <c r="Y62" s="156"/>
      <c r="Z62" s="17"/>
      <c r="AA62" s="312" t="s">
        <v>143</v>
      </c>
      <c r="AB62" s="162" t="s">
        <v>144</v>
      </c>
      <c r="AC62" s="161">
        <f>E.w0RS*Molweight</f>
        <v>0</v>
      </c>
      <c r="AD62" s="163">
        <f>k.w1R.w0R*(M.w1RS+M.w1RA+M.w1RP)*Molweight</f>
        <v>0</v>
      </c>
      <c r="AE62" s="163">
        <f>(k.w0R.w1R+k.w0R.w2R)*(M.w0RS+M.w0RA+M.w0RP)*Molweight</f>
        <v>9.1770943717415449E-6</v>
      </c>
      <c r="AF62" s="163"/>
      <c r="AG62" s="163">
        <f>(kdis.w0S.w0D*M.w0RS+kdis.w0A.w0D*M.w0RA+kdis.w0P.w0D*M.w0RP)*Molweight</f>
        <v>5.0531703637772291E-4</v>
      </c>
      <c r="AH62" s="162">
        <f>(kdegS.w0*M.w0RS+kdegA.w0*M.w0RA+kdegP.w0*M.w0RP)*Molweight</f>
        <v>3.8281593664979011E-17</v>
      </c>
      <c r="AI62" s="163">
        <f>((k.aRS.w0RS*M.aRS+k.aRA.w0RA*M.aRA+k.aRP.w0RP*M.aRP)+(k.cwRS.w0RS*M.cwRS+k.cwRA.w0RA*M.cwRA+k.cwRP.w0RP*M.cwRP))*Molweight</f>
        <v>2.0590431209901869E-4</v>
      </c>
      <c r="AJ62" s="163"/>
      <c r="AK62" s="163"/>
      <c r="AL62" s="163"/>
      <c r="AM62" s="163"/>
      <c r="AN62" s="163">
        <f>(k.w0RS.sd0RS*M.w0RS+k.w0RA.sd0RA*M.w0RA+k.w0RP.sd0RP*M.w0RP)*Molweight</f>
        <v>3.8294879887351911E-6</v>
      </c>
      <c r="AO62" s="162">
        <f>(k.sd0RS.w0RS*M.sd0RS+k.sd0RA.w0RA*M.sd0RA+k.sd0RP.w0RP*M.sd0RP)*Molweight</f>
        <v>0</v>
      </c>
      <c r="AP62" s="909">
        <f>SUM(AC62,AD62,AI62,AM62,AO62)-SUM(AF62,AE62,AH62,AJ62,AN62,AG62)</f>
        <v>-3.1241930663921926E-4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2.8195670761753037E-6</v>
      </c>
      <c r="H63" s="446">
        <f t="shared" si="18"/>
        <v>1.5671460784761022E-16</v>
      </c>
      <c r="I63" s="296">
        <f>M.w3AS*Molweight</f>
        <v>3.4757800986499921E-8</v>
      </c>
      <c r="J63" s="446">
        <f t="shared" si="19"/>
        <v>3.0104077714690308E-18</v>
      </c>
      <c r="K63" s="296">
        <f>M.w3TS*Molweight</f>
        <v>5.0542242321483482E-8</v>
      </c>
      <c r="L63" s="461">
        <f t="shared" si="20"/>
        <v>1.1808121887042143E-18</v>
      </c>
      <c r="M63" s="124"/>
      <c r="N63" s="124"/>
      <c r="O63" s="124">
        <f>C.w3MS*Molweight</f>
        <v>2.4232084443176822E-23</v>
      </c>
      <c r="P63" s="124">
        <f>C.w3AS*Molweight</f>
        <v>4.5435033969280947E-25</v>
      </c>
      <c r="Q63" s="124">
        <f>C.w3TS*Molweight</f>
        <v>1.8876654461805225E-25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9.1770943717415432E-6</v>
      </c>
      <c r="AE63" s="163">
        <f>(WATERflow.w1R.w0R+WATERflow.w1R.w2R)*(C.w1RS+C.w1RA+C.w1RP)*Molweight</f>
        <v>8.6527260324289521E-2</v>
      </c>
      <c r="AF63" s="163"/>
      <c r="AG63" s="163">
        <f>(kdis.w1S.w1D*M.w1RS+kdis.w1A.w1D*M.w1RA+kdis.w1P.w1D*M.w1RP)*Molweight</f>
        <v>0.15722645974857241</v>
      </c>
      <c r="AH63" s="162">
        <f>(kdegS.w1*M.w1RS+kdegA.w1*M.w1RA+kdegP.w1*M.w1RP)*Molweight</f>
        <v>1.1911095435497911E-14</v>
      </c>
      <c r="AI63" s="163">
        <f>((k.aRS.w1RS*M.aRS+k.aRA.w1RA*M.aRA+k.aRP.w1RP*M.aRP)+(k.cwRS.w1RS*M.cwRS+k.cwRA.w1RA*M.cwRA+k.cwRP.w1RP*M.cwRP))*Molweight</f>
        <v>2.2649474330892054E-3</v>
      </c>
      <c r="AJ63" s="163"/>
      <c r="AK63" s="163"/>
      <c r="AL63" s="163"/>
      <c r="AM63" s="163">
        <f>(k.s1RS.w1RS*M.s1RS+k.s1RA.w1RA*M.s1RA+k.s1RP.w1RP*M.s1RP+k.s2RS.w1RS*M.s2RS+k.s2RA.w1RA*M.s2RA+k.s2RP.w1RP*M.s2RP+k.s3RS.w1RS*M.s3RS+k.s3RA.w1RA*M.s3RA+k.s3RP.w1RP*M.s3RP)*Molweight</f>
        <v>3.4366123730314121E-3</v>
      </c>
      <c r="AN63" s="163">
        <f>(k.w1RS.sd1RS*M.w1RS+k.w1RA.sd1RA*M.w1RA+k.w1RP.sd1RP*M.w1RP)*Molweight</f>
        <v>9.4593985166989317E-2</v>
      </c>
      <c r="AO63" s="162">
        <f>(k.sd1RS.w1RS*M.sd1RS+k.sd1RA.w1RA*M.sd1RA+k.sd1RP.w1RP*M.sd1RP)*Molweight</f>
        <v>1.5539048501724922E-2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117.30895499927331</v>
      </c>
      <c r="H64" s="446">
        <f t="shared" si="18"/>
        <v>6.5201594369096205E-9</v>
      </c>
      <c r="I64" s="296">
        <f>M.w3AA*Molweight</f>
        <v>33.663086835411313</v>
      </c>
      <c r="J64" s="446">
        <f t="shared" si="19"/>
        <v>2.9155934882163516E-9</v>
      </c>
      <c r="K64" s="296">
        <f>M.w3TA*Molweight</f>
        <v>67.142391236271379</v>
      </c>
      <c r="L64" s="461">
        <f t="shared" si="20"/>
        <v>1.5686394253393942E-9</v>
      </c>
      <c r="M64" s="124"/>
      <c r="N64" s="124"/>
      <c r="O64" s="124">
        <f>C.w3MA*Molweight</f>
        <v>1.0081833227174777E-15</v>
      </c>
      <c r="P64" s="124">
        <f>C.w3AA*Molweight</f>
        <v>4.4004035078969043E-16</v>
      </c>
      <c r="Q64" s="124">
        <f>C.w3TA*Molweight</f>
        <v>2.5076523337543001E-16</v>
      </c>
      <c r="R64" s="160" t="s">
        <v>234</v>
      </c>
      <c r="S64" s="163"/>
      <c r="T64" s="163"/>
      <c r="U64" s="163"/>
      <c r="V64" s="163"/>
      <c r="W64" s="162"/>
      <c r="X64" s="17"/>
      <c r="Y64" s="156"/>
      <c r="Z64" s="17"/>
      <c r="AA64" s="312" t="s">
        <v>148</v>
      </c>
      <c r="AB64" s="162" t="s">
        <v>112</v>
      </c>
      <c r="AC64" s="161">
        <f>E.w2RS*Molweight</f>
        <v>0</v>
      </c>
      <c r="AD64" s="163">
        <f>(k.w1R.w2R*(M.w1RS+M.w1RA+M.w1RP)+k.w2C.w2R*(M.w2CS+M.w2CA+M.w2CP))*Molweight</f>
        <v>8.6527397755945271E-2</v>
      </c>
      <c r="AE64" s="163">
        <f>k.w2R.w2C*(M.w2RS+M.w2RA+M.w2RP)*Molweight</f>
        <v>9.0178421918594223E-3</v>
      </c>
      <c r="AF64" s="163"/>
      <c r="AG64" s="163">
        <f>(kdis.w2S.w2D*M.w2RS+kdis.w2A.w2D*M.w2RA+kdis.w2P.w2D*M.w2RP)*Molweight</f>
        <v>7.7680178141790554E-2</v>
      </c>
      <c r="AH64" s="162">
        <f>(kdegS.w2*M.w2RS+kdegA.w2*M.w2RA+kdegP.w2*M.w2RP)*Molweight</f>
        <v>6.5830659442195375E-17</v>
      </c>
      <c r="AI64" s="163">
        <f>((k.aRS.w2RS*M.aRS+k.aRA.w2RA*M.aRA+k.aRP.w2RP*M.aRP)+(k.cwRS.w2RS*M.cwRS+k.cwRA.w2RA*M.cwRA+k.cwRP.w2RP*M.cwRP))*Molweight</f>
        <v>3.0557887889734112E-4</v>
      </c>
      <c r="AJ64" s="163"/>
      <c r="AK64" s="163"/>
      <c r="AL64" s="163"/>
      <c r="AM64" s="163"/>
      <c r="AN64" s="163">
        <f>(k.w2RS.sd2RS*M.w2RS+k.w2RA.sd2RA*M.w2RA+k.w2RP.sd2RP*M.w2RP)*Molweight</f>
        <v>1.3504423737679199E-4</v>
      </c>
      <c r="AO64" s="162">
        <f>(k.sd2RS.w2RS*M.sd2RS+k.sd2RA.w2RA*M.sd2RA+k.sd2RP.w2RP*M.sd2RP)*Molweight</f>
        <v>8.7936184226383445E-8</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1.2879978187382902E-23</v>
      </c>
      <c r="CE64" s="2"/>
    </row>
    <row r="65" spans="1:83" ht="12.75" customHeight="1" x14ac:dyDescent="0.3">
      <c r="A65" s="17"/>
      <c r="B65" s="454" t="s">
        <v>152</v>
      </c>
      <c r="C65" s="295"/>
      <c r="D65" s="446"/>
      <c r="E65" s="296"/>
      <c r="F65" s="446"/>
      <c r="G65" s="296">
        <f>M.w3MP*Molweight</f>
        <v>2.9098067986914448E-2</v>
      </c>
      <c r="H65" s="446">
        <f t="shared" si="18"/>
        <v>1.6173022987195924E-12</v>
      </c>
      <c r="I65" s="296">
        <f>M.w3AP*Molweight</f>
        <v>3.9285810477844221E-4</v>
      </c>
      <c r="J65" s="446">
        <f t="shared" si="19"/>
        <v>3.402583184617947E-14</v>
      </c>
      <c r="K65" s="296">
        <f>M.w3TP*Molweight</f>
        <v>5.8974246877088927E-4</v>
      </c>
      <c r="L65" s="461">
        <f t="shared" si="20"/>
        <v>1.3778080736738096E-14</v>
      </c>
      <c r="M65" s="124"/>
      <c r="N65" s="124"/>
      <c r="O65" s="124">
        <f>C.w3MP*Molweight</f>
        <v>2.5007627821668176E-19</v>
      </c>
      <c r="P65" s="124">
        <f>C.w3AP*Molweight</f>
        <v>5.135400062463297E-21</v>
      </c>
      <c r="Q65" s="124">
        <f>C.w3TP*Molweight</f>
        <v>2.2025862512451516E-21</v>
      </c>
      <c r="R65" s="160" t="s">
        <v>234</v>
      </c>
      <c r="S65" s="163"/>
      <c r="T65" s="163"/>
      <c r="U65" s="163"/>
      <c r="V65" s="163"/>
      <c r="W65" s="162"/>
      <c r="X65" s="17"/>
      <c r="Y65" s="156"/>
      <c r="Z65" s="17"/>
      <c r="AA65" s="312" t="s">
        <v>151</v>
      </c>
      <c r="AB65" s="162" t="s">
        <v>113</v>
      </c>
      <c r="AC65" s="161"/>
      <c r="AD65" s="163"/>
      <c r="AE65" s="163"/>
      <c r="AF65" s="163">
        <f>kbur.sd1R*(M.sd1RS+M.sd1RA+M.sd1RP)*Molweight</f>
        <v>1.6968199656493641E-3</v>
      </c>
      <c r="AG65" s="163">
        <f>(kdis.sd1S.sd1D*M.sd1RS+kdis.sd1A.sd1D*M.sd1RA+kdis.sd1P.sd1D*M.sd1RP)*Molweight</f>
        <v>7.7358116699609195E-2</v>
      </c>
      <c r="AH65" s="162">
        <f>(kdegS.sd1*M.sd1RS+kdegA.sd1*M.sd1RA+kdegP.sd1*M.sd1RP)*Molweight</f>
        <v>5.86046338633403E-15</v>
      </c>
      <c r="AI65" s="163"/>
      <c r="AJ65" s="163"/>
      <c r="AK65" s="163"/>
      <c r="AL65" s="163"/>
      <c r="AM65" s="163"/>
      <c r="AN65" s="163">
        <f>AN63</f>
        <v>9.4593985166989317E-2</v>
      </c>
      <c r="AO65" s="162">
        <f>AO63</f>
        <v>1.5539048501724922E-2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45504</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2.4165811816778157E-8</v>
      </c>
      <c r="AG66" s="163">
        <f>(kdis.sd2S.sd2D*M.sd2RS+kdis.sd2A.sd2D*M.sd2RA+kdis.sd2P.sd2D*M.sd2RP)*Molweight</f>
        <v>1.349321353807487E-4</v>
      </c>
      <c r="AH66" s="162">
        <f>(kdegS.sd2*M.sd2RS+kdegA.sd2*M.sd2RA+kdegP.sd2*M.sd2RP)*Molweight</f>
        <v>1.1434926727182092E-19</v>
      </c>
      <c r="AI66" s="163"/>
      <c r="AJ66" s="163"/>
      <c r="AK66" s="163"/>
      <c r="AL66" s="163"/>
      <c r="AM66" s="163"/>
      <c r="AN66" s="163">
        <f>AN64</f>
        <v>1.3504423737679199E-4</v>
      </c>
      <c r="AO66" s="162">
        <f>AO64</f>
        <v>8.7936184226383445E-8</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8709656.6345239319</v>
      </c>
      <c r="D67" s="446">
        <f t="shared" ref="D67:D73" si="21">C67/$C$103</f>
        <v>3.3408276415324608E-4</v>
      </c>
      <c r="E67" s="295">
        <f>SUM(E68,E71:E73)</f>
        <v>373889859.8563379</v>
      </c>
      <c r="F67" s="446">
        <f t="shared" ref="F67:F73" si="22">E67/$E$103</f>
        <v>0.17562006617207723</v>
      </c>
      <c r="G67" s="296">
        <f>SUM(G68,G71:G73)</f>
        <v>4093499760.5818887</v>
      </c>
      <c r="H67" s="446">
        <f t="shared" ref="H67:H73" si="23">G67/$G$103</f>
        <v>0.22752117341860739</v>
      </c>
      <c r="I67" s="296">
        <f>SUM(I68,I71:I73)</f>
        <v>2693760601.303658</v>
      </c>
      <c r="J67" s="446">
        <f t="shared" ref="J67:J73" si="24">I67/$I$103</f>
        <v>0.23330928938200998</v>
      </c>
      <c r="K67" s="296">
        <f>SUM(K68,K71:K73)</f>
        <v>10130643314.27298</v>
      </c>
      <c r="L67" s="461">
        <f t="shared" ref="L67:L73" si="25">K67/$K$103</f>
        <v>0.23668097329001292</v>
      </c>
      <c r="M67" s="459">
        <f>((M.sd2RD+M.sd2RS+M.sd2RA+M.sd2RP)*Molweight*1000/(VOLUME.sd2R))/ (FRACw.sdR*1000+FRACs.sdR*RHOsolid)</f>
        <v>0.22332452909035699</v>
      </c>
      <c r="N67" s="459">
        <f>((M.sd2CD+M.sd2CS+M.sd2CA+M.sd2CP)*Molweight*1000/(VOLUME.sd2C))/ (FRACw.sdC*1000+FRACs.sdC*RHOsolid)</f>
        <v>2.5817023930823271E-3</v>
      </c>
      <c r="O67" s="459">
        <f>((M.sdMD+M.sdMS+M.sdMA+M.sdMP)*Molweight*1000/(VOLUME.sdM))/(FRACw.sdM*1000+FRACs.sdM*RHOsolid)</f>
        <v>2.706199192086868E-3</v>
      </c>
      <c r="P67" s="459">
        <f xml:space="preserve"> ((M.sdAD+M.sdAS+M.sdAA+M.sdAP)*Molweight*1000/(VOLUME.sdA))/(FRACw.sdA*1000+FRACs.sdA*RHOsolid)</f>
        <v>2.7086582215220291E-3</v>
      </c>
      <c r="Q67" s="459">
        <f>((M.sdTD+M.sdTS+M.sdTA+M.sdTP)*Molweight*1000/(VOLUME.sdT))/(FRACw.sdT*1000+FRACs.sdT*RHOsolid)</f>
        <v>2.9104771426482737E-3</v>
      </c>
      <c r="R67" s="160" t="s">
        <v>175</v>
      </c>
      <c r="S67" s="163"/>
      <c r="T67" s="163"/>
      <c r="U67" s="163"/>
      <c r="V67" s="163"/>
      <c r="W67" s="162"/>
      <c r="X67" s="17"/>
      <c r="Y67" s="156"/>
      <c r="Z67" s="17"/>
      <c r="AA67" s="312" t="s">
        <v>155</v>
      </c>
      <c r="AB67" s="162" t="s">
        <v>115</v>
      </c>
      <c r="AC67" s="161">
        <f>E.s1RS*Molweight</f>
        <v>0</v>
      </c>
      <c r="AD67" s="163"/>
      <c r="AE67" s="163"/>
      <c r="AF67" s="163">
        <f>kleach.s1R*(M.s1RS+M.s1RA)*Molweight</f>
        <v>1.6391334964932674E-6</v>
      </c>
      <c r="AG67" s="163">
        <f>(kdis.s1S.s1D*M.s1RS+kdis.s1A.s1D*M.s1RA+kdis.s1P.s1D*M.s1RP)*Molweight</f>
        <v>1.0241812535536264E-2</v>
      </c>
      <c r="AH67" s="162">
        <f>(kdegS.s1*M.s1RS+kdegA.s1*M.s1RA+kdegP.s1*M.s1RP)*Molweight</f>
        <v>2.1030415884058034E-17</v>
      </c>
      <c r="AI67" s="163"/>
      <c r="AJ67" s="163"/>
      <c r="AK67" s="163">
        <f>((k.aRS.s1RS*M.aRS+k.aRA.s1RA*M.aRA+k.aRP.s1RP*M.aRP)+(k.cwRS.s1RS*M.cwRS+k.cwRA.s1RA*M.cwRA+k.cwRP.s1RP*M.cwRP))*Molweight</f>
        <v>1.0486762609481304E-2</v>
      </c>
      <c r="AL67" s="163"/>
      <c r="AM67" s="163">
        <f>(k.s1RS.w1RS*M.s1RS+k.s1RA.w1RA*M.s1RA+k.s1RP.w1RP*M.s1RP)*Molweight</f>
        <v>2.2303502874448033E-4</v>
      </c>
      <c r="AN67" s="163"/>
      <c r="AO67" s="162"/>
      <c r="AP67" s="909">
        <f>SUM(AC67,AD67,AK67)-SUM(AE67,AF67,AH67,AL67,AM67,AP66,AG67)</f>
        <v>2.0275911704045746E-5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1.6514977004207131E-23</v>
      </c>
      <c r="BU67" s="113"/>
      <c r="BV67" s="113"/>
      <c r="BW67" s="113"/>
      <c r="BX67" s="2"/>
      <c r="BY67" s="2"/>
      <c r="BZ67" s="2"/>
      <c r="CA67" s="2"/>
      <c r="CB67" s="113"/>
      <c r="CC67" s="113"/>
      <c r="CD67" s="113"/>
      <c r="CE67" s="2"/>
    </row>
    <row r="68" spans="1:83" ht="12.75" customHeight="1" x14ac:dyDescent="0.35">
      <c r="A68" s="17"/>
      <c r="B68" s="443" t="s">
        <v>140</v>
      </c>
      <c r="C68" s="295">
        <f>M.sd2RD*Molweight</f>
        <v>8709645.199597206</v>
      </c>
      <c r="D68" s="446">
        <f t="shared" si="21"/>
        <v>3.3408232553527428E-4</v>
      </c>
      <c r="E68" s="295">
        <f>M.sd2CD*Molweight</f>
        <v>373889859.42187738</v>
      </c>
      <c r="F68" s="446">
        <f t="shared" si="22"/>
        <v>0.1756200659680065</v>
      </c>
      <c r="G68" s="296">
        <f>M.sdMD*Molweight</f>
        <v>4093499760.5817018</v>
      </c>
      <c r="H68" s="446">
        <f t="shared" si="23"/>
        <v>0.22752117341859698</v>
      </c>
      <c r="I68" s="296">
        <f>M.sdAD*Molweight</f>
        <v>2693760601.3036108</v>
      </c>
      <c r="J68" s="446">
        <f t="shared" si="24"/>
        <v>0.23330928938200587</v>
      </c>
      <c r="K68" s="296">
        <f>M.sdTD*Molweight</f>
        <v>10130643314.272886</v>
      </c>
      <c r="L68" s="461">
        <f t="shared" si="25"/>
        <v>0.23668097329001073</v>
      </c>
      <c r="M68" s="124">
        <f>C.sd2R*(Molweight*1000)/(FRACw.sdR*1000+FRACs.sdR*RHOsolid)</f>
        <v>0.22332423588710756</v>
      </c>
      <c r="N68" s="124">
        <f>C.sd2C*(Molweight*1000)/(FRACw.sdC*1000+FRACs.sdC*RHOsolid)</f>
        <v>2.5817023900823852E-3</v>
      </c>
      <c r="O68" s="124">
        <f>C.sdM*(Molweight*1000)/(FRACw.sdM*1000+FRACs.sdM*RHOsolid)</f>
        <v>2.7061991920867448E-3</v>
      </c>
      <c r="P68" s="124">
        <f>C.sdA*(Molweight*1000)/(FRACw.sdA*1000+FRACs.sdA*RHOsolid)</f>
        <v>2.7086582215219814E-3</v>
      </c>
      <c r="Q68" s="124">
        <f>C.sdT*(Molweight*1000)/(FRACw.sdT*1000+FRACs.sdT*RHOsolid)</f>
        <v>2.9104771426482468E-3</v>
      </c>
      <c r="R68" s="160" t="s">
        <v>175</v>
      </c>
      <c r="S68" s="163">
        <f>F.sd2R</f>
        <v>3.0369724977673078E-24</v>
      </c>
      <c r="T68" s="163">
        <f>F.sd2C</f>
        <v>3.5108411431277901E-26</v>
      </c>
      <c r="U68" s="163">
        <f>F.sdM</f>
        <v>3.6801435756404675E-26</v>
      </c>
      <c r="V68" s="163">
        <f>F.sdA</f>
        <v>7.5703298499993908E-32</v>
      </c>
      <c r="W68" s="162">
        <f>F.sdT</f>
        <v>3.6589368006263867E-23</v>
      </c>
      <c r="X68" s="166"/>
      <c r="Y68" s="156"/>
      <c r="Z68" s="17"/>
      <c r="AA68" s="312" t="s">
        <v>159</v>
      </c>
      <c r="AB68" s="162" t="s">
        <v>116</v>
      </c>
      <c r="AC68" s="161">
        <f>E.s2RS*Molweight</f>
        <v>0.31709791983764585</v>
      </c>
      <c r="AD68" s="163"/>
      <c r="AE68" s="163"/>
      <c r="AF68" s="163">
        <f>kleach.s2R*(M.s2RS+M.s2RA)*Molweight</f>
        <v>2.3011265145317334E-5</v>
      </c>
      <c r="AG68" s="163">
        <f>(kdis.s2S.s2D*M.s2RS+kdis.s2A.s2D*M.s2RA+kdis.s2P.s2D*M.s2RP)*Molweight</f>
        <v>0.33696322203515267</v>
      </c>
      <c r="AH68" s="162">
        <f>(kdegS.s2*M.s2RS+kdegA.s2*M.s2RA+kdegP.s2*M.s2RP)*Molweight</f>
        <v>6.9191626701263364E-16</v>
      </c>
      <c r="AI68" s="163"/>
      <c r="AJ68" s="163"/>
      <c r="AK68" s="163">
        <f>((k.aRS.s2RS*M.aRS+k.aRA.s2RA*M.aRA+k.aRP.s2RP*M.aRP)+(k.cwRS.s2RS*M.cwRS+k.cwRA.s2RA*M.cwRA+k.cwRP.s2RP*M.cwRP))*Molweight</f>
        <v>2.3303916909958443E-2</v>
      </c>
      <c r="AL68" s="163"/>
      <c r="AM68" s="163">
        <f>(k.s2RS.w1RS*M.s2RS+k.s2RA.w1RA*M.s2RA+k.s2RP.w1RP*M.s2RP)*Molweight</f>
        <v>3.1309698266967978E-3</v>
      </c>
      <c r="AN68" s="163"/>
      <c r="AO68" s="162"/>
      <c r="AP68" s="909">
        <f>SUM(AC68,AD68,AK68)-SUM(AE68,AF68,AH68,AL68,AM68,AP67,AG68)</f>
        <v>2.6435770890476107E-4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6967716.1596777653</v>
      </c>
      <c r="D69" s="446">
        <f t="shared" si="21"/>
        <v>2.6726586042821943E-4</v>
      </c>
      <c r="E69" s="295">
        <f>E68*FRACw.sdC</f>
        <v>299111887.53750193</v>
      </c>
      <c r="F69" s="446">
        <f t="shared" si="22"/>
        <v>0.14049605277440522</v>
      </c>
      <c r="G69" s="296">
        <f>FRACw.sdM*G68</f>
        <v>3274799808.4653616</v>
      </c>
      <c r="H69" s="446">
        <f t="shared" si="23"/>
        <v>0.18201693873487759</v>
      </c>
      <c r="I69" s="296">
        <f>FRACw.sdA*I68</f>
        <v>2155008481.0428886</v>
      </c>
      <c r="J69" s="446">
        <f t="shared" si="24"/>
        <v>0.1866474315056047</v>
      </c>
      <c r="K69" s="296">
        <f>FRACw.sdT*K68</f>
        <v>8104514651.4183092</v>
      </c>
      <c r="L69" s="461">
        <f t="shared" si="25"/>
        <v>0.18934477863200858</v>
      </c>
      <c r="M69" s="124">
        <f>M70/Kp.sd2R</f>
        <v>1.2223651693974094E-5</v>
      </c>
      <c r="N69" s="124">
        <f>N70/Kp.sd2C</f>
        <v>1.4130947619057473E-7</v>
      </c>
      <c r="O69" s="124">
        <f>O70/Kp.sdM</f>
        <v>1.4812380844909518E-7</v>
      </c>
      <c r="P69" s="124">
        <f>P70/Kp.sdA</f>
        <v>1.4825840342129853E-7</v>
      </c>
      <c r="Q69" s="124">
        <f>Q70/Kp.sdT</f>
        <v>1.5930496174624526E-7</v>
      </c>
      <c r="R69" s="160" t="s">
        <v>158</v>
      </c>
      <c r="S69" s="163">
        <f>S68*FRACw.sdR</f>
        <v>2.4295779982138464E-24</v>
      </c>
      <c r="T69" s="163">
        <f>T68*FRACw.sdC</f>
        <v>2.8086729145022322E-26</v>
      </c>
      <c r="U69" s="163">
        <f>U68*FRACw.sdM</f>
        <v>2.9441148605123739E-26</v>
      </c>
      <c r="V69" s="163">
        <f>V68*FRACw.sdA</f>
        <v>6.0562638799995135E-32</v>
      </c>
      <c r="W69" s="162">
        <f>W68*FRACw.sdT</f>
        <v>2.9271494405011093E-23</v>
      </c>
      <c r="X69" s="166"/>
      <c r="Y69" s="156"/>
      <c r="Z69" s="17"/>
      <c r="AA69" s="312" t="s">
        <v>160</v>
      </c>
      <c r="AB69" s="162" t="s">
        <v>117</v>
      </c>
      <c r="AC69" s="161">
        <f>E.s3RS*Molweight</f>
        <v>0</v>
      </c>
      <c r="AD69" s="163"/>
      <c r="AE69" s="163"/>
      <c r="AF69" s="163">
        <f>kleach.s3R*(M.s3RS+M.s3RA)*Molweight</f>
        <v>6.0710082443514857E-7</v>
      </c>
      <c r="AG69" s="163">
        <f>(kdis.s3S.s3D*M.s3RS+kdis.s3A.s3D*M.s3RA+kdis.s3P.s3D*M.s3RP)*Molweight</f>
        <v>3.793261758918789E-3</v>
      </c>
      <c r="AH69" s="162">
        <f>(kdegS.s3*M.s3RS+kdegA.s3*M.s3RA+kdegP.s3*M.s3RP)*Molweight</f>
        <v>7.7890385193404269E-18</v>
      </c>
      <c r="AI69" s="163"/>
      <c r="AJ69" s="163"/>
      <c r="AK69" s="163">
        <f>((k.aRS.s3RS*M.aRS+k.aRA.s3RA*M.aRA+k.aRP.s3RP*M.aRP)+(k.cwRS.s3RS*M.cwRS+k.cwRA.s3RA*M.cwRA+k.cwRP.s3RP*M.cwRP))*Molweight</f>
        <v>3.8839861516597415E-3</v>
      </c>
      <c r="AL69" s="163"/>
      <c r="AM69" s="163">
        <f>(k.s3RS.w1RS*M.s3RS+k.s3RA.w1RA*M.s3RA+k.s3RP.w1RP*M.s3RP)*Molweight</f>
        <v>8.2607517590133016E-5</v>
      </c>
      <c r="AN69" s="163"/>
      <c r="AO69" s="162"/>
      <c r="AP69" s="909">
        <f>SUM(AC69,AD69,AK69)-SUM(AE69,AF69,AH69,AL69,AM69,AP68,AG69)</f>
        <v>-2.5684793457838489E-4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3.0809719884685084E-19</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1741929.0399194409</v>
      </c>
      <c r="D70" s="446">
        <f t="shared" si="21"/>
        <v>6.6816465107054831E-5</v>
      </c>
      <c r="E70" s="295">
        <f>E68*FRACs.sdC</f>
        <v>74777971.884375453</v>
      </c>
      <c r="F70" s="446">
        <f t="shared" si="22"/>
        <v>3.5124013193601283E-2</v>
      </c>
      <c r="G70" s="296">
        <f>(1-FRACw.sdM)*G68</f>
        <v>818699952.11634016</v>
      </c>
      <c r="H70" s="446">
        <f t="shared" si="23"/>
        <v>4.5504234683719384E-2</v>
      </c>
      <c r="I70" s="296">
        <f>(1-FRACw.sdA)*I68</f>
        <v>538752120.26072204</v>
      </c>
      <c r="J70" s="446">
        <f t="shared" si="24"/>
        <v>4.6661857876401168E-2</v>
      </c>
      <c r="K70" s="296">
        <f>(1-FRACw.sdT)*K68</f>
        <v>2026128662.8545768</v>
      </c>
      <c r="L70" s="461">
        <f t="shared" si="25"/>
        <v>4.7336194658002137E-2</v>
      </c>
      <c r="M70" s="124">
        <f>C.sd2R*FRACs.sdR/(FRACw.sdR/(Kp.sd2R*RHOsolid/1000)+FRACs.sdR)*(Molweight*1000)/(FRACs.sdR*RHOsolid)</f>
        <v>0.58062345546376948</v>
      </c>
      <c r="N70" s="124">
        <f>C.sd2C*FRACs.sdC/(FRACw.sdC/(Kp.sd2C*RHOsolid/1000)+FRACs.sdC)*(Molweight*1000)/(FRACs.sdC*RHOsolid)</f>
        <v>6.712200119052299E-3</v>
      </c>
      <c r="O70" s="124">
        <f>C.sdM*FRACs.sdM/(FRACw.sdM/(Kp.sdM*RHOsolid/1000)+FRACs.sdM)*(Molweight*1000)/(FRACs.sdM*RHOsolid)</f>
        <v>7.0358809013320207E-3</v>
      </c>
      <c r="P70" s="124">
        <f>C.sdA*FRACs.sdA/(FRACw.sdA/(Kp.sdA*RHOsolid/1000)+FRACs.sdA)*(Molweight*1000)/(FRACs.sdA*RHOsolid)</f>
        <v>7.0422741625116806E-3</v>
      </c>
      <c r="Q70" s="124">
        <f>C.sdT*FRACs.sdT/(FRACw.sdT/(Kp.sdT*RHOsolid/1000)+FRACs.sdT)*(Molweight*1000)/(FRACs.sdT*RHOsolid)</f>
        <v>7.5669856829466498E-3</v>
      </c>
      <c r="R70" s="160" t="s">
        <v>164</v>
      </c>
      <c r="S70" s="163">
        <f>S68*(1-FRACw.sdR)</f>
        <v>6.0739449955346141E-25</v>
      </c>
      <c r="T70" s="163">
        <f>T68*(1-FRACw.sdC)</f>
        <v>7.021682286255579E-27</v>
      </c>
      <c r="U70" s="163">
        <f>U68*(1-FRACw.sdM)</f>
        <v>7.3602871512809333E-27</v>
      </c>
      <c r="V70" s="163">
        <f>V68*(1-FRACw.sdA)</f>
        <v>1.5140659699998778E-32</v>
      </c>
      <c r="W70" s="162">
        <f>W68*(1-FRACw.sdT)</f>
        <v>7.3178736012527717E-24</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5.9145124037440157E-20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1.9979443628033858E-10</v>
      </c>
      <c r="D71" s="446">
        <f t="shared" si="21"/>
        <v>7.6636634870765529E-21</v>
      </c>
      <c r="E71" s="295">
        <f>M.sd2CS*Molweight</f>
        <v>2.1935390156303981E-10</v>
      </c>
      <c r="F71" s="446">
        <f t="shared" si="22"/>
        <v>1.0303287369816953E-19</v>
      </c>
      <c r="G71" s="296">
        <f>M.sdMS*Molweight</f>
        <v>3.5776480837316524E-17</v>
      </c>
      <c r="H71" s="446">
        <f t="shared" si="23"/>
        <v>1.9884957559488153E-27</v>
      </c>
      <c r="I71" s="296">
        <f>M.sdAS*Molweight</f>
        <v>4.7060270387092825E-19</v>
      </c>
      <c r="J71" s="446">
        <f t="shared" si="24"/>
        <v>4.0759369027909334E-29</v>
      </c>
      <c r="K71" s="296">
        <f>M.sdTS*Molweight</f>
        <v>6.1856421958744703E-19</v>
      </c>
      <c r="L71" s="461">
        <f t="shared" si="25"/>
        <v>1.4451439754874118E-29</v>
      </c>
      <c r="M71" s="124">
        <f>C.sd2RS*(Molweight*1000)/(FRACw.sdR*1000+FRACs.sdR*RHOsolid)</f>
        <v>5.1229342635984202E-18</v>
      </c>
      <c r="N71" s="124">
        <f>C.sd2CS*(Molweight*1000)/(FRACw.sdC*1000+FRACs.sdC*RHOsolid)</f>
        <v>1.5146345311820991E-21</v>
      </c>
      <c r="O71" s="124">
        <f>C.sdMS*(Molweight*1000)/(FRACw.sdM*1000+FRACs.sdM*RHOsolid)</f>
        <v>2.3651713497082172E-29</v>
      </c>
      <c r="P71" s="124">
        <f>C.sdAS*(Molweight*1000)/(FRACw.sdA*1000+FRACs.sdA*RHOsolid)</f>
        <v>4.7320533320354777E-31</v>
      </c>
      <c r="Q71" s="124">
        <f>C.sdTS*(Molweight*1000)/(FRACw.sdT*1000+FRACs.sdT*RHOsolid)</f>
        <v>1.7771003938445653E-31</v>
      </c>
      <c r="R71" s="160" t="s">
        <v>237</v>
      </c>
      <c r="S71" s="163"/>
      <c r="T71" s="163"/>
      <c r="U71" s="163"/>
      <c r="V71" s="163"/>
      <c r="W71" s="162"/>
      <c r="X71" s="166"/>
      <c r="Y71" s="156"/>
      <c r="Z71" s="17"/>
      <c r="AA71" s="312" t="s">
        <v>141</v>
      </c>
      <c r="AB71" s="162" t="s">
        <v>118</v>
      </c>
      <c r="AC71" s="161">
        <f>E.aCS*Molweight</f>
        <v>0</v>
      </c>
      <c r="AD71" s="163">
        <f>(k.aR.aC*(M.aRS+M.aRA+M.aRP)+k.aM.aC*(M.aMS+M.aMA+M.aMP))*Molweight</f>
        <v>0.32629416355046725</v>
      </c>
      <c r="AE71" s="163">
        <f>(k.aC.aM+k.aC.aR)*(M.aCS+M.aCA+M.aCP)*Molweight</f>
        <v>0.20724873391712217</v>
      </c>
      <c r="AF71" s="163">
        <f>kesc.aC*VOLUME.aC*(C.aCS+C.aCA+C.aCP)*Molweight</f>
        <v>4.5132362399400745E-5</v>
      </c>
      <c r="AG71" s="163"/>
      <c r="AH71" s="162">
        <f>(kdegS.a*C.aCS+kdegA.a*C.aCA+kdegP.a*C.aCP)*VOLUME.aC*Molweight</f>
        <v>1.2320276736704501E-15</v>
      </c>
      <c r="AI71" s="163">
        <f>SUM(AI72:AI74,AK77:AK79)</f>
        <v>0.11900029727094444</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2.7205301529180108</v>
      </c>
      <c r="D72" s="446">
        <f t="shared" si="21"/>
        <v>1.0435339435155375E-10</v>
      </c>
      <c r="E72" s="295">
        <f>M.sd2CA*Molweight</f>
        <v>0.17152077808468669</v>
      </c>
      <c r="F72" s="446">
        <f t="shared" si="22"/>
        <v>8.0565143993723199E-11</v>
      </c>
      <c r="G72" s="296">
        <f>M.sdMA*Molweight</f>
        <v>1.6246259975416952E-4</v>
      </c>
      <c r="H72" s="446">
        <f t="shared" si="23"/>
        <v>9.0298481726188834E-15</v>
      </c>
      <c r="I72" s="296">
        <f>M.sdAA*Molweight</f>
        <v>4.6620418726650322E-5</v>
      </c>
      <c r="J72" s="446">
        <f t="shared" si="24"/>
        <v>4.0378409122705902E-15</v>
      </c>
      <c r="K72" s="296">
        <f>M.sdTA*Molweight</f>
        <v>9.2986321580384155E-5</v>
      </c>
      <c r="L72" s="461">
        <f t="shared" si="25"/>
        <v>2.1724279901648925E-15</v>
      </c>
      <c r="M72" s="124">
        <f>C.sd2RA*(Molweight*1000)/(FRACw.sdR*1000+FRACs.sdR*RHOsolid)</f>
        <v>6.9757183408154045E-8</v>
      </c>
      <c r="N72" s="124">
        <f>C.sd2CA*(Molweight*1000)/(FRACw.sdC*1000+FRACs.sdC*RHOsolid)</f>
        <v>1.1843477205151384E-12</v>
      </c>
      <c r="O72" s="124">
        <f>C.sdMA*(Molweight*1000)/(FRACw.sdM*1000+FRACs.sdM*RHOsolid)</f>
        <v>1.0740348892473589E-16</v>
      </c>
      <c r="P72" s="124">
        <f>C.sdAA*(Molweight*1000)/(FRACw.sdA*1000+FRACs.sdA*RHOsolid)</f>
        <v>4.6878249096682081E-17</v>
      </c>
      <c r="Q72" s="124">
        <f>C.sdTA*(Molweight*1000)/(FRACw.sdT*1000+FRACs.sdT*RHOsolid)</f>
        <v>2.6714449926132054E-17</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4.7107928261563215E-6</v>
      </c>
      <c r="AF72" s="163"/>
      <c r="AG72" s="163">
        <f>(kdis.w0S.w0D*M.w0CS+kdis.w0A.w0D*M.w0CA+kdis.w0P.w0D*M.w0CP)*Molweight</f>
        <v>2.5938971241624184E-4</v>
      </c>
      <c r="AH72" s="162">
        <f>(kdegS.w0*M.w0CS+kdegA.w0*M.w0CA+kdegP.w0*M.w0CP)*Molweight</f>
        <v>1.9650735789109227E-17</v>
      </c>
      <c r="AI72" s="163">
        <f>((k.aCS.w0CS*M.aCS+k.aCA.w0CA*M.aCA+k.aCP.w0CP*M.aCP)+(k.cwCS.w0CS*M.cwCS+k.cwCA.w0CA*M.cwCA+k.cwCP.w0CP*M.cwCP))*Molweight</f>
        <v>2.22048658894735E-4</v>
      </c>
      <c r="AJ72" s="163"/>
      <c r="AK72" s="163"/>
      <c r="AL72" s="163"/>
      <c r="AM72" s="163"/>
      <c r="AN72" s="163">
        <f>(k.w0CS.sd0CS*M.w0CS+k.w0CA.sd0CA*M.w0CA+k.w0CP.sd0CP*M.w0CP)*Molweight</f>
        <v>1.2568504985629919E-6</v>
      </c>
      <c r="AO72" s="162">
        <f>(k.sd0CS.w0CS*M.sd0CS+k.sd0CA.w0CA*M.sd0CA+k.sd0CP.w0CP*M.sd0CP)*Molweight</f>
        <v>0</v>
      </c>
      <c r="AP72" s="909">
        <f>SUM(AC72,AD72,AI72,AM72,AO72)-SUM(AF72,AE72,AH72,AJ72,AN72,AG72)</f>
        <v>-4.3308696846245813E-5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1.3390174513853183E-46</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8.7143965740642884</v>
      </c>
      <c r="D73" s="446">
        <f t="shared" si="21"/>
        <v>3.3426457753235048E-10</v>
      </c>
      <c r="E73" s="295">
        <f>M.sd2CP*Molweight</f>
        <v>0.26293975323568802</v>
      </c>
      <c r="F73" s="446">
        <f t="shared" si="22"/>
        <v>1.2350561440811544E-10</v>
      </c>
      <c r="G73" s="296">
        <f>M.sdMP*Molweight</f>
        <v>2.4154689302710471E-5</v>
      </c>
      <c r="H73" s="446">
        <f t="shared" si="23"/>
        <v>1.3425439294354223E-15</v>
      </c>
      <c r="I73" s="296">
        <f>M.sdAP*Molweight</f>
        <v>3.2611668460429771E-7</v>
      </c>
      <c r="J73" s="446">
        <f t="shared" si="24"/>
        <v>2.8245290952664304E-17</v>
      </c>
      <c r="K73" s="296">
        <f>M.sdTP*Molweight</f>
        <v>4.8955302209362762E-7</v>
      </c>
      <c r="L73" s="461">
        <f t="shared" si="25"/>
        <v>1.1437367021198119E-17</v>
      </c>
      <c r="M73" s="124">
        <f>C.sd2RP*(Molweight*1000)/(FRACw.sdR*1000+FRACs.sdR*RHOsolid)</f>
        <v>2.2344606600164817E-7</v>
      </c>
      <c r="N73" s="124">
        <f>C.sd2CP*(Molweight*1000)/(FRACw.sdC*1000+FRACs.sdC*RHOsolid)</f>
        <v>1.8155940105620524E-12</v>
      </c>
      <c r="O73" s="124">
        <f>C.sdMP*(Molweight*1000)/(FRACw.sdM*1000+FRACs.sdM*RHOsolid)</f>
        <v>1.5968585440154627E-17</v>
      </c>
      <c r="P73" s="124">
        <f>C.sdAP*(Molweight*1000)/(FRACw.sdA*1000+FRACs.sdA*RHOsolid)</f>
        <v>3.2792024595706151E-19</v>
      </c>
      <c r="Q73" s="124">
        <f>C.sdTP*(Molweight*1000)/(FRACw.sdT*1000+FRACs.sdT*RHOsolid)</f>
        <v>1.40645844169684E-19</v>
      </c>
      <c r="R73" s="160" t="s">
        <v>237</v>
      </c>
      <c r="S73" s="163"/>
      <c r="T73" s="163"/>
      <c r="U73" s="163"/>
      <c r="V73" s="163"/>
      <c r="W73" s="162"/>
      <c r="X73" s="166"/>
      <c r="Y73" s="156"/>
      <c r="Z73" s="17"/>
      <c r="AA73" s="312" t="s">
        <v>146</v>
      </c>
      <c r="AB73" s="162" t="s">
        <v>119</v>
      </c>
      <c r="AC73" s="161">
        <f>E.w1CS*Molweight</f>
        <v>0</v>
      </c>
      <c r="AD73" s="163">
        <f>k.w0C.w1C*(M.w0CS+M.w0CA+M.w0CP)*Molweight</f>
        <v>4.7107928261563215E-6</v>
      </c>
      <c r="AE73" s="163">
        <f>(k.w1C.w0C+k.w1C.w1R+k.w1C.w2C)*(M.w1CS+M.w1CA+M.w1CP)*Molweight</f>
        <v>9.6387506092998252E-4</v>
      </c>
      <c r="AF73" s="163"/>
      <c r="AG73" s="163">
        <f>(kdis.w1S.w1D*M.w1CS+kdis.w1A.w1D*M.w1CA+kdis.w1P.w1D*M.w1CP)*Molweight</f>
        <v>1.7514325878571612E-3</v>
      </c>
      <c r="AH73" s="162">
        <f>(kdegS.w1*M.w1CS+kdegA.w1*M.w1CA+kdegP.w1*M.w1CP)*Molweight</f>
        <v>1.3268428695887587E-16</v>
      </c>
      <c r="AI73" s="163">
        <f>((k.aCS.w1CS*M.aCS+k.aCA.w1CA*M.aCA+k.aCP.w1CP*M.aCP)+(k.cwCS.w1CS*M.cwCS+k.cwCA.w1CA*M.cwCA+k.cwCP.w1CP*M.cwCP))*Molweight</f>
        <v>2.4425352478420841E-3</v>
      </c>
      <c r="AJ73" s="163"/>
      <c r="AK73" s="163"/>
      <c r="AL73" s="163"/>
      <c r="AM73" s="163">
        <f>(k.s1CS.w1CS*M.s1CS+k.s1CA.w1CA*M.s1CA+k.s1CP.w1CP*M.s1CP+k.s2CS.w1CS*M.s2CS+k.s2CA.w1CA*M.s2CA+k.s2CP.w1CP*M.s2CP+k.s3CS.w1CS*M.s3CS+k.s3CA.w1CA*M.s3CA+k.s3CP.w1CP*M.s3CP)*Molweight</f>
        <v>4.7639566530870397E-4</v>
      </c>
      <c r="AN73" s="163">
        <f>(k.w1CS.sd1CS*M.w1CS+k.w1CA.sd1CA*M.w1CA+k.w1CP.sd1CP*M.w1CP)*Molweight</f>
        <v>2.4932329842967271E-4</v>
      </c>
      <c r="AO73" s="162">
        <f>(k.sd1CS.w1CS*M.sd1CS+k.sd1CA.w1CA*M.sd1CA+k.sd1CP.w1CP*M.sd1CP)*Molweight</f>
        <v>4.0989241240004146E-5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1.0015400952543489E-2</v>
      </c>
      <c r="AE74" s="163">
        <f>(k.w2C.w2M+k.w2C.w2R)*(M.w2CS+M.w2CA+M.w2CP)*Molweight</f>
        <v>2.6250699033944432E-4</v>
      </c>
      <c r="AF74" s="163"/>
      <c r="AG74" s="163">
        <f>(kdis.w2S.w2D*M.w2CS+kdis.w2A.w2D*M.w2CA+kdis.w2P.w2D*M.w2CP)*Molweight</f>
        <v>9.7691043692824664E-2</v>
      </c>
      <c r="AH74" s="162">
        <f>(kdegS.w2*M.w2CS+kdegA.w2*M.w2CA+kdegP.w2*M.w2CP)*Molweight</f>
        <v>8.2789020078664952E-17</v>
      </c>
      <c r="AI74" s="163">
        <f>((k.aCS.w2CS*M.aCS+k.aCA.w2CA*M.aCA+k.aCP.w2CP*M.aCP)+(k.cwCS.w2CS*M.cwCS+k.cwCA.w2CA*M.cwCA+k.cwCP.w2CP*M.cwCP))*Molweight</f>
        <v>8.7943276761700162E-2</v>
      </c>
      <c r="AJ74" s="163"/>
      <c r="AK74" s="163"/>
      <c r="AL74" s="163"/>
      <c r="AM74" s="163"/>
      <c r="AN74" s="163">
        <f>(k.w2CS.sd2CS*M.w2CS+k.w2CA.sd2CA*M.w2CA+k.w2CP.sd2CP*M.w2CP)*Molweight</f>
        <v>5.1308934942827309E-6</v>
      </c>
      <c r="AO74" s="162">
        <f>(k.sd2CS.w2CS*M.sd2CS+k.sd2CA.w2CA*M.sd2CA+k.sd2CP.w2CP*M.sd2CP)*Molweight</f>
        <v>3.8624148284564681E-9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2.7851585895946954E-21</v>
      </c>
      <c r="BY74" s="113"/>
      <c r="BZ74" s="138">
        <f>IF(AL30&lt;0,"",AL30)</f>
        <v>1.0315401403830605E-21</v>
      </c>
      <c r="CA74" s="113"/>
      <c r="CB74" s="136">
        <f>IF(AL29&lt;0,"",AL29)</f>
        <v>6.2837748852370141E-21</v>
      </c>
      <c r="CC74" s="140"/>
      <c r="CD74" s="113"/>
      <c r="CE74" s="2"/>
    </row>
    <row r="75" spans="1:83" ht="12.75" customHeight="1" x14ac:dyDescent="0.35">
      <c r="A75" s="17"/>
      <c r="B75" s="104" t="s">
        <v>238</v>
      </c>
      <c r="C75" s="295">
        <f>SUM(C76,C79:C81)</f>
        <v>351243412.65530843</v>
      </c>
      <c r="D75" s="446">
        <f t="shared" ref="D75:D81" si="26">C75/$C$103</f>
        <v>1.3472904284810388E-2</v>
      </c>
      <c r="E75" s="295">
        <f>SUM(E76,E79:E81)</f>
        <v>263550922.2496022</v>
      </c>
      <c r="F75" s="446">
        <f>E75/$E$103</f>
        <v>0.12379268703080484</v>
      </c>
      <c r="G75" s="296"/>
      <c r="H75" s="446"/>
      <c r="I75" s="296"/>
      <c r="J75" s="446"/>
      <c r="K75" s="296"/>
      <c r="L75" s="461"/>
      <c r="M75" s="459">
        <f>((M.s1RD+M.s1RS+M.s1RA+M.s1RP)*Molweight*1000/(VOLUME.s1R))/(FRACw.s1R*1000+(1-FRACa.s1R-FRACw.s1R)*RHOsolid)</f>
        <v>6.6958585391680439E-2</v>
      </c>
      <c r="N75" s="459">
        <f>((M.s1CD+M.s1CS+M.s1CA+M.s1CP)*Molweight*1000/(VOLUME.s1C))/(FRACw.s1C*1000+(1-FRACa.s1C-FRACw.s1C)*RHOsolid)</f>
        <v>3.2943853750851452E-3</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4.4396892569993973E-6</v>
      </c>
      <c r="AG75" s="163">
        <f>(kdis.sd1S.sd1D*M.sd1CS+kdis.sd1A.sd1D*M.sd1CA+kdis.sd1P.sd1D*M.sd1CP)*Molweight</f>
        <v>2.0389436793265359E-4</v>
      </c>
      <c r="AH75" s="162">
        <f>(kdegS.sd1*M.sd1CS+kdegA.sd1*M.sd1CA+kdegP.sd1*M.sd1CP)*Molweight</f>
        <v>1.5446543025201034E-17</v>
      </c>
      <c r="AI75" s="163"/>
      <c r="AJ75" s="163"/>
      <c r="AK75" s="163"/>
      <c r="AL75" s="163"/>
      <c r="AM75" s="163"/>
      <c r="AN75" s="163">
        <f>AN73</f>
        <v>2.4932329842967271E-4</v>
      </c>
      <c r="AO75" s="162">
        <f>AO73</f>
        <v>4.0989241240004146E-5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8.7096675643264433E-23</v>
      </c>
      <c r="BW75" s="2"/>
      <c r="BX75" s="137"/>
      <c r="BY75" s="113"/>
      <c r="BZ75" s="113"/>
      <c r="CA75" s="113"/>
      <c r="CB75" s="2"/>
      <c r="CC75" s="137"/>
      <c r="CD75" s="113"/>
      <c r="CE75" s="2"/>
    </row>
    <row r="76" spans="1:83" ht="12.75" customHeight="1" x14ac:dyDescent="0.3">
      <c r="A76" s="17"/>
      <c r="B76" s="443" t="s">
        <v>140</v>
      </c>
      <c r="C76" s="295">
        <f>M.s1R*Molweight</f>
        <v>351241309.61372006</v>
      </c>
      <c r="D76" s="446">
        <f t="shared" si="26"/>
        <v>1.3472823616883229E-2</v>
      </c>
      <c r="E76" s="295">
        <f>M.s1C*Molweight</f>
        <v>263549344.25972342</v>
      </c>
      <c r="F76" s="446">
        <f t="shared" ref="F76:F81" si="27">E76/$E$103</f>
        <v>0.12379194583208115</v>
      </c>
      <c r="G76" s="296"/>
      <c r="H76" s="446"/>
      <c r="I76" s="296"/>
      <c r="J76" s="446"/>
      <c r="K76" s="296"/>
      <c r="L76" s="461"/>
      <c r="M76" s="124">
        <f>C.s1R*(Molweight*1000)/(FRACw.s1R*1000+(1-FRACa.s1R-FRACw.s1R)*RHOsolid)</f>
        <v>6.6958184482553876E-2</v>
      </c>
      <c r="N76" s="124">
        <f>C.s1C*(Molweight*1000)/(FRACw.s1C*1000+(1-FRACa.s1C-FRACw.s1C)*RHOsolid)</f>
        <v>3.2943656502185635E-3</v>
      </c>
      <c r="O76" s="124"/>
      <c r="P76" s="124"/>
      <c r="Q76" s="124"/>
      <c r="R76" s="160" t="s">
        <v>175</v>
      </c>
      <c r="S76" s="163">
        <f>F.s1R</f>
        <v>9.9230362049595322E-25</v>
      </c>
      <c r="T76" s="163">
        <f>F.s1C</f>
        <v>4.8821678592571974E-26</v>
      </c>
      <c r="U76" s="163"/>
      <c r="V76" s="163"/>
      <c r="W76" s="162"/>
      <c r="X76" s="166"/>
      <c r="Y76" s="156"/>
      <c r="Z76" s="17"/>
      <c r="AA76" s="312" t="s">
        <v>153</v>
      </c>
      <c r="AB76" s="162" t="s">
        <v>122</v>
      </c>
      <c r="AC76" s="161"/>
      <c r="AD76" s="163"/>
      <c r="AE76" s="163"/>
      <c r="AF76" s="163">
        <f>kbur.sd2C*(M.sd2CS+M.sd2CA+M.sd2CP)*Molweight</f>
        <v>3.9680728547295215E-10</v>
      </c>
      <c r="AG76" s="163">
        <f>(kdis.sd2S.sd2D*M.sd2CS+kdis.sd2A.sd2D*M.sd2CA+kdis.sd2P.sd2D*M.sd2CP)*Molweight</f>
        <v>5.1266342721687984E-6</v>
      </c>
      <c r="AH76" s="162">
        <f>(kdegS.sd2*M.sd2CS+kdegA.sd2*M.sd2CA+kdegP.sd2*M.sd2CP)*Molweight</f>
        <v>4.3446053153972862E-21</v>
      </c>
      <c r="AI76" s="163"/>
      <c r="AJ76" s="163"/>
      <c r="AK76" s="163"/>
      <c r="AL76" s="163"/>
      <c r="AM76" s="163"/>
      <c r="AN76" s="163">
        <f>AN74</f>
        <v>5.1308934942827309E-6</v>
      </c>
      <c r="AO76" s="162">
        <f>AO74</f>
        <v>3.8624148284564681E-9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1.4682593214514336E-20</v>
      </c>
      <c r="BR76" s="113"/>
      <c r="BS76" s="113"/>
      <c r="BT76" s="138">
        <f>IF(AJ24&lt;0,"",AJ24)</f>
        <v>3.3659549702744245E-22</v>
      </c>
      <c r="BU76" s="113"/>
      <c r="BV76" s="2"/>
      <c r="BW76" s="2"/>
      <c r="BX76" s="137"/>
      <c r="BY76" s="113"/>
      <c r="BZ76" s="113"/>
      <c r="CA76" s="113"/>
      <c r="CB76" s="2"/>
      <c r="CC76" s="137"/>
      <c r="CD76" s="113"/>
      <c r="CE76" s="2"/>
    </row>
    <row r="77" spans="1:83" ht="12.75" customHeight="1" x14ac:dyDescent="0.3">
      <c r="A77" s="17"/>
      <c r="B77" s="159" t="s">
        <v>239</v>
      </c>
      <c r="C77" s="295">
        <f>C76*FRwD.s1R</f>
        <v>2464.8339984541867</v>
      </c>
      <c r="D77" s="446">
        <f t="shared" si="26"/>
        <v>9.4545467167832012E-8</v>
      </c>
      <c r="E77" s="295">
        <f>E76*FRw.s1C</f>
        <v>1849.4561038850493</v>
      </c>
      <c r="F77" s="446">
        <f t="shared" si="27"/>
        <v>8.687093131422316E-7</v>
      </c>
      <c r="G77" s="296"/>
      <c r="H77" s="446"/>
      <c r="I77" s="296"/>
      <c r="J77" s="446"/>
      <c r="K77" s="296"/>
      <c r="L77" s="461"/>
      <c r="M77" s="124">
        <f>M78/Kp.s1R</f>
        <v>3.993968941282572E-6</v>
      </c>
      <c r="N77" s="124">
        <f>N78/Kp.s1C</f>
        <v>1.9650464226116159E-7</v>
      </c>
      <c r="O77" s="124"/>
      <c r="P77" s="124"/>
      <c r="Q77" s="124"/>
      <c r="R77" s="160" t="s">
        <v>158</v>
      </c>
      <c r="S77" s="163">
        <f>S76*FRACw.s1R</f>
        <v>1.9846072409919066E-25</v>
      </c>
      <c r="T77" s="163">
        <f>T76*FRACw.s1C</f>
        <v>9.7643357185143952E-27</v>
      </c>
      <c r="U77" s="163"/>
      <c r="V77" s="163"/>
      <c r="W77" s="162"/>
      <c r="X77" s="166"/>
      <c r="Y77" s="156"/>
      <c r="Z77" s="17"/>
      <c r="AA77" s="312" t="s">
        <v>155</v>
      </c>
      <c r="AB77" s="162" t="s">
        <v>123</v>
      </c>
      <c r="AC77" s="161">
        <f>E.s1CS*Molweight</f>
        <v>0</v>
      </c>
      <c r="AD77" s="163"/>
      <c r="AE77" s="163"/>
      <c r="AF77" s="163">
        <f>kleach.s1C*(M.s1CS+M.s1CA)*Molweight</f>
        <v>1.4604364220502045E-6</v>
      </c>
      <c r="AG77" s="163">
        <f>(kdis.s1S.s1D*M.s1CS+kdis.s1A.s1D*M.s1CA+kdis.s1P.s1D*M.s1CP)*Molweight</f>
        <v>7.6848107095947417E-3</v>
      </c>
      <c r="AH77" s="162">
        <f>(kdegS.s1*M.s1CS+kdegA.s1*M.s1CA+kdegP.s1*M.s1CP)*Molweight</f>
        <v>1.5779898787668873E-17</v>
      </c>
      <c r="AI77" s="163"/>
      <c r="AJ77" s="163"/>
      <c r="AK77" s="163">
        <f>((k.aCS.s1CS*M.aCS+k.aCA.s1CA*M.aCA+k.aCP.s1CP*M.aCP)+(k.cwCS.s1CS*M.cwCS+k.cwCA.s1CA*M.cwCA+k.cwCP.s1CP*M.cwCP))*Molweight</f>
        <v>7.9030493635845519E-3</v>
      </c>
      <c r="AL77" s="163"/>
      <c r="AM77" s="163">
        <f>(k.s1CS.w1CS*M.s1CS+k.s1CA.w1CA*M.s1CA+k.s1CP.w1CP*M.s1CP)*Molweight</f>
        <v>1.9871336610376657E-4</v>
      </c>
      <c r="AN77" s="163"/>
      <c r="AO77" s="162"/>
      <c r="AP77" s="909">
        <f>SUM(AC77,AD77,AK77)-SUM(AE77,AF77,AH77,AL77,AM77,AP76,AG77)</f>
        <v>1.8064851463977377E-5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351238844.77972156</v>
      </c>
      <c r="D78" s="446">
        <f t="shared" si="26"/>
        <v>1.347272907141606E-2</v>
      </c>
      <c r="E78" s="295">
        <f>E76*FRs.s1C</f>
        <v>263547494.8036195</v>
      </c>
      <c r="F78" s="446">
        <f t="shared" si="27"/>
        <v>0.12379107712276799</v>
      </c>
      <c r="G78" s="296"/>
      <c r="H78" s="446"/>
      <c r="I78" s="296"/>
      <c r="J78" s="446"/>
      <c r="K78" s="296"/>
      <c r="L78" s="461"/>
      <c r="M78" s="124">
        <f>C.s1R*FRs.s1R*(Molweight*1000)/(FRACs.s1R*RHOsolid)</f>
        <v>7.5885409884368871E-2</v>
      </c>
      <c r="N78" s="124">
        <f>C.s1C*FRs.s1C*(Molweight*1000)/(FRACs.s1C*RHOsolid)</f>
        <v>3.7335882029620703E-3</v>
      </c>
      <c r="O78" s="124"/>
      <c r="P78" s="124"/>
      <c r="Q78" s="124"/>
      <c r="R78" s="160" t="s">
        <v>164</v>
      </c>
      <c r="S78" s="163">
        <f>S76*(1-FRACw.s1R)</f>
        <v>7.9384289639676263E-25</v>
      </c>
      <c r="T78" s="163">
        <f>T76*(1-FRACw.s1C)</f>
        <v>3.9057342874057581E-26</v>
      </c>
      <c r="U78" s="163"/>
      <c r="V78" s="163"/>
      <c r="W78" s="162"/>
      <c r="X78" s="166"/>
      <c r="Y78" s="156"/>
      <c r="Z78" s="17"/>
      <c r="AA78" s="312" t="s">
        <v>159</v>
      </c>
      <c r="AB78" s="162" t="s">
        <v>124</v>
      </c>
      <c r="AC78" s="161">
        <f>E.s2CS*Molweight</f>
        <v>0</v>
      </c>
      <c r="AD78" s="163"/>
      <c r="AE78" s="163"/>
      <c r="AF78" s="163">
        <f>kleach.s2C*(M.s2CS+M.s2CA)*Molweight</f>
        <v>1.500003090634523E-6</v>
      </c>
      <c r="AG78" s="163">
        <f>(kdis.s2S.s2D*M.s2CS+kdis.s2A.s2D*M.s2CA+kdis.s2P.s2D*M.s2CP)*Molweight</f>
        <v>1.7338194213864691E-2</v>
      </c>
      <c r="AH78" s="162">
        <f>(kdegS.s2*M.s2CS+kdegA.s2*M.s2CA+kdegP.s2*M.s2CP)*Molweight</f>
        <v>3.5602041506909013E-17</v>
      </c>
      <c r="AI78" s="163"/>
      <c r="AJ78" s="163"/>
      <c r="AK78" s="163">
        <f>((k.aCS.s2CS*M.aCS+k.aCA.s2CA*M.aCA+k.aCP.s2CP*M.aCP)+(k.cwCS.s2CS*M.cwCS+k.cwCA.s2CA*M.cwCA+k.cwCP.s2CP*M.cwCP))*Molweight</f>
        <v>1.756233191907678E-2</v>
      </c>
      <c r="AL78" s="163"/>
      <c r="AM78" s="163">
        <f>(k.s2CS.w1CS*M.s2CS+k.s2CA.w1CA*M.s2CA+k.s2CP.w1CP*M.s2CP)*Molweight</f>
        <v>2.0408456027797071E-4</v>
      </c>
      <c r="AN78" s="163"/>
      <c r="AO78" s="162"/>
      <c r="AP78" s="909">
        <f>SUM(AC78,AD78,AK78)-SUM(AE78,AF78,AH78,AL78,AM78,AP77,AG78)</f>
        <v>4.8829037947034637E-7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0.22541149436692251</v>
      </c>
      <c r="D79" s="446">
        <f t="shared" si="26"/>
        <v>8.6462759980125834E-12</v>
      </c>
      <c r="E79" s="295">
        <f>M.s1CS*Molweight</f>
        <v>2.2632026612081625E-2</v>
      </c>
      <c r="F79" s="446">
        <f t="shared" si="27"/>
        <v>1.0630504964080033E-11</v>
      </c>
      <c r="G79" s="296"/>
      <c r="H79" s="446"/>
      <c r="I79" s="296"/>
      <c r="J79" s="446"/>
      <c r="K79" s="296"/>
      <c r="L79" s="461"/>
      <c r="M79" s="124">
        <f>C.s1RS*(Molweight*1000)/(FRACw.s1R*1000+(1-FRACa.s1R-FRACw.s1R)*RHOsolid)</f>
        <v>4.2970869345941504E-11</v>
      </c>
      <c r="N79" s="124">
        <f>C.s1CS*(Molweight*1000)/(FRACw.s1C*1000+(1-FRACa.s1C-FRACw.s1C)*RHOsolid)</f>
        <v>2.8290023363593838E-13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5.4090381874540483E-7</v>
      </c>
      <c r="AG79" s="163">
        <f>(kdis.s3S.s3D*M.s3CS+kdis.s3A.s3D*M.s3CA+kdis.s3P.s3D*M.s3CP)*Molweight</f>
        <v>2.8462259735615972E-3</v>
      </c>
      <c r="AH79" s="162">
        <f>(kdegS.s3*M.s3CS+kdegA.s3*M.s3CA+kdegP.s3*M.s3CP)*Molweight</f>
        <v>5.8444065165535868E-18</v>
      </c>
      <c r="AI79" s="163"/>
      <c r="AJ79" s="163"/>
      <c r="AK79" s="163">
        <f>((k.aCS.s3CS*M.aCS+k.aCA.s3CA*M.aCA+k.aCP.s3CP*M.aCP)+(k.cwCS.s3CS*M.cwCS+k.cwCA.s3CA*M.cwCA+k.cwCP.s3CP*M.cwCP))*Molweight</f>
        <v>2.9270553198461296E-3</v>
      </c>
      <c r="AL79" s="163"/>
      <c r="AM79" s="163">
        <f>(k.s3CS.w1CS*M.s3CS+k.s3CA.w1CA*M.s3CA+k.s3CP.w1CP*M.s3CP)*Molweight</f>
        <v>7.3597738926966551E-5</v>
      </c>
      <c r="AN79" s="163"/>
      <c r="AO79" s="162"/>
      <c r="AP79" s="909">
        <f>SUM(AC79,AD79,AK79)-SUM(AE79,AF79,AH79,AL79,AM79,AP78,AG79)</f>
        <v>6.2024131593442673E-6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2.5517582705354352E-2</v>
      </c>
      <c r="BU79" s="137"/>
      <c r="BV79" s="140"/>
      <c r="BW79" s="113"/>
      <c r="BX79" s="2"/>
      <c r="BY79" s="113"/>
      <c r="BZ79" s="140"/>
      <c r="CA79" s="137"/>
      <c r="CB79" s="2"/>
      <c r="CC79" s="2"/>
      <c r="CD79" s="78"/>
      <c r="CE79" s="2"/>
    </row>
    <row r="80" spans="1:83" ht="12.75" customHeight="1" x14ac:dyDescent="0.3">
      <c r="A80" s="17"/>
      <c r="B80" s="159" t="s">
        <v>150</v>
      </c>
      <c r="C80" s="295">
        <f>M.s1RA*Molweight</f>
        <v>1724.6835969011324</v>
      </c>
      <c r="D80" s="446">
        <f t="shared" si="26"/>
        <v>6.615496884900876E-8</v>
      </c>
      <c r="E80" s="295">
        <f>M.s1CA*Molweight</f>
        <v>1536.8381215194834</v>
      </c>
      <c r="F80" s="446">
        <f t="shared" si="27"/>
        <v>7.2186930317053214E-7</v>
      </c>
      <c r="G80" s="296"/>
      <c r="H80" s="446"/>
      <c r="I80" s="296"/>
      <c r="J80" s="446"/>
      <c r="K80" s="296"/>
      <c r="L80" s="461"/>
      <c r="M80" s="124">
        <f>C.s1RA*(Molweight*1000)/(FRACw.s1R*1000+(1-FRACa.s1R-FRACw.s1R)*RHOsolid)</f>
        <v>3.2878160767121148E-7</v>
      </c>
      <c r="N80" s="124">
        <f>C.s1CA*(Molweight*1000)/(FRACw.s1C*1000+(1-FRACa.s1C-FRACw.s1C)*RHOsolid)</f>
        <v>1.9210469795329102E-8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1.4140588622778976E-19</v>
      </c>
      <c r="BR80" s="113"/>
      <c r="BS80" s="113"/>
      <c r="BT80" s="138">
        <f>IF(AI24&lt;0,"",AI24)</f>
        <v>3.6503518591611659E-21</v>
      </c>
      <c r="BU80" s="137"/>
      <c r="BV80" s="138">
        <f>IF(AI23&lt;0,"",AI23)</f>
        <v>3.3185016901465146E-22</v>
      </c>
      <c r="BW80" s="114"/>
      <c r="BX80" s="136">
        <f>IF(AK28&lt;0,"",AK28)</f>
        <v>3.5839818253574798E-20</v>
      </c>
      <c r="BY80" s="113"/>
      <c r="BZ80" s="138">
        <f>IF(AK30&lt;0,"",AK30)</f>
        <v>1.3274006760583252E-20</v>
      </c>
      <c r="CA80" s="137"/>
      <c r="CB80" s="136">
        <f>IF(AK29&lt;0,"",AK29)</f>
        <v>7.9644040563499531E-20</v>
      </c>
      <c r="CC80" s="140"/>
      <c r="CD80" s="113"/>
      <c r="CE80" s="2"/>
    </row>
    <row r="81" spans="1:83" ht="12.75" customHeight="1" x14ac:dyDescent="0.3">
      <c r="A81" s="17"/>
      <c r="B81" s="159" t="s">
        <v>152</v>
      </c>
      <c r="C81" s="295">
        <f>M.s1RP*Molweight</f>
        <v>378.13258001030425</v>
      </c>
      <c r="D81" s="446">
        <f t="shared" si="26"/>
        <v>1.4504312035160497E-8</v>
      </c>
      <c r="E81" s="295">
        <f>M.s1CP*Molweight</f>
        <v>41.129125220791785</v>
      </c>
      <c r="F81" s="446">
        <f t="shared" si="27"/>
        <v>1.9318790019206411E-8</v>
      </c>
      <c r="G81" s="296"/>
      <c r="H81" s="446"/>
      <c r="I81" s="296"/>
      <c r="J81" s="446"/>
      <c r="K81" s="296"/>
      <c r="L81" s="461"/>
      <c r="M81" s="124">
        <f>C.s1RP*(Molweight*1000)/(FRACw.s1R*1000+(1-FRACa.s1R-FRACw.s1R)*RHOsolid)</f>
        <v>7.2084548024942832E-8</v>
      </c>
      <c r="N81" s="124">
        <f>C.s1CP*(Molweight*1000)/(FRACw.s1C*1000+(1-FRACa.s1C-FRACw.s1C)*RHOsolid)</f>
        <v>5.1411388532003725E-10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0.20334921788221075</v>
      </c>
      <c r="AE81" s="163">
        <f>(k.aM.aA+k.aM.aC+k.aM.aT)*(M.aMS+M.aMA+M.aMP)*Molweight</f>
        <v>0.11488191121941242</v>
      </c>
      <c r="AF81" s="163">
        <f>kesc.aM*VOLUME.aM*(C.aMS+C.aMA+C.aMP)*Molweight</f>
        <v>3.6137105355924278E-5</v>
      </c>
      <c r="AG81" s="163"/>
      <c r="AH81" s="162">
        <f>(kdegS.a*C.aMS+kdegA.a*C.aMA+kdegP.a*C.aMP)*VOLUME.aM*Molweight</f>
        <v>9.8647426099358161E-16</v>
      </c>
      <c r="AI81" s="163">
        <f>SUM(AI82,AK85)</f>
        <v>8.8431169557441403E-2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3.9150673660639411E-4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3.2184041585782224E-4</v>
      </c>
      <c r="AE82" s="163">
        <f>((k.w2M.w2C+k.w2M.w2A+k.w2M.w2T)*(M.w2MS+M.w2MA+M.w2MP)+k.w2MS.w3MS*M.w2MS+k.w2MA.w3MA*M.w2MA+k.w2MP.w3MP*M.w2MP)*Molweight</f>
        <v>1.6340026299100298E-3</v>
      </c>
      <c r="AF82" s="163"/>
      <c r="AG82" s="163">
        <f>(kdis.w2S.w2D*M.w2MS+kdis.w2A.w2D*M.w2MA+kdis.w2P.w2D*M.w2MP)*Molweight</f>
        <v>6.5498084046952093E-2</v>
      </c>
      <c r="AH82" s="162">
        <f>(kdegS.w2*C.w2MS+kdegA.w2*C.w2MA+kdegP.w2*C.w2MP)*VOLUME.w2M*Molweight</f>
        <v>5.5506850887247528E-17</v>
      </c>
      <c r="AI82" s="163">
        <f>((k.aMS.w2MS*M.aMS+k.aMA.w2MA*M.aMA+k.aMP.w2MP*M.aMP)+(k.cwMS.w2MS*M.cwMS+k.cwMA.w2MA*M.cwMA+k.cwMP.w2MP*M.cwMP))*Molweight</f>
        <v>6.6184863766905397E-2</v>
      </c>
      <c r="AJ82" s="163"/>
      <c r="AK82" s="163"/>
      <c r="AL82" s="163"/>
      <c r="AM82" s="163">
        <f>(k.sMS.w2MS*M.sMS+k.sMA.w2MA*M.sMA+k.sMP.w2MP*M.sMP)*Molweight</f>
        <v>6.2538249409891484E-4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3.1838982754571789E-3</v>
      </c>
      <c r="BO82" s="113"/>
      <c r="BP82" s="113"/>
      <c r="BQ82" s="137"/>
      <c r="BR82" s="113"/>
      <c r="BS82" s="130">
        <f>AD24</f>
        <v>3.9150673660639411E-4</v>
      </c>
      <c r="BT82" s="113"/>
      <c r="BU82" s="137"/>
      <c r="BV82" s="137"/>
      <c r="BW82" s="113"/>
      <c r="BX82" s="137"/>
      <c r="BY82" s="113"/>
      <c r="BZ82" s="137"/>
      <c r="CA82" s="137"/>
      <c r="CB82" s="113"/>
      <c r="CC82" s="137"/>
      <c r="CD82" s="113"/>
      <c r="CE82" s="2"/>
    </row>
    <row r="83" spans="1:83" ht="12.75" customHeight="1" x14ac:dyDescent="0.3">
      <c r="A83" s="17"/>
      <c r="B83" s="104" t="s">
        <v>240</v>
      </c>
      <c r="C83" s="295">
        <f>SUM(C84,C87:C89)</f>
        <v>25395062815.543278</v>
      </c>
      <c r="D83" s="446">
        <f t="shared" ref="D83:D89" si="28">C83/$C$103</f>
        <v>0.97409727355178921</v>
      </c>
      <c r="E83" s="295">
        <f>SUM(E84,E87:E89)</f>
        <v>1306684238.4456108</v>
      </c>
      <c r="F83" s="446">
        <f>E83/$E$103</f>
        <v>0.6137635626438307</v>
      </c>
      <c r="G83" s="296"/>
      <c r="H83" s="446"/>
      <c r="I83" s="296"/>
      <c r="J83" s="446"/>
      <c r="K83" s="296"/>
      <c r="L83" s="461"/>
      <c r="M83" s="459">
        <f>((M.s2RD+M.s2RS+M.s2RA+M.s2RP)*Molweight*1000/(VOLUME.s2R))/(FRACw.s2R*1000+(1-FRACa.s2R-FRACw.s2R)*RHOsolid)</f>
        <v>0.5446279128362288</v>
      </c>
      <c r="N83" s="459">
        <f>((M.s2CD+M.s2CS+M.s2CA+M.s2CP)*Molweight*1000/(VOLUME.s2C))/(FRACw.s2C*1000+(1-FRACa.s2C-FRACw.s2C)*RHOsolid)</f>
        <v>1.8375240671807164E-3</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1.385716869970367E-3</v>
      </c>
      <c r="AE83" s="163">
        <f>(k.w3M.w2M+k.w3M.w3A+k.w3M.w3T)*(M.w3MS+M.w3MA+M.w3MP)*Molweight</f>
        <v>1.1256084212362017E-6</v>
      </c>
      <c r="AF83" s="163"/>
      <c r="AG83" s="163">
        <f>(kdis.w2S.w2D*M.w3MS+kdis.w2A.w2D*M.w3MA+kdis.w2P.w2D*M.w3MP)*Molweight</f>
        <v>1.3845890594645623E-3</v>
      </c>
      <c r="AH83" s="162">
        <f>(kdegS.w3*C.w3MS+kdegA.w3*C.w3MA+kdegP.w3*C.w3MP)*VOLUME.w3M*Molweight</f>
        <v>1.1733805588682729E-18</v>
      </c>
      <c r="AI83" s="163"/>
      <c r="AJ83" s="163"/>
      <c r="AK83" s="163"/>
      <c r="AL83" s="163"/>
      <c r="AM83" s="163"/>
      <c r="AN83" s="163">
        <f>(k.w3MS.sdMS*M.w3MS+k.w3MA.sdMA*M.w3MA+k.w3MP.sdMP*M.w3MP)*Molweight</f>
        <v>2.203913508436269E-9</v>
      </c>
      <c r="AO83" s="162">
        <f>(k.sdMS.w3MS*M.sdMS+k.sdMA.w3MA*M.sdMA+k.sdMP.w3MP*M.sdMP)*Molweight</f>
        <v>1.8289407109273637E-12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2.4583002321842362</v>
      </c>
      <c r="BO83" s="132"/>
      <c r="BP83" s="130">
        <f>AD25</f>
        <v>2.702090133464186</v>
      </c>
      <c r="BQ83" s="301"/>
      <c r="BR83" s="134"/>
      <c r="BS83" s="135"/>
      <c r="BT83" s="55">
        <f>AH24</f>
        <v>7.3395223886880831E-17</v>
      </c>
      <c r="BU83" s="113"/>
      <c r="BV83" s="940">
        <f>AH23</f>
        <v>6.3305263687858727E-16</v>
      </c>
      <c r="BW83" s="113"/>
      <c r="BX83" s="137"/>
      <c r="BY83" s="113"/>
      <c r="BZ83" s="2"/>
      <c r="CA83" s="113"/>
      <c r="CB83" s="2"/>
      <c r="CC83" s="141"/>
      <c r="CD83" s="113"/>
      <c r="CE83" s="2"/>
    </row>
    <row r="84" spans="1:83" ht="12.75" customHeight="1" x14ac:dyDescent="0.35">
      <c r="A84" s="17"/>
      <c r="B84" s="443" t="s">
        <v>140</v>
      </c>
      <c r="C84" s="295">
        <f>M.s2R*Molweight</f>
        <v>25394993623.916576</v>
      </c>
      <c r="D84" s="446">
        <f t="shared" si="28"/>
        <v>0.97409461951720733</v>
      </c>
      <c r="E84" s="295">
        <f>M.s2C*Molweight</f>
        <v>1306680678.2414601</v>
      </c>
      <c r="F84" s="446">
        <f t="shared" ref="F84:F89" si="29">E84/$E$103</f>
        <v>0.61376189037786233</v>
      </c>
      <c r="G84" s="163"/>
      <c r="H84" s="446"/>
      <c r="I84" s="296"/>
      <c r="J84" s="446"/>
      <c r="K84" s="296"/>
      <c r="L84" s="461"/>
      <c r="M84" s="124">
        <f>C.s2R*(Molweight*1000)/(FRACw.s2R*1000+(1-FRACa.s2R-FRACw.s2R)*RHOsolid)</f>
        <v>0.54462642893790147</v>
      </c>
      <c r="N84" s="124">
        <f>C.s2C*(Molweight*1000)/(FRACw.s2C*1000+(1-FRACa.s2C-FRACw.s2C)*RHOsolid)</f>
        <v>1.8375190606453816E-3</v>
      </c>
      <c r="O84" s="124"/>
      <c r="P84" s="124"/>
      <c r="Q84" s="124"/>
      <c r="R84" s="160" t="s">
        <v>175</v>
      </c>
      <c r="S84" s="163">
        <f>F.s2R</f>
        <v>8.0712280571716098E-24</v>
      </c>
      <c r="T84" s="163">
        <f>F.s2C</f>
        <v>2.7231574910514798E-26</v>
      </c>
      <c r="U84" s="163"/>
      <c r="V84" s="163"/>
      <c r="W84" s="162"/>
      <c r="X84" s="166"/>
      <c r="Y84" s="156"/>
      <c r="Z84" s="17"/>
      <c r="AA84" s="312" t="s">
        <v>205</v>
      </c>
      <c r="AB84" s="162" t="s">
        <v>191</v>
      </c>
      <c r="AC84" s="161"/>
      <c r="AD84" s="163"/>
      <c r="AE84" s="163"/>
      <c r="AF84" s="163">
        <f>kbur.sdM*(M.sdMS+M.sdMA+M.sdMP)*Molweight</f>
        <v>5.5685373252503813E-16</v>
      </c>
      <c r="AG84" s="163">
        <f>(kdis.sd2S.sd2D*M.sdMS+kdis.sd2A.sd2D*M.sdMA+kdis.sd2P.sd2D*M.sdMP)*Molweight</f>
        <v>2.2020840108716062E-9</v>
      </c>
      <c r="AH84" s="162">
        <f>(kdegS.sd2*C.sdMS+kdegA.sd2*C.sdMA+kdegP.sd2*C.sdMP)*VOLUME.sdM*Molweight</f>
        <v>1.8661728905691578E-24</v>
      </c>
      <c r="AI84" s="163"/>
      <c r="AJ84" s="163"/>
      <c r="AK84" s="163"/>
      <c r="AL84" s="163"/>
      <c r="AM84" s="163"/>
      <c r="AN84" s="163">
        <f>AN83</f>
        <v>2.203913508436269E-9</v>
      </c>
      <c r="AO84" s="162">
        <f>AO83</f>
        <v>1.8289407109273637E-12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178209.23098024979</v>
      </c>
      <c r="D85" s="446">
        <f t="shared" si="28"/>
        <v>6.8357037460593773E-6</v>
      </c>
      <c r="E85" s="295">
        <f>E84*FRw.s2C</f>
        <v>9169.6246218725482</v>
      </c>
      <c r="F85" s="446">
        <f t="shared" si="29"/>
        <v>4.3070707600498407E-6</v>
      </c>
      <c r="G85" s="296"/>
      <c r="H85" s="446"/>
      <c r="I85" s="296"/>
      <c r="J85" s="446"/>
      <c r="K85" s="296"/>
      <c r="L85" s="461"/>
      <c r="M85" s="124">
        <f>M86/Kp.s2R</f>
        <v>3.2486260769904504E-5</v>
      </c>
      <c r="N85" s="124">
        <f>N86/Kp.s2C</f>
        <v>1.0960563094634943E-7</v>
      </c>
      <c r="O85" s="124"/>
      <c r="P85" s="124"/>
      <c r="Q85" s="124"/>
      <c r="R85" s="160" t="s">
        <v>158</v>
      </c>
      <c r="S85" s="163">
        <f>S84*FRACw.s2R</f>
        <v>1.614245611434322E-24</v>
      </c>
      <c r="T85" s="163">
        <f>T84*FRACw.s2C</f>
        <v>5.4463149821029601E-27</v>
      </c>
      <c r="U85" s="163"/>
      <c r="V85" s="163"/>
      <c r="W85" s="162"/>
      <c r="X85" s="166"/>
      <c r="Y85" s="156"/>
      <c r="Z85" s="17"/>
      <c r="AA85" s="312" t="s">
        <v>206</v>
      </c>
      <c r="AB85" s="162" t="s">
        <v>192</v>
      </c>
      <c r="AC85" s="161">
        <f>E.sMS*Molweight</f>
        <v>0</v>
      </c>
      <c r="AD85" s="163"/>
      <c r="AE85" s="163"/>
      <c r="AF85" s="163">
        <f>kleach.sM*(M.sMS+M.sMA)*Molweight</f>
        <v>4.2132248972101452E-6</v>
      </c>
      <c r="AG85" s="163">
        <f>(kdis.s1S.s1D*M.sMS+kdis.s1A.s1D*M.sMA+kdis.s1P.s1D*M.sMP)*Molweight</f>
        <v>2.161671007153983E-2</v>
      </c>
      <c r="AH85" s="162">
        <f>(kdegS.s1*C.sMS+kdegA.s1*C.sMA+kdegP.s1*C.sMP)*VOLUME.sM*Molweight</f>
        <v>4.438749501342881E-17</v>
      </c>
      <c r="AI85" s="163"/>
      <c r="AJ85" s="163"/>
      <c r="AK85" s="163">
        <f>((k.aMS.sMS*M.aMS+k.aMA.sMA*M.aMA+k.aMP.sMP*M.aMP)+(k.cwMS.sMS*M.cwMS+k.cwMA.sMA*M.cwMA+k.cwMP.sMP*M.cwMP))*Molweight</f>
        <v>2.2246305790535999E-2</v>
      </c>
      <c r="AL85" s="163"/>
      <c r="AM85" s="163">
        <f>AM82</f>
        <v>6.2538249409891484E-4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25394815414.685593</v>
      </c>
      <c r="D86" s="446">
        <f t="shared" si="28"/>
        <v>0.97408778381346117</v>
      </c>
      <c r="E86" s="295">
        <f>E84*FRs.s2C</f>
        <v>1306671508.616838</v>
      </c>
      <c r="F86" s="446">
        <f t="shared" si="29"/>
        <v>0.61375758330710217</v>
      </c>
      <c r="G86" s="296"/>
      <c r="H86" s="446"/>
      <c r="I86" s="296"/>
      <c r="J86" s="446"/>
      <c r="K86" s="296"/>
      <c r="L86" s="461"/>
      <c r="M86" s="124">
        <f>C.s2R*FRs.s2R*(Molweight*1000)/(FRACs.s2R*RHOsolid)</f>
        <v>0.61723895462818557</v>
      </c>
      <c r="N86" s="124">
        <f>C.s2C*FRs.s2C*(Molweight*1000)/(FRACs.s2C*RHOsolid)</f>
        <v>2.0825069879806392E-3</v>
      </c>
      <c r="O86" s="124"/>
      <c r="P86" s="124"/>
      <c r="Q86" s="124"/>
      <c r="R86" s="160" t="s">
        <v>164</v>
      </c>
      <c r="S86" s="163">
        <f>S84*(1-FRACw.s2R)</f>
        <v>6.4569824457372881E-24</v>
      </c>
      <c r="T86" s="163">
        <f>T84*(1-FRACw.s2C)</f>
        <v>2.178525992841184E-26</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0.22819329841920963</v>
      </c>
      <c r="BT86" s="82">
        <f>IF(ISERROR(F36),0,F36)</f>
        <v>2.0586778153946094E-5</v>
      </c>
      <c r="BU86" s="113"/>
      <c r="BV86" s="82">
        <f>IF(ISERROR(E20),0,E20)</f>
        <v>163314.23869866726</v>
      </c>
      <c r="BW86" s="2"/>
      <c r="BX86" s="76" t="s">
        <v>171</v>
      </c>
      <c r="BY86" s="42"/>
      <c r="BZ86" s="76" t="s">
        <v>172</v>
      </c>
      <c r="CA86" s="113"/>
      <c r="CB86" s="113"/>
      <c r="CC86" s="76" t="s">
        <v>173</v>
      </c>
      <c r="CD86" s="94"/>
      <c r="CE86" s="2"/>
    </row>
    <row r="87" spans="1:83" ht="12.75" customHeight="1" x14ac:dyDescent="0.35">
      <c r="A87" s="17"/>
      <c r="B87" s="159" t="s">
        <v>147</v>
      </c>
      <c r="C87" s="295">
        <f>M.s2RS*Molweight</f>
        <v>17.206290230674188</v>
      </c>
      <c r="D87" s="446">
        <f t="shared" si="28"/>
        <v>6.5999444551017363E-10</v>
      </c>
      <c r="E87" s="295">
        <f>M.s2CS*Molweight</f>
        <v>8.046192567390216E-2</v>
      </c>
      <c r="F87" s="446">
        <f t="shared" si="29"/>
        <v>3.7793827082159965E-11</v>
      </c>
      <c r="G87" s="296"/>
      <c r="H87" s="446"/>
      <c r="I87" s="296"/>
      <c r="J87" s="446"/>
      <c r="K87" s="296"/>
      <c r="L87" s="461"/>
      <c r="M87" s="124">
        <f>C.s2RS*(Molweight*1000)/(FRACw.s2R*1000+(1-FRACa.s2R-FRACw.s2R)*RHOsolid)</f>
        <v>3.6900975611097356E-10</v>
      </c>
      <c r="N87" s="124">
        <f>C.s2CS*(Molweight*1000)/(FRACw.s2C*1000+(1-FRACa.s2C-FRACw.s2C)*RHOsolid)</f>
        <v>1.1314954337658471E-13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3.7419232535303701E-2</v>
      </c>
      <c r="AE87" s="163">
        <f>k.aA.aM*(M.aAS+M.aAA+M.aAP)*Molweight</f>
        <v>1.6379996834244771E-2</v>
      </c>
      <c r="AF87" s="163">
        <f>kesc.aA*VOLUME.aA*(C.aAS+C.aAA+C.aAP)*Molweight</f>
        <v>8.6668410485146881E-6</v>
      </c>
      <c r="AG87" s="163"/>
      <c r="AH87" s="162">
        <f>(kdegS.a*C.aAS+kdegA.a*C.aAA+kdegP.a*C.aAP)*VOLUME.aA*Molweight</f>
        <v>2.3658828050212804E-16</v>
      </c>
      <c r="AI87" s="163">
        <f>SUM(AI88,AK91)</f>
        <v>2.1030568860010188E-2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0.12379194583208115</v>
      </c>
      <c r="BY87" s="42"/>
      <c r="BZ87" s="96">
        <f>IF(ISERROR(F92),0,F92)</f>
        <v>4.5848865360482022E-2</v>
      </c>
      <c r="CA87" s="113"/>
      <c r="CB87" s="113"/>
      <c r="CC87" s="96">
        <f>IF(ISERROR(F84),0,F84)</f>
        <v>0.61376189037786233</v>
      </c>
      <c r="CD87" s="2"/>
      <c r="CE87" s="2"/>
    </row>
    <row r="88" spans="1:83" ht="12.75" customHeight="1" x14ac:dyDescent="0.3">
      <c r="A88" s="17"/>
      <c r="B88" s="159" t="s">
        <v>150</v>
      </c>
      <c r="C88" s="295">
        <f>M.s2RA*Molweight</f>
        <v>53197.197656122196</v>
      </c>
      <c r="D88" s="446">
        <f t="shared" si="28"/>
        <v>2.0405243953839654E-6</v>
      </c>
      <c r="E88" s="295">
        <f>M.s2CA*Molweight</f>
        <v>3468.7323078948743</v>
      </c>
      <c r="F88" s="446">
        <f t="shared" si="29"/>
        <v>1.6293006653879E-6</v>
      </c>
      <c r="G88" s="296"/>
      <c r="H88" s="446"/>
      <c r="I88" s="296"/>
      <c r="J88" s="446"/>
      <c r="K88" s="296"/>
      <c r="L88" s="461"/>
      <c r="M88" s="124">
        <f>C.s2RA*(Molweight*1000)/(FRACw.s2R*1000+(1-FRACa.s2R-FRACw.s2R)*RHOsolid)</f>
        <v>1.1408784037524478E-6</v>
      </c>
      <c r="N88" s="124">
        <f>C.s2CA*(Molweight*1000)/(FRACw.s2C*1000+(1-FRACa.s2C-FRACw.s2C)*RHOsolid)</f>
        <v>4.8779031007110805E-9</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2.1497020935155143E-4</v>
      </c>
      <c r="AE88" s="163">
        <f>(k.w2A.w2M*(M.w2AS+M.w2AA+M.w2AP)+k.w2AS.w3AS*M.w2AS+k.w2AA.w3AA*M.w2AA+k.w2AP.w3AP*M.w2AP)*Molweight</f>
        <v>3.9759776392882208E-4</v>
      </c>
      <c r="AF88" s="163"/>
      <c r="AG88" s="163">
        <f>(kdis.w2S.w2D*M.w2AS+kdis.w2A.w2D*M.w2AA+kdis.w2P.w2D*M.w2AP)*Molweight</f>
        <v>1.7392370402588529E-2</v>
      </c>
      <c r="AH88" s="162">
        <f>(kdegS.w2*C.w2AS+kdegA.w2*C.w2AA+kdegP.w2*C.w2AP)*VOLUME.w2A*Molweight</f>
        <v>1.4739296951346208E-17</v>
      </c>
      <c r="AI88" s="163">
        <f>((k.aAS.w2AS*M.aAS+k.aAA.w2AA*M.aAA+k.aAP.w2AP*M.aAP)+(k.cwAS.w2AS*M.cwAS+k.cwAA.w2AA*M.cwAA+k.cwAP.w2AP*M.cwAP))*Molweight</f>
        <v>1.7539248721564628E-2</v>
      </c>
      <c r="AJ88" s="163"/>
      <c r="AK88" s="163"/>
      <c r="AL88" s="163"/>
      <c r="AM88" s="163">
        <f>(k.sAS.w2AS*M.sAS+k.sAA.w2AA*M.sAA+k.sAP.w2AP*M.sAP)*Molweight</f>
        <v>3.574923560119296E-5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0.25266992217357021</v>
      </c>
      <c r="BT88" s="22">
        <f>AH26</f>
        <v>3.4873376837276112E-14</v>
      </c>
      <c r="BU88" s="113"/>
      <c r="BV88" s="113"/>
      <c r="BW88" s="113"/>
      <c r="BX88" s="2"/>
      <c r="BY88" s="42"/>
      <c r="BZ88" s="113"/>
      <c r="CA88" s="113"/>
      <c r="CB88" s="113"/>
      <c r="CC88" s="113"/>
      <c r="CD88" s="2"/>
      <c r="CE88" s="2"/>
    </row>
    <row r="89" spans="1:83" ht="12.75" customHeight="1" x14ac:dyDescent="0.35">
      <c r="A89" s="17"/>
      <c r="B89" s="159" t="s">
        <v>152</v>
      </c>
      <c r="C89" s="295">
        <f>M.s2RP*Molweight</f>
        <v>15977.222754910512</v>
      </c>
      <c r="D89" s="446">
        <f t="shared" si="28"/>
        <v>6.1285019208388161E-7</v>
      </c>
      <c r="E89" s="295">
        <f>M.s2CP*Molweight</f>
        <v>91.391380870353032</v>
      </c>
      <c r="F89" s="446">
        <f t="shared" si="29"/>
        <v>4.2927509085632786E-8</v>
      </c>
      <c r="G89" s="296"/>
      <c r="H89" s="446"/>
      <c r="I89" s="296"/>
      <c r="J89" s="446"/>
      <c r="K89" s="296"/>
      <c r="L89" s="461"/>
      <c r="M89" s="124">
        <f>C.s2RP*(Molweight*1000)/(FRACw.s2R*1000+(1-FRACa.s2R-FRACw.s2R)*RHOsolid)</f>
        <v>3.4265091388553276E-7</v>
      </c>
      <c r="N89" s="124">
        <f>C.s2CP*(Molweight*1000)/(FRACw.s2C*1000+(1-FRACa.s2C-FRACw.s2C)*RHOsolid)</f>
        <v>1.2851908436725441E-10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3.9759776392882208E-4</v>
      </c>
      <c r="AE89" s="163">
        <f>(k.w3A.w2A+k.w3A.w3M)*(M.w3AS+M.w3AA+M.w3AP)*Molweight</f>
        <v>3.6814916597270554E-7</v>
      </c>
      <c r="AF89" s="163"/>
      <c r="AG89" s="163">
        <f>(kdis.w2S.w2D*M.w3AS+kdis.w2A.w2D*M.w3AA+kdis.w2P.w2D*M.w3AP)*Molweight</f>
        <v>3.9722906079363198E-4</v>
      </c>
      <c r="AH89" s="162">
        <f>(kdegS.w3*C.w3AS+kdegA.w3*C.w3AA+kdegP.w3*C.w3AP)*VOLUME.w3A*Molweight</f>
        <v>3.3663479728273891E-19</v>
      </c>
      <c r="AI89" s="163"/>
      <c r="AJ89" s="163"/>
      <c r="AK89" s="163"/>
      <c r="AL89" s="163"/>
      <c r="AM89" s="163"/>
      <c r="AN89" s="163">
        <f>(k.w3AS.sdAS*M.w3AS+k.w3AA.sdAA*M.w3AA+k.w3AP.sdAP*M.w3AP)*Molweight</f>
        <v>5.544293569476884E-10</v>
      </c>
      <c r="AO89" s="162">
        <f>(k.sdAS.w3AS*M.sdAS+k.sdAA.w3AA*M.sdAA+k.sdAP.w3AP*M.sdAP)*Molweight</f>
        <v>4.6013985055301963E-13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1.0703429321653742E-12</v>
      </c>
      <c r="BY89" s="42"/>
      <c r="BZ89" s="55">
        <f>AH30</f>
        <v>3.9642327823944801E-13</v>
      </c>
      <c r="CA89" s="2"/>
      <c r="CB89" s="113"/>
      <c r="CC89" s="22">
        <f>AH29</f>
        <v>5.3067725608700865E-12</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9.9244324816621378E-17</v>
      </c>
      <c r="AG90" s="163">
        <f>(kdis.sd2S.sd2D*M.sdAS+kdis.sd2A.sd2D*M.sdAA+kdis.sd2P.sd2D*M.sdAP)*Molweight</f>
        <v>5.5396911785281006E-10</v>
      </c>
      <c r="AH90" s="162">
        <f>(kdegS.sd2*C.sdAS+kdegA.sd2*C.sdAA+kdegP.sd2*C.sdAP)*VOLUME.sdA*Molweight</f>
        <v>4.6946535411255087E-25</v>
      </c>
      <c r="AI90" s="163"/>
      <c r="AJ90" s="163"/>
      <c r="AK90" s="163"/>
      <c r="AL90" s="163"/>
      <c r="AM90" s="163"/>
      <c r="AN90" s="163">
        <f>AN89</f>
        <v>5.544293569476884E-10</v>
      </c>
      <c r="AO90" s="162">
        <f>AO89</f>
        <v>4.6013985055301963E-13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130090079.33650392</v>
      </c>
      <c r="D91" s="446">
        <f t="shared" ref="D91:D97" si="30">C91/$C$103</f>
        <v>4.9899617306819206E-3</v>
      </c>
      <c r="E91" s="295">
        <f>SUM(E92,E95:E97)</f>
        <v>97611445.305526406</v>
      </c>
      <c r="F91" s="446">
        <f>E91/$E$103</f>
        <v>4.5849139878507084E-2</v>
      </c>
      <c r="G91" s="296">
        <f>SUM(G92,G95:G97)</f>
        <v>741346025.38011312</v>
      </c>
      <c r="H91" s="446">
        <f t="shared" ref="H91:H97" si="31">G91/$G$103</f>
        <v>4.1204819218000246E-2</v>
      </c>
      <c r="I91" s="296">
        <f>SUM(I92,I95:I97)</f>
        <v>133121765.8989062</v>
      </c>
      <c r="J91" s="446">
        <f t="shared" ref="J91:J97" si="32">I91/$I$103</f>
        <v>1.1529808769242957E-2</v>
      </c>
      <c r="K91" s="296">
        <f>SUM(K92,K95:K97)</f>
        <v>183795333.59866294</v>
      </c>
      <c r="L91" s="461">
        <f t="shared" ref="L91:L97" si="33">K91/$K$103</f>
        <v>4.2939877649236903E-3</v>
      </c>
      <c r="M91" s="459">
        <f>((M.s3RD+M.s3RS+M.s3RA+M.s3RP)*Molweight*1000/(VOLUME.s3R))/(FRACw.s3R*1000+(1-FRACa.s3R-FRACw.s3R)*RHOsolid)</f>
        <v>6.6958547561181608E-2</v>
      </c>
      <c r="N91" s="459">
        <f>((M.s3CD+M.s3CS+M.s3CA+M.s3CP)*Molweight*1000/(VOLUME.s3C))/(FRACw.s3C*1000+(1-FRACa.s3C-FRACw.s3C)*RHOsolid)</f>
        <v>3.294385126026722E-3</v>
      </c>
      <c r="O91" s="459">
        <f>((M.sMD+M.sMS+M.sMA+M.sMP)*Molweight*1000/(VOLUME.sM))/(FRACw.sM*1000+(1-FRACa.sM-FRACw.sM)*RHOsolid)</f>
        <v>2.2487005987657758E-4</v>
      </c>
      <c r="P91" s="459">
        <f>((M.sAD+M.sAS+M.sAA+M.sAP)*Molweight*1000/(VOLUME.sA))/(FRACw.sA*1000+(1-FRACa.sA-FRACw.sA)*RHOsolid)</f>
        <v>9.212578954941603E-5</v>
      </c>
      <c r="Q91" s="459">
        <f>((M.sTD+M.sTS+M.sTA+M.sTP)*Molweight*1000/(VOLUME.sT))/(FRACw.sT*1000+(1-FRACa.sT-FRACw.sT)*RHOsolid)</f>
        <v>5.6530667773521825E-5</v>
      </c>
      <c r="R91" s="160" t="s">
        <v>175</v>
      </c>
      <c r="S91" s="163"/>
      <c r="T91" s="163"/>
      <c r="U91" s="163"/>
      <c r="V91" s="163"/>
      <c r="W91" s="162"/>
      <c r="X91" s="166"/>
      <c r="Y91" s="156"/>
      <c r="Z91" s="17"/>
      <c r="AA91" s="312" t="s">
        <v>206</v>
      </c>
      <c r="AB91" s="162" t="s">
        <v>197</v>
      </c>
      <c r="AC91" s="161">
        <f>E.sAS*Molweight</f>
        <v>0</v>
      </c>
      <c r="AD91" s="163"/>
      <c r="AE91" s="163"/>
      <c r="AF91" s="163">
        <f>kleach.sA*(M.sAS+M.sAA)*Molweight</f>
        <v>2.4078549727716114E-7</v>
      </c>
      <c r="AG91" s="163">
        <f>(kdis.s1S.s1D*M.sAS+kdis.s1A.s1D*M.sAA+kdis.s1P.s1D*M.sAP)*Molweight</f>
        <v>3.4553301173470808E-3</v>
      </c>
      <c r="AH91" s="162">
        <f>(kdegS.s1*C.sAS+kdegA.s1*C.sAA+kdegP.s1*C.sAP)*VOLUME.sA*Molweight</f>
        <v>7.0951337111849714E-18</v>
      </c>
      <c r="AI91" s="163"/>
      <c r="AJ91" s="163"/>
      <c r="AK91" s="163">
        <f>((k.aAS.sAS*M.aAS+k.aAA.sAA*M.aAA+k.aAP.sAP*M.aAP)+(k.cwAS.sAS*M.cwAS+k.cwAA.sAA*M.cwAA+k.cwAP.sAP*M.cwAP))*Molweight</f>
        <v>3.4913201384455584E-3</v>
      </c>
      <c r="AL91" s="163"/>
      <c r="AM91" s="163">
        <f>AM88</f>
        <v>3.574923560119296E-5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4.0333271203913824E-3</v>
      </c>
      <c r="BU91" s="113"/>
      <c r="BV91" s="113"/>
      <c r="BW91" s="113"/>
      <c r="BX91" s="113"/>
      <c r="BY91" s="113"/>
      <c r="BZ91" s="2"/>
      <c r="CA91" s="113"/>
      <c r="CB91" s="2"/>
      <c r="CC91" s="2"/>
      <c r="CD91" s="2"/>
      <c r="CE91" s="2"/>
    </row>
    <row r="92" spans="1:83" ht="12.75" customHeight="1" x14ac:dyDescent="0.3">
      <c r="A92" s="17"/>
      <c r="B92" s="443" t="s">
        <v>140</v>
      </c>
      <c r="C92" s="295">
        <f>M.s3R*Molweight</f>
        <v>130089300.432652</v>
      </c>
      <c r="D92" s="446">
        <f t="shared" si="30"/>
        <v>4.9899318536887416E-3</v>
      </c>
      <c r="E92" s="295">
        <f>M.s3C*Molweight</f>
        <v>97610860.86487475</v>
      </c>
      <c r="F92" s="446">
        <f t="shared" ref="F92:F97" si="34">E92/$E$103</f>
        <v>4.5848865360482022E-2</v>
      </c>
      <c r="G92" s="296">
        <f>M.sMD*Molweight</f>
        <v>741341586.63061178</v>
      </c>
      <c r="H92" s="446">
        <f t="shared" si="31"/>
        <v>4.1204572507470352E-2</v>
      </c>
      <c r="I92" s="296">
        <f>M.sAD*Molweight</f>
        <v>133121056.38553508</v>
      </c>
      <c r="J92" s="446">
        <f t="shared" si="32"/>
        <v>1.1529747317583019E-2</v>
      </c>
      <c r="K92" s="296">
        <f>M.sTD*Molweight</f>
        <v>183794071.98451376</v>
      </c>
      <c r="L92" s="461">
        <f t="shared" si="33"/>
        <v>4.2939582899875501E-3</v>
      </c>
      <c r="M92" s="124">
        <f>C.s3R*(Molweight*1000)/(FRACw.s3R*1000+(1-FRACa.s3R-FRACw.s3R)*RHOsolid)</f>
        <v>6.6958146652281558E-2</v>
      </c>
      <c r="N92" s="124">
        <f>C.s3C*(Molweight*1000)/(FRACw.s3C*1000+(1-FRACa.s3C-FRACw.s3C)*RHOsolid)</f>
        <v>3.2943654011616317E-3</v>
      </c>
      <c r="O92" s="124">
        <f>C.sM*(Molweight*1000)/(FRACw.sM*1000+(1-FRACa.sM-FRACw.sM)*RHOsolid)</f>
        <v>2.2486871348524075E-4</v>
      </c>
      <c r="P92" s="124">
        <f>C.sA*(Molweight*1000)/(FRACw.sA*1000+(1-FRACa.sA-FRACw.sA)*RHOsolid)</f>
        <v>9.2125298536702442E-5</v>
      </c>
      <c r="Q92" s="124">
        <f>C.sT*(Molweight*1000)/(FRACw.sT*1000+(1-FRACa.sT-FRACw.sT)*RHOsolid)</f>
        <v>5.6530279733798898E-5</v>
      </c>
      <c r="R92" s="160" t="s">
        <v>175</v>
      </c>
      <c r="S92" s="163">
        <f>F.s3R</f>
        <v>9.9230305986073785E-25</v>
      </c>
      <c r="T92" s="163">
        <f>F.s3C</f>
        <v>4.8821674901610274E-26</v>
      </c>
      <c r="U92" s="163">
        <f>F.sM</f>
        <v>3.3324983383593804E-27</v>
      </c>
      <c r="V92" s="163">
        <f>F.sA</f>
        <v>2.8059207823184584E-33</v>
      </c>
      <c r="W92" s="162">
        <f>F.sT</f>
        <v>7.7447562488750679E-25</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2.1343763770581446E-13</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912.90096513464459</v>
      </c>
      <c r="D93" s="446">
        <f t="shared" si="30"/>
        <v>3.5016819907851462E-8</v>
      </c>
      <c r="E93" s="295">
        <f>E92*FRw.s3C</f>
        <v>684.9836903942761</v>
      </c>
      <c r="F93" s="446">
        <f t="shared" si="34"/>
        <v>3.2174416572853536E-7</v>
      </c>
      <c r="G93" s="296">
        <f>FRw.sM*G92</f>
        <v>5202.3605913685642</v>
      </c>
      <c r="H93" s="446">
        <f t="shared" si="31"/>
        <v>2.891528656463488E-7</v>
      </c>
      <c r="I93" s="296">
        <f>FRw.sA*I92</f>
        <v>934.17629620518505</v>
      </c>
      <c r="J93" s="446">
        <f t="shared" si="32"/>
        <v>8.0909939702760107E-8</v>
      </c>
      <c r="K93" s="296">
        <f>FRw.sT*K92</f>
        <v>1289.7739102498492</v>
      </c>
      <c r="L93" s="461">
        <f t="shared" si="33"/>
        <v>3.0132829173041245E-8</v>
      </c>
      <c r="M93" s="124">
        <f>M94/Kp.s3R</f>
        <v>3.9939666847558482E-6</v>
      </c>
      <c r="N93" s="124">
        <f>N94/Kp.s3C</f>
        <v>1.9650462740523834E-7</v>
      </c>
      <c r="O93" s="124">
        <f>O94/Kp.sM</f>
        <v>1.341312737892749E-8</v>
      </c>
      <c r="P93" s="124">
        <f>P94/Kp.sA</f>
        <v>5.4951546835599097E-9</v>
      </c>
      <c r="Q93" s="124">
        <f>Q94/Kp.sT</f>
        <v>3.3719579352937215E-9</v>
      </c>
      <c r="R93" s="160" t="s">
        <v>158</v>
      </c>
      <c r="S93" s="163">
        <f>S92*FRACw.s3R</f>
        <v>1.9846061197214757E-25</v>
      </c>
      <c r="T93" s="163">
        <f>T92*FRACw.s3C</f>
        <v>9.764334980322056E-27</v>
      </c>
      <c r="U93" s="163">
        <f>U92*FRACw.sM</f>
        <v>6.6649966767187615E-28</v>
      </c>
      <c r="V93" s="163">
        <f>V92*FRACw.sA</f>
        <v>5.6118415646369168E-34</v>
      </c>
      <c r="W93" s="162">
        <f>W92*FRACw.sT</f>
        <v>1.5489512497750137E-25</v>
      </c>
      <c r="X93" s="166"/>
      <c r="Y93" s="156"/>
      <c r="Z93" s="17"/>
      <c r="AA93" s="312" t="s">
        <v>141</v>
      </c>
      <c r="AB93" s="162" t="s">
        <v>198</v>
      </c>
      <c r="AC93" s="161">
        <f>E.aTS*Molweight</f>
        <v>0</v>
      </c>
      <c r="AD93" s="163">
        <f>k.aM.aT*(M.aMS+M.aMA+M.aMP)*Molweight</f>
        <v>6.4812011931380392E-2</v>
      </c>
      <c r="AE93" s="163">
        <f>k.aT.aM*(M.aTS+M.aTA+M.aTP)*Molweight</f>
        <v>1.6729357200302171E-2</v>
      </c>
      <c r="AF93" s="163">
        <f>kesc.aT*VOLUME.aT*(C.aTS+C.aTA+C.aTP)*Molweight</f>
        <v>1.5331579511500036E-5</v>
      </c>
      <c r="AG93" s="163"/>
      <c r="AH93" s="162">
        <f>(kdegS.a*C.aTS+kdegA.a*C.aTA+kdegP.a*C.aTP)*VOLUME.aT*Molweight</f>
        <v>4.1852296744603225E-16</v>
      </c>
      <c r="AI93" s="163">
        <f>SUM(AI94,AK97)</f>
        <v>4.806732315156631E-2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130088387.53168684</v>
      </c>
      <c r="D94" s="446">
        <f t="shared" si="30"/>
        <v>4.9898968368688335E-3</v>
      </c>
      <c r="E94" s="295">
        <f>E92*FRs.s3C</f>
        <v>97610175.88118434</v>
      </c>
      <c r="F94" s="446">
        <f t="shared" si="34"/>
        <v>4.5848543616316288E-2</v>
      </c>
      <c r="G94" s="296">
        <f>(1-FRw.sM)*G92</f>
        <v>741336384.27002037</v>
      </c>
      <c r="H94" s="446">
        <f t="shared" si="31"/>
        <v>4.1204283354604708E-2</v>
      </c>
      <c r="I94" s="296">
        <f>(1-FRw.sA)*I92</f>
        <v>133120122.20923887</v>
      </c>
      <c r="J94" s="446">
        <f t="shared" si="32"/>
        <v>1.1529666407643316E-2</v>
      </c>
      <c r="K94" s="296">
        <f>(1-FRw.sT)*K92</f>
        <v>183792782.21060351</v>
      </c>
      <c r="L94" s="461">
        <f t="shared" si="33"/>
        <v>4.2939281571583773E-3</v>
      </c>
      <c r="M94" s="124">
        <f>C.s3R*FRs.s3R*(Molweight*1000)/(FRACs.s3R*RHOsolid)</f>
        <v>7.5885367010361124E-2</v>
      </c>
      <c r="N94" s="124">
        <f>C.s3C*FRs.s3C*(Molweight*1000)/(FRACs.s3C*RHOsolid)</f>
        <v>3.7335879206995284E-3</v>
      </c>
      <c r="O94" s="124">
        <f>C.sM*FRs.sM*(Molweight*1000)/(FRACs.sM*RHOsolid)</f>
        <v>2.548494201996223E-4</v>
      </c>
      <c r="P94" s="124">
        <f>C.sA*FRs.sA*(Molweight*1000)/(FRACs.sA*RHOsolid)</f>
        <v>1.0440793898763829E-4</v>
      </c>
      <c r="Q94" s="124">
        <f>C.sT*FRs.sT*(Molweight*1000)/(FRACs.sT*RHOsolid)</f>
        <v>6.4067200770580711E-5</v>
      </c>
      <c r="R94" s="160" t="s">
        <v>164</v>
      </c>
      <c r="S94" s="163">
        <f>S92*(1-FRACw.s3R)</f>
        <v>7.9384244788859028E-25</v>
      </c>
      <c r="T94" s="163">
        <f>T92*(1-FRACw.s3C)</f>
        <v>3.9057339921288224E-26</v>
      </c>
      <c r="U94" s="163">
        <f>U92*(1-FRACw.sM)</f>
        <v>2.6659986706875046E-27</v>
      </c>
      <c r="V94" s="163">
        <f>V92*(1-FRACw.sA)</f>
        <v>2.2447366258547667E-33</v>
      </c>
      <c r="W94" s="162">
        <f>W92*(1-FRACw.sT)</f>
        <v>6.1958049991000549E-25</v>
      </c>
      <c r="X94" s="166"/>
      <c r="Y94" s="156"/>
      <c r="Z94" s="17"/>
      <c r="AA94" s="312" t="s">
        <v>186</v>
      </c>
      <c r="AB94" s="162" t="s">
        <v>199</v>
      </c>
      <c r="AC94" s="161">
        <f>E.w2TS*Molweight</f>
        <v>0</v>
      </c>
      <c r="AD94" s="163">
        <f>(k.w2M.w2T*(M.w2MS+M.w2MA+M.w2MP)+k.w3T.w2T*(M.w3TS+M.w3TA+M.w3TP))*Molweight</f>
        <v>5.0859562208139435E-7</v>
      </c>
      <c r="AE94" s="163">
        <f>(k.w2T.w2M*(M.w2TS+M.w2TA+M.w2TP)+k.w2TS.w3TS*M.w2TS+k.w2TA.w3TA*M.w2TA+k.w2TP.w3TP*M.w2TP)*Molweight</f>
        <v>8.5114212353595408E-4</v>
      </c>
      <c r="AF94" s="163"/>
      <c r="AG94" s="163">
        <f>(kdis.w2S.w2D*M.w2TS+kdis.w2A.w2D*M.w2TA+kdis.w2P.w2D*M.w2TP)*Molweight</f>
        <v>4.1070402315378812E-2</v>
      </c>
      <c r="AH94" s="162">
        <f>(kdegS.w2*C.w2TS+kdegA.w2*C.w2TA+kdegP.w2*C.w2TP)*VOLUME.w2T*Molweight</f>
        <v>3.4805425690998997E-17</v>
      </c>
      <c r="AI94" s="163">
        <f>((k.aTS.w2TS*M.aTS+k.aTA.w2TA*M.aTA+k.aTP.w2TP*M.aTP)+(k.cwTS.w2TS*M.cwTS+k.cwTA.w2TA*M.cwTA+k.cwTP.w2TP*M.cwTP))*Molweight</f>
        <v>4.1590584508634509E-2</v>
      </c>
      <c r="AJ94" s="163"/>
      <c r="AK94" s="163"/>
      <c r="AL94" s="163"/>
      <c r="AM94" s="163">
        <f>(k.sTS.w2TS*M.sTS+k.sTA.w2TA*M.sTA+k.sTP.w2TP*M.sTP)*Molweight</f>
        <v>3.3045133465821796E-4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3.3383660386879654</v>
      </c>
      <c r="BQ94" s="96">
        <f>IF(ISERROR(F52),0,F52)</f>
        <v>3.641641931191604E-2</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0.14840038400934188</v>
      </c>
      <c r="D95" s="446">
        <f t="shared" si="30"/>
        <v>5.6923036775897009E-12</v>
      </c>
      <c r="E95" s="295">
        <f>M.s3CS*Molweight</f>
        <v>1.4899867682326177E-2</v>
      </c>
      <c r="F95" s="446">
        <f t="shared" si="34"/>
        <v>6.9986272142570427E-12</v>
      </c>
      <c r="G95" s="296">
        <f>M.sMS*Molweight</f>
        <v>2.6553665155046027E-3</v>
      </c>
      <c r="H95" s="446">
        <f t="shared" si="31"/>
        <v>1.475881619150763E-13</v>
      </c>
      <c r="I95" s="296">
        <f>M.sAS*Molweight</f>
        <v>1.7850272910450857E-5</v>
      </c>
      <c r="J95" s="446">
        <f t="shared" si="32"/>
        <v>1.5460299204007729E-15</v>
      </c>
      <c r="K95" s="296">
        <f>M.sTS*Molweight</f>
        <v>2.3976334242405335E-5</v>
      </c>
      <c r="L95" s="461">
        <f t="shared" si="33"/>
        <v>5.6015614688793369E-16</v>
      </c>
      <c r="M95" s="124">
        <f>C.s3RS*(Molweight*1000)/(FRACw.s3R*1000+(1-FRACa.s3R-FRACw.s3R)*RHOsolid)</f>
        <v>7.6383027986968508E-11</v>
      </c>
      <c r="N95" s="124">
        <f>C.s3CS*(Molweight*1000)/(FRACw.s3C*1000+(1-FRACa.s3C-FRACw.s3C)*RHOsolid)</f>
        <v>5.0287035827388292E-13</v>
      </c>
      <c r="O95" s="124">
        <f>C.sMS*(Molweight*1000)/(FRACw.sM*1000+(1-FRACa.sM-FRACw.sM)*RHOsolid)</f>
        <v>8.0544362132328081E-16</v>
      </c>
      <c r="P95" s="124">
        <f>C.sAS*(Molweight*1000)/(FRACw.sA*1000+(1-FRACa.sA-FRACw.sA)*RHOsolid)</f>
        <v>1.23531300418345E-17</v>
      </c>
      <c r="Q95" s="124">
        <f>C.sTS*(Molweight*1000)/(FRACw.sT*1000+(1-FRACa.sT-FRACw.sT)*RHOsolid)</f>
        <v>7.3744972679447372E-18</v>
      </c>
      <c r="R95" s="160" t="s">
        <v>237</v>
      </c>
      <c r="S95" s="163"/>
      <c r="T95" s="163"/>
      <c r="U95" s="163"/>
      <c r="V95" s="163"/>
      <c r="W95" s="162"/>
      <c r="X95" s="166"/>
      <c r="Y95" s="156"/>
      <c r="Z95" s="17"/>
      <c r="AA95" s="312" t="s">
        <v>189</v>
      </c>
      <c r="AB95" s="162" t="s">
        <v>200</v>
      </c>
      <c r="AC95" s="161"/>
      <c r="AD95" s="163">
        <f>(k.w2TS.w3TS*M.w2TS+k.w2TA.w3TA*M.w2TA+k.w2TP.w3TP*M.w2TP+k.w3M.w3T*(M.w3MS+M.w3MA+M.w3MP))*Molweight</f>
        <v>7.927968747830532E-4</v>
      </c>
      <c r="AE95" s="163">
        <f>(k.w3T.w2T+k.w3T.w3M)*(M.w3TS+M.w3TA+M.w3TP)*Molweight</f>
        <v>5.0859562208139435E-7</v>
      </c>
      <c r="AF95" s="163"/>
      <c r="AG95" s="163">
        <f>(kdis.w2S.w2D*M.w3TS+kdis.w2A.w2D*M.w3TA+kdis.w2P.w2D*M.w3TP)*Molweight</f>
        <v>7.9228717614553221E-4</v>
      </c>
      <c r="AH95" s="162">
        <f>(kdegS.w3*C.w3TS+kdegA.w3*C.w3TA+kdegP.w3*C.w3TP)*VOLUME.w3T*Molweight</f>
        <v>6.7142981029282394E-19</v>
      </c>
      <c r="AI95" s="163"/>
      <c r="AJ95" s="163"/>
      <c r="AK95" s="163"/>
      <c r="AL95" s="163"/>
      <c r="AM95" s="163"/>
      <c r="AN95" s="163">
        <f>(k.w3TS.sdTS*M.w3TS+k.w3TA.sdTA*M.w3TA+k.w3TP.sdTP*M.w3TP)*Molweight</f>
        <v>1.1039316294844195E-9</v>
      </c>
      <c r="AO95" s="162">
        <f>(k.sdTS.w3TS*M.sdTS+k.sdTA.w3TA*M.sdTA+k.sdTP.w3TP*M.sdTP)*Molweight</f>
        <v>9.1619061115179547E-13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638.72188279479803</v>
      </c>
      <c r="D96" s="446">
        <f t="shared" si="30"/>
        <v>2.4499929340890191E-8</v>
      </c>
      <c r="E96" s="295">
        <f>M.s3CA*Molweight</f>
        <v>569.19430220496133</v>
      </c>
      <c r="F96" s="446">
        <f t="shared" si="34"/>
        <v>2.6735665165247769E-7</v>
      </c>
      <c r="G96" s="296">
        <f>M.sMA*Molweight</f>
        <v>4433.6994165768547</v>
      </c>
      <c r="H96" s="446">
        <f t="shared" si="31"/>
        <v>2.4642984068516624E-7</v>
      </c>
      <c r="I96" s="296">
        <f>M.sAA*Molweight</f>
        <v>709.48008724926876</v>
      </c>
      <c r="J96" s="446">
        <f t="shared" si="32"/>
        <v>6.1448777187811393E-8</v>
      </c>
      <c r="K96" s="296">
        <f>M.sTA*Molweight</f>
        <v>1261.5663527142929</v>
      </c>
      <c r="L96" s="461">
        <f t="shared" si="33"/>
        <v>2.9473819476959705E-8</v>
      </c>
      <c r="M96" s="124">
        <f>C.s3RA*(Molweight*1000)/(FRACw.s3R*1000+(1-FRACa.s3R-FRACw.s3R)*RHOsolid)</f>
        <v>3.2875596498680944E-7</v>
      </c>
      <c r="N96" s="124">
        <f>C.s3CA*(Molweight*1000)/(FRACw.s3C*1000+(1-FRACa.s3C-FRACw.s3C)*RHOsolid)</f>
        <v>1.9210300975812102E-8</v>
      </c>
      <c r="O96" s="124">
        <f>C.sMA*(Molweight*1000)/(FRACw.sM*1000+(1-FRACa.sM-FRACw.sM)*RHOsolid)</f>
        <v>1.3448595111428372E-9</v>
      </c>
      <c r="P96" s="124">
        <f>C.sAA*(Molweight*1000)/(FRACw.sA*1000+(1-FRACa.sA-FRACw.sA)*RHOsolid)</f>
        <v>4.9098967975727946E-10</v>
      </c>
      <c r="Q96" s="124">
        <f>C.sTA*(Molweight*1000)/(FRACw.sT*1000+(1-FRACa.sT-FRACw.sT)*RHOsolid)</f>
        <v>3.8802502198055892E-10</v>
      </c>
      <c r="R96" s="160" t="s">
        <v>237</v>
      </c>
      <c r="S96" s="163"/>
      <c r="T96" s="163"/>
      <c r="U96" s="163"/>
      <c r="V96" s="163"/>
      <c r="W96" s="162"/>
      <c r="X96" s="166"/>
      <c r="Y96" s="156"/>
      <c r="Z96" s="17"/>
      <c r="AA96" s="312" t="s">
        <v>205</v>
      </c>
      <c r="AB96" s="162" t="s">
        <v>201</v>
      </c>
      <c r="AC96" s="161"/>
      <c r="AD96" s="163"/>
      <c r="AE96" s="163"/>
      <c r="AF96" s="163">
        <f>kbur.sdT*(M.sdTS+M.sdTA+M.sdTP)*Molweight</f>
        <v>1.185640215658027E-16</v>
      </c>
      <c r="AG96" s="163">
        <f>(kdis.sd2S.sd2D*M.sdTS+kdis.sd2A.sd2D*M.sdTA+kdis.sd2P.sd2D*M.sdTP)*Molweight</f>
        <v>1.1030153203092454E-9</v>
      </c>
      <c r="AH96" s="162">
        <f>(kdegS.sd2*C.sdTS+kdegA.sd2*C.sdTA+kdegP.sd2*C.sdTP)*VOLUME.sdT*Molweight</f>
        <v>9.3475874602478399E-25</v>
      </c>
      <c r="AI96" s="163"/>
      <c r="AJ96" s="163"/>
      <c r="AK96" s="163"/>
      <c r="AL96" s="163"/>
      <c r="AM96" s="163"/>
      <c r="AN96" s="163">
        <f>AN95</f>
        <v>1.1039316294844195E-9</v>
      </c>
      <c r="AO96" s="162">
        <f>AO95</f>
        <v>9.1619061115179547E-13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140.03356875523556</v>
      </c>
      <c r="D97" s="446">
        <f t="shared" si="30"/>
        <v>5.3713715347344313E-9</v>
      </c>
      <c r="E97" s="295">
        <f>M.s3CP*Molweight</f>
        <v>15.231449582715063</v>
      </c>
      <c r="F97" s="446">
        <f t="shared" si="34"/>
        <v>7.1543747793558519E-9</v>
      </c>
      <c r="G97" s="296">
        <f>M.sMP*Molweight</f>
        <v>5.0474293995114969</v>
      </c>
      <c r="H97" s="446">
        <f t="shared" si="31"/>
        <v>2.8054162132433805E-10</v>
      </c>
      <c r="I97" s="296">
        <f>M.sAP*Molweight</f>
        <v>3.3266018955296101E-2</v>
      </c>
      <c r="J97" s="446">
        <f t="shared" si="32"/>
        <v>2.8812030435341966E-12</v>
      </c>
      <c r="K97" s="296">
        <f>M.sTP*Molweight</f>
        <v>4.7772473557089433E-2</v>
      </c>
      <c r="L97" s="461">
        <f t="shared" si="33"/>
        <v>1.1161024218504689E-12</v>
      </c>
      <c r="M97" s="124">
        <f>C.s3RP*(Molweight*1000)/(FRACw.s3R*1000+(1-FRACa.s3R-FRACw.s3R)*RHOsolid)</f>
        <v>7.2076552043645034E-8</v>
      </c>
      <c r="N97" s="124">
        <f>C.s3CP*(Molweight*1000)/(FRACw.s3C*1000+(1-FRACa.s3C-FRACw.s3C)*RHOsolid)</f>
        <v>5.1406124349519804E-10</v>
      </c>
      <c r="O97" s="124">
        <f>C.sMP*(Molweight*1000)/(FRACw.sM*1000+(1-FRACa.sM-FRACw.sM)*RHOsolid)</f>
        <v>1.5310202151673875E-12</v>
      </c>
      <c r="P97" s="124">
        <f>C.sAP*(Molweight*1000)/(FRACw.sA*1000+(1-FRACa.sA-FRACw.sA)*RHOsolid)</f>
        <v>2.3021466405049199E-14</v>
      </c>
      <c r="Q97" s="124">
        <f>C.sTP*(Molweight*1000)/(FRACw.sT*1000+(1-FRACa.sT-FRACw.sT)*RHOsolid)</f>
        <v>1.4693571259389285E-14</v>
      </c>
      <c r="R97" s="160" t="s">
        <v>237</v>
      </c>
      <c r="S97" s="163"/>
      <c r="T97" s="163"/>
      <c r="U97" s="163"/>
      <c r="V97" s="163"/>
      <c r="W97" s="162"/>
      <c r="X97" s="166"/>
      <c r="Y97" s="156"/>
      <c r="Z97" s="17"/>
      <c r="AA97" s="312" t="s">
        <v>206</v>
      </c>
      <c r="AB97" s="162" t="s">
        <v>202</v>
      </c>
      <c r="AC97" s="161">
        <f>E.sTS*Molweight</f>
        <v>0</v>
      </c>
      <c r="AD97" s="163"/>
      <c r="AE97" s="163"/>
      <c r="AF97" s="163">
        <f>kleach.sT*(M.sTS+M.sTA)*Molweight</f>
        <v>2.2264018439929267E-6</v>
      </c>
      <c r="AG97" s="163">
        <f>(kdis.s1S.s1D*M.sTS+kdis.s1A.s1D*M.sTA+kdis.s1P.s1D*M.sTP)*Molweight</f>
        <v>6.144060906429577E-3</v>
      </c>
      <c r="AH97" s="162">
        <f>(kdegS.s1*C.sTS+kdegA.s1*C.sTA+kdegP.s1*C.sTP)*VOLUME.sT*Molweight</f>
        <v>1.2616141491641842E-17</v>
      </c>
      <c r="AI97" s="163"/>
      <c r="AJ97" s="163"/>
      <c r="AK97" s="163">
        <f>((k.aTS.sTS*M.aTS+k.aTA.sTA*M.aTA+k.aTP.sTP*M.aTP)+(k.cwTS.sTS*M.cwTS+k.cwTA.sTA*M.cwTA+k.cwTP.sTP*M.cwTP))*Molweight</f>
        <v>6.4767386429318017E-3</v>
      </c>
      <c r="AL97" s="163"/>
      <c r="AM97" s="163">
        <f>AM94</f>
        <v>3.3045133465821796E-4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3.6798469836605268</v>
      </c>
      <c r="BQ97" s="55">
        <f>AH27</f>
        <v>1.5184646714435794E-12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1.8541881750576846E-3</v>
      </c>
      <c r="AG98" s="914"/>
      <c r="AH98" s="915">
        <f>SUM(AH60:AH97)</f>
        <v>2.2282217232381442E-14</v>
      </c>
      <c r="AI98" s="929"/>
      <c r="AJ98" s="930"/>
      <c r="AK98" s="930"/>
      <c r="AL98" s="929"/>
      <c r="AM98" s="929"/>
      <c r="AN98" s="929"/>
      <c r="AO98" s="486"/>
      <c r="AP98" s="931">
        <f>SUM(AP61:AP97)</f>
        <v>-3.0318676245225118E-4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26068462988.819534</v>
      </c>
      <c r="D99" s="446">
        <f>C99/$C$103</f>
        <v>0.99992738382016078</v>
      </c>
      <c r="E99" s="296">
        <f>SUM(E12,E20,E28,E36,E44,E52,E68,E76,E84,E92)</f>
        <v>2128815742.6455641</v>
      </c>
      <c r="F99" s="446">
        <f>E99/$E$103</f>
        <v>0.99992752340281543</v>
      </c>
      <c r="G99" s="296">
        <f>SUM(G12,G52,G60,G68,G92)</f>
        <v>17991622063.253136</v>
      </c>
      <c r="H99" s="446">
        <f>G99/$G$103</f>
        <v>0.99999394233592775</v>
      </c>
      <c r="I99" s="296">
        <f>SUM(I12,I52,I60,I68,I92)</f>
        <v>11545852068.551477</v>
      </c>
      <c r="J99" s="446">
        <f>I99/$I$103</f>
        <v>0.99999775040139061</v>
      </c>
      <c r="K99" s="296">
        <f>SUM(K12,K52,K60,K68,K92)</f>
        <v>42802900937.903412</v>
      </c>
      <c r="L99" s="461">
        <f>K99/$K$103</f>
        <v>0.99999890819826043</v>
      </c>
      <c r="M99" s="484">
        <f xml:space="preserve"> (M.aRG+M.w0RD+M.w1RD+M.w2RD+M.sd0RD+M.sd1RD+M.sd2RD+M.s1RD+M.s2RD+M.s3RD)*Molweight/(VOLUME.aR+VOLUME.cwR+VOLUME.w0R+VOLUME.w1R+VOLUME.w2R+VOLUME.sd0R+VOLUME.sd1R+VOLUME.sd2R+VOLUME.s1R+VOLUME.s2R+VOLUME.s3R)</f>
        <v>1.1349515527815574E-4</v>
      </c>
      <c r="N99" s="484">
        <f xml:space="preserve"> (M.aCG+M.w0CD+M.w1CD+M.w2CD+M.sd0CD+M.sd1CD+M.sd2CD+M.s1CD+M.s2CD+M.s3CD)*Molweight/(VOLUME.aC+VOLUME.cwC+VOLUME.w0C+VOLUME.w1C+VOLUME.w2C+VOLUME.sd0C+VOLUME.sd1C+VOLUME.sd2C+VOLUME.s1C+VOLUME.s2C+VOLUME.s3C)</f>
        <v>2.6798832525113417E-7</v>
      </c>
      <c r="O99" s="484">
        <f xml:space="preserve"> (M.aMG+M.w2MD+M.w3MD+M.sdMD+M.sMD)*Molweight/(VOLUME.aM+VOLUME.cwM+VOLUME.w2M+VOLUME.w3M+VOLUME.sdM+VOLUME.sM)</f>
        <v>9.0954235718088249E-8</v>
      </c>
      <c r="P99" s="484">
        <f xml:space="preserve"> (M.aAG+M.w2AD+M.w3AD+M.sdAD+M.sAD)*Molweight/(VOLUME.aA+VOLUME.cwA+VOLUME.w2A+VOLUME.w3A+VOLUME.sdA+VOLUME.sA)</f>
        <v>9.4987237056059223E-8</v>
      </c>
      <c r="Q99" s="484">
        <f xml:space="preserve"> (M.aTG+M.w2TD+M.w3TD+M.sdTD+M.sTD)*Molweight/(VOLUME.aT+VOLUME.cwT+VOLUME.w2T+VOLUME.w3T+VOLUME.sdT+VOLUME.sT)</f>
        <v>1.0590069859268411E-7</v>
      </c>
      <c r="R99" s="160" t="s">
        <v>158</v>
      </c>
      <c r="S99" s="163">
        <f>SUM(S12,S20,S36,S44,S52,S68,S76,S84,S92)</f>
        <v>4.5298680375034576E-23</v>
      </c>
      <c r="T99" s="163">
        <f>SUM(T12,T20,T36,T44,T52,T68,T76,T84,T92)</f>
        <v>4.0885800733643956E-25</v>
      </c>
      <c r="U99" s="163">
        <f>SUM(U12,U20,U36,U44,U52,U68,U76,U84,U92)</f>
        <v>5.6147924802005996E-25</v>
      </c>
      <c r="V99" s="163">
        <f>SUM(V12,V20,V36,V44,V52,V68,V76,V84,V92)</f>
        <v>3.6249567246422497E-26</v>
      </c>
      <c r="W99" s="774">
        <f>SUM(W12,W20,W36,W44,W52,W68,W76,W84,W92)</f>
        <v>6.9551666614316215E-23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0.1756200659680065</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6329.7464141382361</v>
      </c>
      <c r="D100" s="446">
        <f>C100/$C$103</f>
        <v>2.4279478137429311E-7</v>
      </c>
      <c r="E100" s="453">
        <f>SUM(E15,E23,E31,E39,E47,E55,E71,E79,E87,E95)</f>
        <v>1258.3029356171305</v>
      </c>
      <c r="F100" s="446">
        <f>E100/$E$103</f>
        <v>5.9103834723549159E-7</v>
      </c>
      <c r="G100" s="453">
        <f>SUM(G15,G55,G71,G63,G95)</f>
        <v>38.595941045063135</v>
      </c>
      <c r="H100" s="446">
        <f>G100/$G$103</f>
        <v>2.1452044239328077E-9</v>
      </c>
      <c r="I100" s="453">
        <f>SUM(I15,I55,I71,I63,I95)</f>
        <v>0.34151502563731528</v>
      </c>
      <c r="J100" s="446">
        <f>I100/$I$103</f>
        <v>2.9578956610383309E-11</v>
      </c>
      <c r="K100" s="453">
        <f>SUM(K15,K55,K71,K63,K95)</f>
        <v>0.557092580230518</v>
      </c>
      <c r="L100" s="461">
        <f>K100/$K$103</f>
        <v>1.3015285407969769E-11</v>
      </c>
      <c r="M100" s="484">
        <f xml:space="preserve"> (M.aRS+M.cwRS+M.w0RS+M.w1RS+M.w2RS+M.sd0RS+M.sd1RS+M.sd2RS+M.s1RS+M.s2RS+M.s3RS)*Molweight/(VOLUME.aR+VOLUME.cwR+VOLUME.w0R+VOLUME.w1R+VOLUME.w2R+VOLUME.sd0R+VOLUME.sd1R+VOLUME.sd2R+VOLUME.s1R+VOLUME.s2R+VOLUME.s3R)</f>
        <v>2.7558032571850518E-11</v>
      </c>
      <c r="N100" s="484">
        <f xml:space="preserve"> (M.aCS+M.cwCS+M.w0CS+M.w1CS+M.w2CS+M.sd0CS+M.sd1CS+M.sd2CS+M.s1CS+M.s2CS+M.s3CS)*Molweight/(VOLUME.aC+VOLUME.cwC+VOLUME.w0C+VOLUME.w1C+VOLUME.w2C+VOLUME.sd0C+VOLUME.sd1C+VOLUME.sd2C+VOLUME.s1C+VOLUME.s2C+VOLUME.s3C)</f>
        <v>1.5840285733492161E-13</v>
      </c>
      <c r="O100" s="484">
        <f xml:space="preserve"> (M.aMS+M.cwMS+M.w2MS+M.w3MS+M.sdMS+M.sMS)*Molweight/(VOLUME.aM+VOLUME.cwM+VOLUME.w2M+VOLUME.w3M+VOLUME.sdM+VOLUME.sM)</f>
        <v>1.9511661078875332E-16</v>
      </c>
      <c r="P100" s="484">
        <f xml:space="preserve"> (M.aAS+M.cwAS+M.w2AS+M.w3AS+M.sdAS+M.sAS)*Molweight/(VOLUME.aA+VOLUME.cwA+VOLUME.w2A+VOLUME.w3A+VOLUME.sdA+VOLUME.sA)</f>
        <v>2.8096296839603986E-18</v>
      </c>
      <c r="Q100" s="484">
        <f xml:space="preserve"> (M.aTS+M.cwTS+M.w2TS+M.w3TS+M.sdTS+M.sTS)*Molweight/(VOLUME.aT+VOLUME.cwT+VOLUME.w2T+VOLUME.w3T+VOLUME.sdT+VOLUME.sT)</f>
        <v>1.3783293219495172E-18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1396389.9149596652</v>
      </c>
      <c r="D101" s="446">
        <f>C101/$C$103</f>
        <v>5.3562364419311066E-5</v>
      </c>
      <c r="E101" s="453">
        <f>SUM(E16,E24,E32,E40,E48,E56,E72,E80,E88,E96)</f>
        <v>152658.40922454026</v>
      </c>
      <c r="F101" s="446">
        <f>E101/$E$103</f>
        <v>7.1705287594692031E-5</v>
      </c>
      <c r="G101" s="453">
        <f>SUM(G16,G56,G64,G72,G96)</f>
        <v>108943.26461191422</v>
      </c>
      <c r="H101" s="446">
        <f>G101/$G$103</f>
        <v>6.0551852571827493E-6</v>
      </c>
      <c r="I101" s="453">
        <f>SUM(I16,I56,I64,I72,I96)</f>
        <v>25973.200423921677</v>
      </c>
      <c r="J101" s="446">
        <f>I101/$I$103</f>
        <v>2.2495647649420011E-6</v>
      </c>
      <c r="K101" s="453">
        <f>SUM(K16,K56,K64,K72,K96)</f>
        <v>46731.711325516495</v>
      </c>
      <c r="L101" s="461">
        <f>K101/$K$103</f>
        <v>1.091787221888279E-6</v>
      </c>
      <c r="M101" s="484">
        <f xml:space="preserve"> (M.aRA+M.cwRA+M.w0RA+M.w1RA+M.w2RA+M.sd0RA+M.sd1RA+M.sd2RA+M.s1RA+M.s2RA+M.s3RA)*Molweight/(VOLUME.aR+VOLUME.cwR+VOLUME.w0R+VOLUME.w1R+VOLUME.w2R+VOLUME.sd0R+VOLUME.sd1R+VOLUME.sd2R+VOLUME.s1R+VOLUME.s2R+VOLUME.s3R)</f>
        <v>6.0795103376508857E-9</v>
      </c>
      <c r="N101" s="484">
        <f xml:space="preserve"> (M.aCA+M.cwCA+M.w0CA+M.w1CA+M.w2CA+M.sd0CA+M.sd1CA+M.sd2CA+M.s1CA+M.s2CA+M.s3CA)*Molweight/(VOLUME.aC+VOLUME.cwC+VOLUME.w0C+VOLUME.w1C+VOLUME.w2C+VOLUME.sd0C+VOLUME.sd1C+VOLUME.sd2C+VOLUME.s1C+VOLUME.s2C+VOLUME.s3C)</f>
        <v>1.921757275843212E-11</v>
      </c>
      <c r="O101" s="484">
        <f xml:space="preserve"> (M.aMA+M.cwMA+M.w2MA+M.w3MA+M.sdMA+M.sMA)*Molweight/(VOLUME.aM+VOLUME.cwM+VOLUME.w2M+VOLUME.w3M+VOLUME.sdM+VOLUME.sM)</f>
        <v>5.5074808344537042E-13</v>
      </c>
      <c r="P101" s="484">
        <f xml:space="preserve"> (M.aAA+M.cwAA+M.w2AA+M.w3AA+M.sdAA+M.sAA)*Molweight/(VOLUME.aA+VOLUME.cwA+VOLUME.w2A+VOLUME.w3A+VOLUME.sdA+VOLUME.sA)</f>
        <v>2.1368042229568482E-13</v>
      </c>
      <c r="Q101" s="484">
        <f xml:space="preserve"> (M.aTA+M.cwTA+M.w2TA+M.w3TA+M.sdTA+M.sTA)*Molweight/(VOLUME.aT+VOLUME.cwT+VOLUME.w2T+VOLUME.w3T+VOLUME.sdT+VOLUME.sT)</f>
        <v>1.1562115574791354E-13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490410.00700063031</v>
      </c>
      <c r="D102" s="446">
        <f>C102/$C$103</f>
        <v>1.8811020638603931E-5</v>
      </c>
      <c r="E102" s="453">
        <f>SUM(E17,E25,E33,E41,E49,E57,E73,E81,E89,E97)</f>
        <v>383.79207526331908</v>
      </c>
      <c r="F102" s="446">
        <f>E102/$E$103</f>
        <v>1.8027124265943208E-7</v>
      </c>
      <c r="G102" s="453">
        <f>SUM(G17,G57,G65,G73,G97)</f>
        <v>6.002235353738552</v>
      </c>
      <c r="H102" s="446">
        <f>G102/$G$103</f>
        <v>3.3361077578837358E-10</v>
      </c>
      <c r="I102" s="453">
        <f>SUM(I17,I57,I65,I73,I97)</f>
        <v>4.9249190316254673E-2</v>
      </c>
      <c r="J102" s="446">
        <f>I102/$I$103</f>
        <v>4.2655214386029567E-12</v>
      </c>
      <c r="K102" s="453">
        <f>SUM(K17,K57,K65,K73,K97)</f>
        <v>6.430761896715334E-2</v>
      </c>
      <c r="L102" s="461">
        <f>K102/$K$103</f>
        <v>1.5024109896027299E-12</v>
      </c>
      <c r="M102" s="484">
        <f xml:space="preserve"> (M.aRP+M.cwRP+M.w0RP+M.w1RP+M.w2RP+M.sd0RP+M.sd1RP+M.sd2RP+M.s1RP+M.s2RP+M.s3RP)*Molweight/(VOLUME.aR+VOLUME.cwR+VOLUME.w0R+VOLUME.w1R+VOLUME.w2R+VOLUME.sd0R+VOLUME.sd1R+VOLUME.sd2R+VOLUME.s1R+VOLUME.s2R+VOLUME.s3R)</f>
        <v>2.1351147521957687E-9</v>
      </c>
      <c r="N102" s="484">
        <f xml:space="preserve"> (M.aCP+M.cwCP+M.w0CP+M.w1CP+M.w2CP+M.sd0CP+M.sd1CP+M.sd2CP+M.s1CP+M.s2CP+M.s3CP)*Molweight/(VOLUME.aC+VOLUME.cwC+VOLUME.w0C+VOLUME.w1C+VOLUME.w2C+VOLUME.sd0C+VOLUME.sd1C+VOLUME.sd2C+VOLUME.s1C+VOLUME.s2C+VOLUME.s3C)</f>
        <v>4.8314090052085065E-14</v>
      </c>
      <c r="O102" s="484">
        <f xml:space="preserve"> (M.aMP+M.cwMP+M.w2MP+M.w3MP+M.sdMP+M.sMP)*Molweight/(VOLUME.aM+VOLUME.cwM+VOLUME.w2M+VOLUME.w3M+VOLUME.sdM+VOLUME.sM)</f>
        <v>3.0343496949861312E-17</v>
      </c>
      <c r="P102" s="484">
        <f xml:space="preserve"> (M.aAP+M.cwAP+M.w2AP+M.w3AP+M.sdAP+M.sAP)*Molweight/(VOLUME.aA+VOLUME.cwA+VOLUME.w2A+VOLUME.w3A+VOLUME.sdA+VOLUME.sA)</f>
        <v>4.0517100752841674E-19</v>
      </c>
      <c r="Q102" s="484">
        <f xml:space="preserve"> (M.aTP+M.cwTP+M.w2TP+M.w3TP+M.sdTP+M.sTP)*Molweight/(VOLUME.aT+VOLUME.cwT+VOLUME.w2T+VOLUME.w3T+VOLUME.sdT+VOLUME.sT)</f>
        <v>1.5910654708505982E-19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26070356118.487907</v>
      </c>
      <c r="D103" s="770"/>
      <c r="E103" s="772">
        <f>SUM(E99:E102)</f>
        <v>2128970043.1497993</v>
      </c>
      <c r="F103" s="770"/>
      <c r="G103" s="772">
        <f>SUM(G99:G102)</f>
        <v>17991731051.115921</v>
      </c>
      <c r="H103" s="770"/>
      <c r="I103" s="772">
        <f>SUM(I99:I102)</f>
        <v>11545878042.142666</v>
      </c>
      <c r="J103" s="770"/>
      <c r="K103" s="772">
        <f>SUM(K99:K102)</f>
        <v>42802947670.236137</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1.1350339746127812E-4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2.6800774954083998E-7</v>
      </c>
      <c r="O103" s="767">
        <f xml:space="preserve"> (M.aMG+M.aMS+M.aMA+M.aMP+M.cwMS+M.cwMA+M.cwMP+M.w2MD+M.w2MS+M.w2MA+M.w2MP+M.w3MD+M.w3MS+M.w3MA+M.w3MP+M.sdMD+M.sdMS+M.sdMA+M.sdMP+M.sMD+M.sMS+M.sMA+M.sMP)*Molweight/(VOLUME.aM+VOLUME.cwM+VOLUME.w2M+VOLUME.w3M+VOLUME.sdM+VOLUME.sM)</f>
        <v>9.0954786691631784E-8</v>
      </c>
      <c r="P103" s="767">
        <f xml:space="preserve"> (M.aAG+M.aAS+M.aAA+M.aAP+M.cwAS+M.cwAA+M.cwAP+M.w2AD+M.w2AS+M.w2AA+M.w2AP+M.w3AD+M.w3AS+M.w3AA+M.w3AP+M.sdAD+M.sdAS+M.sdAA+M.sdAP+M.sAD+M.sAS+M.sAA+M.sAP)*Molweight/(VOLUME.aA+VOLUME.cwA+VOLUME.w2A+VOLUME.w3A+VOLUME.sdA+VOLUME.sA)</f>
        <v>9.4987450739696304E-8</v>
      </c>
      <c r="Q103" s="767">
        <f xml:space="preserve"> (M.aTG+M.aTS+M.aTA+M.aTP+M.cwTS+M.cwTA+M.cwTP+M.w2TD+M.w2TS+M.w2TA+M.w2TP+M.w3TD+M.w3TS+M.w3TA+M.w3TP+M.sdTD+M.sdTS+M.sdTA+M.sdTP+M.sTD+M.sTS+M.sTA+M.sTP)*Molweight/(VOLUME.aT+VOLUME.cwT+VOLUME.w2T+VOLUME.w3T+VOLUME.sdT+VOLUME.sT)</f>
        <v>1.0590081421537729E-7</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0.34148607160531474</v>
      </c>
      <c r="BQ103" s="113"/>
      <c r="BR103" s="113"/>
      <c r="BS103" s="22">
        <f>AF26</f>
        <v>2.4680518122258403E-2</v>
      </c>
      <c r="BT103" s="113"/>
      <c r="BU103" s="113"/>
      <c r="BV103" s="113"/>
      <c r="BW103" s="22">
        <f>AF28</f>
        <v>8.7874358456502158E-6</v>
      </c>
      <c r="BX103" s="2"/>
      <c r="BY103" s="113"/>
      <c r="BZ103" s="22">
        <f>AF30</f>
        <v>3.2546056227082809E-6</v>
      </c>
      <c r="CA103" s="113"/>
      <c r="CB103" s="112">
        <f>AF29</f>
        <v>1.9825897483476457E-5</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1.1349515527815574E-4</v>
      </c>
      <c r="N105" s="765">
        <f>E99/(VOLUME.aC+VOLUME.cwC+VOLUME.s1C+VOLUME.s2C+VOLUME.s3C+VOLUME.sd0C+VOLUME.sd1C+VOLUME.sd2C+VOLUME.w0C+VOLUME.w1C+VOLUME.w2C)</f>
        <v>2.6798832525113417E-7</v>
      </c>
      <c r="O105" s="765">
        <f>G99/(VOLUME.aM+VOLUME.cwM+VOLUME.sdM+VOLUME.sM+VOLUME.w2M+VOLUME.w3M)</f>
        <v>9.0954235718088249E-8</v>
      </c>
      <c r="P105" s="765">
        <f>I99/(VOLUME.aA+VOLUME.cwA+VOLUME.sdA+VOLUME.sA+VOLUME.w2A+VOLUME.w3A)</f>
        <v>9.4987237056059196E-8</v>
      </c>
      <c r="Q105" s="765">
        <f>K99/(VOLUME.aT+VOLUME.cwT+VOLUME.sdT+VOLUME.sT+VOLUME.w2T+VOLUME.w3T)</f>
        <v>1.0590069859268409E-7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2.7558032571850525E-11</v>
      </c>
      <c r="N106" s="765">
        <f>E100/(VOLUME.aC+VOLUME.cwC+VOLUME.s1C+VOLUME.s2C+VOLUME.s3C+VOLUME.sd0C+VOLUME.sd1C+VOLUME.sd2C+VOLUME.w0C+VOLUME.w1C+VOLUME.w2C)</f>
        <v>1.5840285733492163E-13</v>
      </c>
      <c r="O106" s="765">
        <f>G100/(VOLUME.aM+VOLUME.cwM+VOLUME.sdM+VOLUME.sM+VOLUME.w2M+VOLUME.w3M)</f>
        <v>1.9511661078875335E-16</v>
      </c>
      <c r="P106" s="765">
        <f>I100/(VOLUME.aA+VOLUME.cwA+VOLUME.sdA+VOLUME.sA+VOLUME.w2A+VOLUME.w3A)</f>
        <v>2.8096296839603986E-18</v>
      </c>
      <c r="Q106" s="765">
        <f>K100/(VOLUME.aT+VOLUME.cwT+VOLUME.sdT+VOLUME.sT+VOLUME.w2T+VOLUME.w3T)</f>
        <v>1.3783293219495172E-18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6.0795103376508866E-9</v>
      </c>
      <c r="N107" s="765">
        <f>E101/(VOLUME.aC+VOLUME.cwC+VOLUME.s1C+VOLUME.s2C+VOLUME.s3C+VOLUME.sd0C+VOLUME.sd1C+VOLUME.sd2C+VOLUME.w0C+VOLUME.w1C+VOLUME.w2C)</f>
        <v>1.9217572758432123E-11</v>
      </c>
      <c r="O107" s="765">
        <f>G101/(VOLUME.aM+VOLUME.cwM+VOLUME.sdM+VOLUME.sM+VOLUME.w2M+VOLUME.w3M)</f>
        <v>5.5074808344537052E-13</v>
      </c>
      <c r="P107" s="765">
        <f>I101/(VOLUME.aA+VOLUME.cwA+VOLUME.sdA+VOLUME.sA+VOLUME.w2A+VOLUME.w3A)</f>
        <v>2.136804222956848E-13</v>
      </c>
      <c r="Q107" s="765">
        <f>K101/(VOLUME.aT+VOLUME.cwT+VOLUME.sdT+VOLUME.sT+VOLUME.w2T+VOLUME.w3T)</f>
        <v>1.1562115574791351E-13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4.8838269688186911E-27</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2.1351147521957683E-9</v>
      </c>
      <c r="N108" s="765">
        <f>E102/(VOLUME.aC+VOLUME.cwC+VOLUME.s1C+VOLUME.s2C+VOLUME.s3C+VOLUME.sd0C+VOLUME.sd1C+VOLUME.sd2C+VOLUME.w0C+VOLUME.w1C+VOLUME.w2C)</f>
        <v>4.8314090052085065E-14</v>
      </c>
      <c r="O108" s="765">
        <f>G102/(VOLUME.aM+VOLUME.cwM+VOLUME.sdM+VOLUME.sM+VOLUME.w2M+VOLUME.w3M)</f>
        <v>3.0343496949861312E-17</v>
      </c>
      <c r="P108" s="765">
        <f>I102/(VOLUME.aA+VOLUME.cwA+VOLUME.sdA+VOLUME.sA+VOLUME.w2A+VOLUME.w3A)</f>
        <v>4.0517100752841684E-19</v>
      </c>
      <c r="Q108" s="765">
        <f>K102/(VOLUME.aT+VOLUME.cwT+VOLUME.sdT+VOLUME.sT+VOLUME.w2T+VOLUME.w3T)</f>
        <v>1.5910654708505982E-19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1.1350339746127815E-4</v>
      </c>
      <c r="N109" s="765">
        <f>E103/(VOLUME.aC+VOLUME.cwC+VOLUME.s1C+VOLUME.s2C+VOLUME.s3C+VOLUME.sd0C+VOLUME.sd1C+VOLUME.sd2C+VOLUME.w0C+VOLUME.w1C+VOLUME.w2C)</f>
        <v>2.6800774954083998E-7</v>
      </c>
      <c r="O109" s="765">
        <f>G103/(VOLUME.aM+VOLUME.cwM+VOLUME.sdM+VOLUME.sM+VOLUME.w2M+VOLUME.w3M)</f>
        <v>9.0954786691631784E-8</v>
      </c>
      <c r="P109" s="765">
        <f>I103/(VOLUME.aA+VOLUME.cwA+VOLUME.sdA+VOLUME.sA+VOLUME.w2A+VOLUME.w3A)</f>
        <v>9.498745073969629E-8</v>
      </c>
      <c r="Q109" s="765">
        <f>K103/(VOLUME.aT+VOLUME.cwT+VOLUME.sdT+VOLUME.sT+VOLUME.w2T+VOLUME.w3T)</f>
        <v>1.0590081421537727E-7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1.874030233156625E-7</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1.5240406025249846E-7</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1.0439120080175779E-7</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2.2968268007804546E-3</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2.5817023900823852E-3</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3.2943656502185635E-3</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1.8375190606453816E-3</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3.2943654011616317E-3</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6.3926493296454133E-22</v>
      </c>
      <c r="BT126" s="75"/>
      <c r="BU126" s="75" t="s">
        <v>252</v>
      </c>
      <c r="BV126" s="2"/>
      <c r="BW126" s="113"/>
      <c r="BX126" s="113"/>
      <c r="BY126" s="114">
        <f>AF38</f>
        <v>2.7841484164114929E-23</v>
      </c>
      <c r="BZ126" s="75"/>
      <c r="CA126" s="75" t="s">
        <v>253</v>
      </c>
      <c r="CB126" s="2"/>
      <c r="CC126" s="113"/>
      <c r="CD126" s="113"/>
      <c r="CE126" s="114">
        <f>AF44</f>
        <v>1.4263556617972353E-20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9.699298554948247E-23</v>
      </c>
      <c r="BS132" s="339"/>
      <c r="BT132" s="2"/>
      <c r="BU132" s="106"/>
      <c r="BV132" s="113"/>
      <c r="BW132" s="76" t="s">
        <v>91</v>
      </c>
      <c r="BX132" s="77">
        <f>IF(ISERROR(J12),0,J12)</f>
        <v>6.5826052719901635E-24</v>
      </c>
      <c r="BY132" s="113"/>
      <c r="BZ132" s="2"/>
      <c r="CA132" s="106"/>
      <c r="CB132" s="113"/>
      <c r="CC132" s="76" t="s">
        <v>91</v>
      </c>
      <c r="CD132" s="77">
        <f>IF(ISERROR(L12),0,L12)</f>
        <v>9.0967560531888882E-22</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1.5665165610889598E-17</v>
      </c>
      <c r="BP134" s="339"/>
      <c r="BQ134" s="339">
        <f>AH32</f>
        <v>6.6458722898824677E-45</v>
      </c>
      <c r="BR134" s="339"/>
      <c r="BS134" s="339"/>
      <c r="BT134" s="308" t="s">
        <v>255</v>
      </c>
      <c r="BU134" s="301">
        <f>AD38</f>
        <v>6.6194574641944723E-19</v>
      </c>
      <c r="BV134" s="113"/>
      <c r="BW134" s="55">
        <f>AH38</f>
        <v>1.2581697715341736E-50</v>
      </c>
      <c r="BX134" s="113"/>
      <c r="BY134" s="113"/>
      <c r="BZ134" s="308" t="s">
        <v>255</v>
      </c>
      <c r="CA134" s="301">
        <f>AD44</f>
        <v>1.1465236646525871E-18</v>
      </c>
      <c r="CB134" s="113"/>
      <c r="CC134" s="55">
        <f>AH44</f>
        <v>6.5331275730247632E-43</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2.0322595446200121E-18</v>
      </c>
      <c r="BO135" s="344" t="s">
        <v>254</v>
      </c>
      <c r="BP135" s="339"/>
      <c r="BQ135" s="339"/>
      <c r="BR135" s="339"/>
      <c r="BS135" s="347">
        <f>k.sM.aM*M.sM*Molweight</f>
        <v>7.8344110232094852E-21</v>
      </c>
      <c r="BT135" s="131">
        <f>AE38</f>
        <v>5.261933614751531E-20</v>
      </c>
      <c r="BU135" s="128" t="s">
        <v>255</v>
      </c>
      <c r="BV135" s="113"/>
      <c r="BW135" s="113"/>
      <c r="BX135" s="113"/>
      <c r="BY135" s="347">
        <f>k.sA.aA*M.sA*Molweight</f>
        <v>3.1331374510220263E-27</v>
      </c>
      <c r="BZ135" s="131">
        <f>AE44</f>
        <v>1.5563962827822627E-17</v>
      </c>
      <c r="CA135" s="128" t="s">
        <v>255</v>
      </c>
      <c r="CB135" s="113"/>
      <c r="CC135" s="113"/>
      <c r="CD135" s="113"/>
      <c r="CE135" s="347">
        <f>k.sT.aT*M.sT*Molweight</f>
        <v>1.7172504494654329E-18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1.6074507520990515E-19</v>
      </c>
      <c r="BQ136" s="339"/>
      <c r="BR136" s="339"/>
      <c r="BS136" s="339"/>
      <c r="BT136" s="2"/>
      <c r="BU136" s="113"/>
      <c r="BV136" s="345">
        <f>k.w2A.aA*M.w2A*Molweight</f>
        <v>2.8707853396562855E-25</v>
      </c>
      <c r="BW136" s="113"/>
      <c r="BX136" s="113"/>
      <c r="BY136" s="113"/>
      <c r="BZ136" s="2"/>
      <c r="CA136" s="113"/>
      <c r="CB136" s="345">
        <f>k.w2T.aT*M.w2T*Molweight</f>
        <v>3.2757389310438308E-16</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2.1591991768999504E-2</v>
      </c>
      <c r="BR139" s="339"/>
      <c r="BS139" s="347">
        <f>IF(AK36&lt;0,"",AK36)</f>
        <v>6.900423143784149E-18</v>
      </c>
      <c r="BT139" s="2"/>
      <c r="BU139" s="113"/>
      <c r="BV139" s="2"/>
      <c r="BW139" s="306">
        <f>AM39</f>
        <v>3.4537448993888489E-3</v>
      </c>
      <c r="BX139" s="113"/>
      <c r="BY139" s="138">
        <f>IF(AK42&lt;0,"",AK42)</f>
        <v>2.4371954359977569E-19</v>
      </c>
      <c r="BZ139" s="2"/>
      <c r="CA139" s="113"/>
      <c r="CB139" s="2"/>
      <c r="CC139" s="306">
        <f>AM45</f>
        <v>6.1326799932692232E-3</v>
      </c>
      <c r="CD139" s="113"/>
      <c r="CE139" s="138">
        <f>IF(AK48&lt;0,"",AK48)</f>
        <v>9.4457832250164787E-17</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6.9004231437855865E-18</v>
      </c>
      <c r="BQ140" s="339"/>
      <c r="BR140" s="339"/>
      <c r="BS140" s="339"/>
      <c r="BT140" s="2"/>
      <c r="BU140" s="307">
        <f>AC39</f>
        <v>0</v>
      </c>
      <c r="BV140" s="136">
        <f>IF(AI39&lt;0,"",AI39)</f>
        <v>3.6557931539966355E-19</v>
      </c>
      <c r="BW140" s="2"/>
      <c r="BX140" s="113"/>
      <c r="BY140" s="113"/>
      <c r="BZ140" s="2"/>
      <c r="CA140" s="307">
        <f>AC45</f>
        <v>0</v>
      </c>
      <c r="CB140" s="136">
        <f>IF(AI45&lt;0,"",AI45)</f>
        <v>2.2040160858389579E-16</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124.62366795409025</v>
      </c>
      <c r="BP141" s="339"/>
      <c r="BQ141" s="342" t="s">
        <v>256</v>
      </c>
      <c r="BR141" s="339"/>
      <c r="BS141" s="339"/>
      <c r="BT141" s="2"/>
      <c r="BU141" s="134">
        <f>AD39</f>
        <v>91.614682064365283</v>
      </c>
      <c r="BV141" s="113"/>
      <c r="BW141" s="98" t="s">
        <v>256</v>
      </c>
      <c r="BX141" s="113"/>
      <c r="BY141" s="113"/>
      <c r="BZ141" s="2"/>
      <c r="CA141" s="134">
        <f>AD45</f>
        <v>238.68437635113148</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124.71075802990495</v>
      </c>
      <c r="BO142" s="339"/>
      <c r="BP142" s="349"/>
      <c r="BQ142" s="96">
        <f>IF(ISERROR(H52),0,H52)</f>
        <v>2.3588414731140567E-2</v>
      </c>
      <c r="BR142" s="339"/>
      <c r="BS142" s="339"/>
      <c r="BT142" s="131">
        <f>AE39</f>
        <v>91.635528179667034</v>
      </c>
      <c r="BU142" s="113"/>
      <c r="BV142" s="97"/>
      <c r="BW142" s="96">
        <f>IF(ISERROR(J52),0,J52)</f>
        <v>2.9475628922576994E-2</v>
      </c>
      <c r="BX142" s="123"/>
      <c r="BY142" s="113"/>
      <c r="BZ142" s="131">
        <f>AE45</f>
        <v>238.73157943343347</v>
      </c>
      <c r="CA142" s="113"/>
      <c r="CB142" s="97"/>
      <c r="CC142" s="96">
        <f>IF(ISERROR(L52),0,L52)</f>
        <v>2.2853636969801975E-2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105.72626771533871</v>
      </c>
      <c r="BQ143" s="339">
        <f>AH33</f>
        <v>1.1683579536797953E-12</v>
      </c>
      <c r="BR143" s="339"/>
      <c r="BS143" s="339"/>
      <c r="BT143" s="2"/>
      <c r="BU143" s="113"/>
      <c r="BV143" s="350">
        <f>k.w3A.w2A*M.w3A*Molweight</f>
        <v>75.201508495333755</v>
      </c>
      <c r="BW143" s="2">
        <f>AH39</f>
        <v>2.0390518518840832E-13</v>
      </c>
      <c r="BX143" s="113"/>
      <c r="BY143" s="113"/>
      <c r="BZ143" s="2"/>
      <c r="CA143" s="113"/>
      <c r="CB143" s="350">
        <f>k.w3T.w2T*M.w3T*Molweight</f>
        <v>238.68437635113148</v>
      </c>
      <c r="CC143" s="2">
        <f>AH45</f>
        <v>6.6308959158159979E-12</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105.72218319968428</v>
      </c>
      <c r="BQ145" s="351"/>
      <c r="BR145" s="339"/>
      <c r="BS145" s="339"/>
      <c r="BT145" s="2"/>
      <c r="BU145" s="113"/>
      <c r="BV145" s="350">
        <f>k.w2A.w3A*M.w2A*Molweight</f>
        <v>91.635528179667034</v>
      </c>
      <c r="BW145" s="78"/>
      <c r="BX145" s="2"/>
      <c r="BY145" s="113"/>
      <c r="BZ145" s="2"/>
      <c r="CA145" s="113"/>
      <c r="CB145" s="350">
        <f>k.w2T.w3T*M.w2T*Molweight</f>
        <v>222.29119242010563</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4.1204572507470352E-2</v>
      </c>
      <c r="BT147" s="2"/>
      <c r="BU147" s="2"/>
      <c r="BV147" s="113"/>
      <c r="BW147" s="98" t="s">
        <v>257</v>
      </c>
      <c r="BX147" s="76" t="s">
        <v>258</v>
      </c>
      <c r="BY147" s="77">
        <f>IF(ISERROR(J92),0,J92)</f>
        <v>1.1529747317583019E-2</v>
      </c>
      <c r="BZ147" s="2"/>
      <c r="CA147" s="2"/>
      <c r="CB147" s="113"/>
      <c r="CC147" s="98" t="s">
        <v>257</v>
      </c>
      <c r="CD147" s="76" t="s">
        <v>258</v>
      </c>
      <c r="CE147" s="77">
        <f>IF(ISERROR(L92),0,L92)</f>
        <v>4.2939582899875501E-3</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122.15090554107016</v>
      </c>
      <c r="BP148" s="339"/>
      <c r="BQ148" s="96">
        <f>IF(ISERROR(H60),0,H60)</f>
        <v>0.70767978167871992</v>
      </c>
      <c r="BR148" s="339"/>
      <c r="BS148" s="339"/>
      <c r="BT148" s="308" t="s">
        <v>259</v>
      </c>
      <c r="BU148" s="301">
        <f>AD40</f>
        <v>91.635528179667034</v>
      </c>
      <c r="BV148" s="113"/>
      <c r="BW148" s="96">
        <f>IF(ISERROR(J60),0,J60)</f>
        <v>0.72568308477922483</v>
      </c>
      <c r="BX148" s="113"/>
      <c r="BY148" s="113"/>
      <c r="BZ148" s="308" t="s">
        <v>259</v>
      </c>
      <c r="CA148" s="301">
        <f>AD46</f>
        <v>238.70500010264436</v>
      </c>
      <c r="CB148" s="113"/>
      <c r="CC148" s="96">
        <f>IF(ISERROR(L60),0,L60)</f>
        <v>0.73617033964846024</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122.14007539787744</v>
      </c>
      <c r="BO149" s="344" t="s">
        <v>259</v>
      </c>
      <c r="BP149" s="339">
        <f>AH34</f>
        <v>3.505209277549167E-11</v>
      </c>
      <c r="BQ149" s="339"/>
      <c r="BR149" s="353"/>
      <c r="BS149" s="339"/>
      <c r="BT149" s="131">
        <f>AE40</f>
        <v>91.630230836719647</v>
      </c>
      <c r="BU149" s="128" t="s">
        <v>259</v>
      </c>
      <c r="BV149" s="55">
        <f>AH40</f>
        <v>5.0200979317073887E-12</v>
      </c>
      <c r="BW149" s="2"/>
      <c r="BX149" s="114"/>
      <c r="BY149" s="113"/>
      <c r="BZ149" s="131">
        <f>AE46</f>
        <v>238.68437635113148</v>
      </c>
      <c r="CA149" s="128" t="s">
        <v>259</v>
      </c>
      <c r="CB149" s="55">
        <f>AH46</f>
        <v>2.1359702637134125E-10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40.276317711364463</v>
      </c>
      <c r="BR150" s="339">
        <f>AH36</f>
        <v>3.0107824012962405E-12</v>
      </c>
      <c r="BS150" s="339"/>
      <c r="BT150" s="2"/>
      <c r="BU150" s="113"/>
      <c r="BV150" s="113"/>
      <c r="BW150" s="345">
        <f>k.sdA.w3A*M.sdA*Molweight</f>
        <v>26.506499817149429</v>
      </c>
      <c r="BX150" s="55">
        <f>AK42</f>
        <v>2.4371954359977569E-19</v>
      </c>
      <c r="BY150" s="113"/>
      <c r="BZ150" s="2"/>
      <c r="CA150" s="113"/>
      <c r="CB150" s="113"/>
      <c r="CC150" s="345">
        <f>k.sdT.w3T*M.sdT*Molweight</f>
        <v>99.685137212055793</v>
      </c>
      <c r="CD150" s="55">
        <f>AH48</f>
        <v>1.8379407198451374E-12</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40.288532443581644</v>
      </c>
      <c r="BR153" s="340">
        <f>AC36</f>
        <v>0</v>
      </c>
      <c r="BS153" s="339"/>
      <c r="BT153" s="2"/>
      <c r="BU153" s="113"/>
      <c r="BV153" s="113"/>
      <c r="BW153" s="136">
        <f>IF(AN41&lt;0,"",AN41)</f>
        <v>26.512194389152594</v>
      </c>
      <c r="BX153" s="307">
        <f>AC42</f>
        <v>0</v>
      </c>
      <c r="BY153" s="113"/>
      <c r="BZ153" s="2"/>
      <c r="CA153" s="113"/>
      <c r="CB153" s="113"/>
      <c r="CC153" s="136">
        <f>IF(AN47&lt;0,"",AN47)</f>
        <v>99.706553250531229</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0.22752117341859698</v>
      </c>
      <c r="BQ155" s="339"/>
      <c r="BR155" s="339"/>
      <c r="BS155" s="339"/>
      <c r="BT155" s="2"/>
      <c r="BU155" s="2"/>
      <c r="BV155" s="96">
        <f>IF(ISERROR(J68),0,J68)</f>
        <v>0.23330928938200587</v>
      </c>
      <c r="BW155" s="2"/>
      <c r="BX155" s="113"/>
      <c r="BY155" s="113"/>
      <c r="BZ155" s="2"/>
      <c r="CA155" s="2"/>
      <c r="CB155" s="96">
        <f>IF(ISERROR(L68),0,L68)</f>
        <v>0.23668097329001073</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1.6624774950080817E-11</v>
      </c>
      <c r="BP156" s="339"/>
      <c r="BQ156" s="339"/>
      <c r="BR156" s="339"/>
      <c r="BS156" s="339"/>
      <c r="BT156" s="2"/>
      <c r="BU156" s="55">
        <f>AH41</f>
        <v>2.3809704850936686E-12</v>
      </c>
      <c r="BV156" s="113"/>
      <c r="BW156" s="113"/>
      <c r="BX156" s="113"/>
      <c r="BY156" s="113"/>
      <c r="BZ156" s="2"/>
      <c r="CA156" s="55">
        <f>AH47</f>
        <v>1.0130643314272885E-10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1.2214734402636505E-2</v>
      </c>
      <c r="BQ159" s="339"/>
      <c r="BR159" s="339">
        <f>AF36</f>
        <v>2.47182995295527E-5</v>
      </c>
      <c r="BS159" s="339"/>
      <c r="BT159" s="113"/>
      <c r="BU159" s="113"/>
      <c r="BV159" s="55">
        <f>AF41</f>
        <v>5.6945725547598129E-3</v>
      </c>
      <c r="BW159" s="113"/>
      <c r="BX159" s="55">
        <f>AF42</f>
        <v>1.5852178405675163E-6</v>
      </c>
      <c r="BY159" s="113"/>
      <c r="BZ159" s="113"/>
      <c r="CA159" s="113"/>
      <c r="CB159" s="55">
        <f>AF47</f>
        <v>2.1416039477154016E-2</v>
      </c>
      <c r="CC159" s="113"/>
      <c r="CD159" s="55">
        <f>AF48</f>
        <v>1.1380911322505943E-5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1.7450717098510617E-12</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424396413.76486194</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45504</v>
      </c>
      <c r="BU164" s="80"/>
      <c r="BV164" s="122"/>
      <c r="BW164" s="2"/>
      <c r="BX164" s="2"/>
      <c r="BY164" s="90" t="s">
        <v>263</v>
      </c>
      <c r="BZ164" s="2"/>
      <c r="CA164" s="89">
        <f>G60</f>
        <v>12732384302.275961</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4093499760.5817018</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741341586.63061178</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7.6001957669963776E-14</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340322016.75552702</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8378648394.1068068</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2693760601.3036108</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133121056.38553508</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3.8936797331354778E-11</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978203027.29300785</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31510260524.353008</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10130643314.272886</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183794071.98451376</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1.4570355548169318E-7</v>
      </c>
      <c r="C4">
        <f>K4+K18+K32</f>
        <v>1.7156100680381257E-8</v>
      </c>
      <c r="D4">
        <f>L4+L18+L32</f>
        <v>1.2747142683113772E-9</v>
      </c>
      <c r="E4">
        <f>M4+M18+M32</f>
        <v>5.5897610812263172E-10</v>
      </c>
      <c r="F4">
        <f>N4+N18+N32</f>
        <v>3.2880810143490368E-10</v>
      </c>
      <c r="G4" s="160" t="s">
        <v>277</v>
      </c>
      <c r="I4" s="452" t="s">
        <v>136</v>
      </c>
      <c r="J4">
        <f>'all species output'!$M15</f>
        <v>2.6519442260823751E-8</v>
      </c>
      <c r="K4">
        <f>'all species output'!$N15</f>
        <v>1.745916832885858E-10</v>
      </c>
      <c r="L4">
        <f>'all species output'!$O15</f>
        <v>4.9707897315437795E-13</v>
      </c>
      <c r="M4">
        <f>'all species output'!$P15</f>
        <v>8.0267296266287874E-15</v>
      </c>
      <c r="N4">
        <f>'all species output'!$Q15</f>
        <v>4.3636437045383998E-15</v>
      </c>
      <c r="O4" s="160" t="s">
        <v>137</v>
      </c>
      <c r="Q4" s="398"/>
      <c r="R4" t="s">
        <v>270</v>
      </c>
      <c r="S4" t="s">
        <v>271</v>
      </c>
      <c r="T4" t="s">
        <v>272</v>
      </c>
      <c r="U4" t="s">
        <v>273</v>
      </c>
      <c r="V4" t="s">
        <v>274</v>
      </c>
      <c r="W4" s="837"/>
    </row>
    <row r="5" spans="1:23" ht="14.5" x14ac:dyDescent="0.3">
      <c r="A5" s="104" t="s">
        <v>157</v>
      </c>
      <c r="B5">
        <f t="shared" ref="B5:C9" si="0">J5+J19+J33</f>
        <v>6.6993207621260901E-8</v>
      </c>
      <c r="C5">
        <f t="shared" si="0"/>
        <v>2.2549211425778844E-9</v>
      </c>
      <c r="G5" s="160" t="s">
        <v>234</v>
      </c>
      <c r="I5" s="104" t="s">
        <v>157</v>
      </c>
      <c r="J5">
        <f>'all species output'!$M23</f>
        <v>3.5371023635044066E-12</v>
      </c>
      <c r="K5">
        <f>'all species output'!$N23</f>
        <v>2.3267531154083096E-14</v>
      </c>
      <c r="O5" s="160" t="s">
        <v>158</v>
      </c>
      <c r="Q5" s="452" t="s">
        <v>136</v>
      </c>
      <c r="R5">
        <f>IF((RadP.a*2)&lt;bioavai.cutoff.diameter*0.000000001,'nano micro output'!B4,IF((RadA.w*2)&lt;bioavai.cutoff.diameter*0.000000001,'nano micro output'!J4+'nano micro output'!J18,IF((RadS*2)&lt;bioavai.cutoff.diameter*0.000000001,'nano micro output'!J4,0)))</f>
        <v>1.4560811062028685E-7</v>
      </c>
      <c r="S5">
        <f>IF((RadP.a*2)&lt;bioavai.cutoff.diameter*0.000000001,'nano micro output'!C4,IF((RadA.w*2)&lt;bioavai.cutoff.diameter*0.000000001,'nano micro output'!K4+'nano micro output'!K18,IF((RadS*2)&lt;bioavai.cutoff.diameter*0.000000001,'nano micro output'!K4,0)))</f>
        <v>1.7155035753715938E-8</v>
      </c>
      <c r="T5">
        <f>IF((RadP.a*2)&lt;bioavai.cutoff.diameter*0.000000001,'nano micro output'!D4,IF((RadA.w*2)&lt;bioavai.cutoff.diameter*0.000000001,'nano micro output'!L4+'nano micro output'!L18,IF((RadS*2)&lt;bioavai.cutoff.diameter*0.000000001,'nano micro output'!L4,0)))</f>
        <v>1.2747104934705667E-9</v>
      </c>
      <c r="U5">
        <f>IF((RadP.a*2)&lt;bioavai.cutoff.diameter*0.000000001,'nano micro output'!E4,IF((RadA.w*2)&lt;bioavai.cutoff.diameter*0.000000001,'nano micro output'!M4+'nano micro output'!M18,IF((RadS*2)&lt;bioavai.cutoff.diameter*0.000000001,'nano micro output'!M4,0)))</f>
        <v>5.589759351863442E-10</v>
      </c>
      <c r="V5">
        <f>IF((RadP.a*2)&lt;bioavai.cutoff.diameter*0.000000001,'nano micro output'!F4,IF((RadA.w*2)&lt;bioavai.cutoff.diameter*0.000000001,'nano micro output'!N4+'nano micro output'!N18,IF((RadS*2)&lt;bioavai.cutoff.diameter*0.000000001,'nano micro output'!N4,0)))</f>
        <v>3.2880808061849706E-10</v>
      </c>
      <c r="W5" s="160" t="s">
        <v>137</v>
      </c>
    </row>
    <row r="6" spans="1:23" ht="14.5" x14ac:dyDescent="0.3">
      <c r="A6" s="104" t="s">
        <v>174</v>
      </c>
      <c r="B6">
        <f t="shared" si="0"/>
        <v>1.2738545118141347E-6</v>
      </c>
      <c r="C6">
        <f t="shared" si="0"/>
        <v>2.7418430041757317E-8</v>
      </c>
      <c r="G6" s="160" t="s">
        <v>237</v>
      </c>
      <c r="I6" s="104" t="s">
        <v>174</v>
      </c>
      <c r="J6">
        <f>'all species output'!$M31</f>
        <v>5.9185083039216635E-18</v>
      </c>
      <c r="K6">
        <f>'all species output'!$N31</f>
        <v>3.8932737185004519E-20</v>
      </c>
      <c r="O6" s="160" t="s">
        <v>175</v>
      </c>
      <c r="Q6" s="104" t="s">
        <v>157</v>
      </c>
      <c r="R6">
        <f>IF((RadP.w*2)&lt;bioavai.cutoff.diameter*0.000000001,'nano micro output'!B5,IF((RadA.w*2)&lt;bioavai.cutoff.diameter*0.000000001,'nano micro output'!J5+'nano micro output'!J19,IF((RadS*2)&lt;bioavai.cutoff.diameter*0.000000001,'nano micro output'!J5,0)))</f>
        <v>6.6876908921706771E-8</v>
      </c>
      <c r="S6">
        <f>IF((RadP.w*2)&lt;bioavai.cutoff.diameter*0.000000001,'nano micro output'!C5,IF((RadA.w*2)&lt;bioavai.cutoff.diameter*0.000000001,'nano micro output'!K5+'nano micro output'!K19,IF((RadS*2)&lt;bioavai.cutoff.diameter*0.000000001,'nano micro output'!K5,0)))</f>
        <v>2.2537773495564633E-9</v>
      </c>
      <c r="W6" s="160" t="s">
        <v>158</v>
      </c>
    </row>
    <row r="7" spans="1:23" ht="14.5" x14ac:dyDescent="0.3">
      <c r="A7" s="104" t="s">
        <v>204</v>
      </c>
      <c r="B7">
        <f t="shared" si="0"/>
        <v>6.3165294819823986E-5</v>
      </c>
      <c r="C7">
        <f t="shared" si="0"/>
        <v>4.613792908969756E-8</v>
      </c>
      <c r="G7" s="160" t="s">
        <v>234</v>
      </c>
      <c r="I7" s="104" t="s">
        <v>204</v>
      </c>
      <c r="J7">
        <f>'all species output'!$M39</f>
        <v>1.1870554485361192E-8</v>
      </c>
      <c r="K7">
        <f>'all species output'!$N39</f>
        <v>2.8859445259788701E-13</v>
      </c>
      <c r="O7" s="160" t="s">
        <v>158</v>
      </c>
      <c r="Q7" s="104" t="s">
        <v>174</v>
      </c>
      <c r="R7">
        <f>IF((RadP.w*2)&lt;bioavai.cutoff.diameter*0.000000001,'nano micro output'!B6,IF((RadA.w*2)&lt;bioavai.cutoff.diameter*0.000000001,'nano micro output'!J6+'nano micro output'!J20,IF((RadS*2)&lt;bioavai.cutoff.diameter*0.000000001,'nano micro output'!J6,0)))</f>
        <v>6.2370290388170148E-7</v>
      </c>
      <c r="S7">
        <f>IF((RadP.w*2)&lt;bioavai.cutoff.diameter*0.000000001,'nano micro output'!C6,IF((RadA.w*2)&lt;bioavai.cutoff.diameter*0.000000001,'nano micro output'!K6+'nano micro output'!K20,IF((RadS*2)&lt;bioavai.cutoff.diameter*0.000000001,'nano micro output'!K6,0)))</f>
        <v>2.1023213957190612E-8</v>
      </c>
      <c r="W7" s="160" t="s">
        <v>175</v>
      </c>
    </row>
    <row r="8" spans="1:23" ht="14.5" x14ac:dyDescent="0.3">
      <c r="A8" s="104" t="s">
        <v>209</v>
      </c>
      <c r="B8">
        <f t="shared" si="0"/>
        <v>2.3906468590450961E-3</v>
      </c>
      <c r="C8">
        <f t="shared" si="0"/>
        <v>4.1316787686952242E-7</v>
      </c>
      <c r="G8" s="160" t="s">
        <v>237</v>
      </c>
      <c r="I8" s="104" t="s">
        <v>209</v>
      </c>
      <c r="J8">
        <f>'all species output'!$M47</f>
        <v>1.7240903889046953E-14</v>
      </c>
      <c r="K8">
        <f>'all species output'!$N47</f>
        <v>4.1915727073139249E-19</v>
      </c>
      <c r="O8" s="160" t="s">
        <v>175</v>
      </c>
      <c r="Q8" s="104" t="s">
        <v>204</v>
      </c>
      <c r="R8">
        <f>IF((RadP.w*2)&lt;bioavai.cutoff.diameter*0.000000001,'nano micro output'!B7,IF((RadA.w*2)&lt;bioavai.cutoff.diameter*0.000000001,'nano micro output'!J7+'nano micro output'!J21,IF((RadS*2)&lt;bioavai.cutoff.diameter*0.000000001,'nano micro output'!J7,0)))</f>
        <v>6.2758283409592951E-5</v>
      </c>
      <c r="S8">
        <f>IF((RadP.w*2)&lt;bioavai.cutoff.diameter*0.000000001,'nano micro output'!C7,IF((RadA.w*2)&lt;bioavai.cutoff.diameter*0.000000001,'nano micro output'!K7+'nano micro output'!K21,IF((RadS*2)&lt;bioavai.cutoff.diameter*0.000000001,'nano micro output'!K7,0)))</f>
        <v>4.6126448825175887E-8</v>
      </c>
      <c r="W8" s="160" t="s">
        <v>158</v>
      </c>
    </row>
    <row r="9" spans="1:23" ht="14.5" x14ac:dyDescent="0.3">
      <c r="A9" s="104" t="s">
        <v>220</v>
      </c>
      <c r="B9">
        <f t="shared" si="0"/>
        <v>6.5830659442195317E-7</v>
      </c>
      <c r="C9">
        <f t="shared" si="0"/>
        <v>1.11473039711027E-11</v>
      </c>
      <c r="D9">
        <f t="shared" ref="D9:F11" si="1">L9+L23+L37</f>
        <v>1.4311204467238356E-12</v>
      </c>
      <c r="E9">
        <f t="shared" si="1"/>
        <v>5.780116451508318E-13</v>
      </c>
      <c r="F9">
        <f t="shared" si="1"/>
        <v>3.8997675844256582E-13</v>
      </c>
      <c r="G9" s="160" t="s">
        <v>234</v>
      </c>
      <c r="I9" s="104" t="s">
        <v>220</v>
      </c>
      <c r="J9">
        <f>'all species output'!$M55</f>
        <v>5.248641950938367E-12</v>
      </c>
      <c r="K9">
        <f>'all species output'!$N55</f>
        <v>1.5518009663310043E-15</v>
      </c>
      <c r="L9">
        <f>'all species output'!$O55</f>
        <v>8.8384263873767545E-18</v>
      </c>
      <c r="M9">
        <f>'all species output'!$P55</f>
        <v>1.4162018623963974E-19</v>
      </c>
      <c r="N9">
        <f>'all species output'!$Q55</f>
        <v>7.8877425819301292E-20</v>
      </c>
      <c r="O9" s="160" t="s">
        <v>158</v>
      </c>
      <c r="Q9" s="104" t="s">
        <v>209</v>
      </c>
      <c r="R9">
        <f>IF((RadP.w*2)&lt;bioavai.cutoff.diameter*0.000000001,'nano micro output'!B8,IF((RadA.w*2)&lt;bioavai.cutoff.diameter*0.000000001,'nano micro output'!J8+'nano micro output'!J22,IF((RadS*2)&lt;bioavai.cutoff.diameter*0.000000001,'nano micro output'!J8,0)))</f>
        <v>4.8907909734852259E-4</v>
      </c>
      <c r="S9">
        <f>IF((RadP.w*2)&lt;bioavai.cutoff.diameter*0.000000001,'nano micro output'!C8,IF((RadA.w*2)&lt;bioavai.cutoff.diameter*0.000000001,'nano micro output'!K8+'nano micro output'!K22,IF((RadS*2)&lt;bioavai.cutoff.diameter*0.000000001,'nano micro output'!K8,0)))</f>
        <v>3.5953178903925905E-7</v>
      </c>
      <c r="W9" s="160" t="s">
        <v>175</v>
      </c>
    </row>
    <row r="10" spans="1:23" ht="14.5" x14ac:dyDescent="0.3">
      <c r="A10" s="104" t="s">
        <v>233</v>
      </c>
      <c r="D10">
        <f t="shared" si="1"/>
        <v>1.0084334232277789E-15</v>
      </c>
      <c r="E10">
        <f t="shared" si="1"/>
        <v>4.4004548664410322E-16</v>
      </c>
      <c r="F10">
        <f t="shared" si="1"/>
        <v>2.5076743615044777E-16</v>
      </c>
      <c r="G10" s="160" t="s">
        <v>234</v>
      </c>
      <c r="I10" s="104" t="s">
        <v>233</v>
      </c>
      <c r="L10">
        <f>'all species output'!$O63</f>
        <v>2.4232084443176822E-23</v>
      </c>
      <c r="M10">
        <f>'all species output'!$P63</f>
        <v>4.5435033969280947E-25</v>
      </c>
      <c r="N10">
        <f>'all species output'!$Q63</f>
        <v>1.8876654461805225E-25</v>
      </c>
      <c r="O10" s="160" t="s">
        <v>158</v>
      </c>
      <c r="Q10" s="104" t="s">
        <v>220</v>
      </c>
      <c r="R10">
        <f>IF((RadP.w*2)&lt;bioavai.cutoff.diameter*0.000000001,'nano micro output'!B9,IF((RadA.w*2)&lt;bioavai.cutoff.diameter*0.000000001,'nano micro output'!J9+'nano micro output'!J23,IF((RadS*2)&lt;bioavai.cutoff.diameter*0.000000001,'nano micro output'!J9,0)))</f>
        <v>6.5480731391255922E-7</v>
      </c>
      <c r="S10">
        <f>IF((RadP.w*2)&lt;bioavai.cutoff.diameter*0.000000001,'nano micro output'!C9,IF((RadA.w*2)&lt;bioavai.cutoff.diameter*0.000000001,'nano micro output'!K9+'nano micro output'!K23,IF((RadS*2)&lt;bioavai.cutoff.diameter*0.000000001,'nano micro output'!K9,0)))</f>
        <v>1.1118870848441962E-11</v>
      </c>
      <c r="T10">
        <f>IF((RadP.w*2)&lt;bioavai.cutoff.diameter*0.000000001,'nano micro output'!D9,IF((RadA.w*2)&lt;bioavai.cutoff.diameter*0.000000001,'nano micro output'!L9+'nano micro output'!L23,IF((RadS*2)&lt;bioavai.cutoff.diameter*0.000000001,'nano micro output'!L9,0)))</f>
        <v>1.4309572766197927E-12</v>
      </c>
      <c r="U10">
        <f>IF((RadP.w*2)&lt;bioavai.cutoff.diameter*0.000000001,'nano micro output'!E9,IF((RadA.w*2)&lt;bioavai.cutoff.diameter*0.000000001,'nano micro output'!M9+'nano micro output'!M23,IF((RadS*2)&lt;bioavai.cutoff.diameter*0.000000001,'nano micro output'!M9,0)))</f>
        <v>5.7800841370184332E-13</v>
      </c>
      <c r="V10">
        <f>IF((RadP.w*2)&lt;bioavai.cutoff.diameter*0.000000001,'nano micro output'!F9,IF((RadA.w*2)&lt;bioavai.cutoff.diameter*0.000000001,'nano micro output'!N9+'nano micro output'!N23,IF((RadS*2)&lt;bioavai.cutoff.diameter*0.000000001,'nano micro output'!N9,0)))</f>
        <v>3.899752692748859E-13</v>
      </c>
      <c r="W10" s="160" t="s">
        <v>158</v>
      </c>
    </row>
    <row r="11" spans="1:23" ht="14.5" x14ac:dyDescent="0.3">
      <c r="A11" s="104" t="s">
        <v>236</v>
      </c>
      <c r="B11">
        <f t="shared" ref="B11:C14" si="2">J11+J25+J39</f>
        <v>2.9320324941492516E-7</v>
      </c>
      <c r="C11">
        <f t="shared" si="2"/>
        <v>2.9999417325918253E-12</v>
      </c>
      <c r="D11">
        <f t="shared" si="1"/>
        <v>1.2337207436491416E-16</v>
      </c>
      <c r="E11">
        <f t="shared" si="1"/>
        <v>4.7206169342639619E-17</v>
      </c>
      <c r="F11">
        <f t="shared" si="1"/>
        <v>2.6855095770301916E-17</v>
      </c>
      <c r="G11" s="160" t="s">
        <v>237</v>
      </c>
      <c r="I11" s="104" t="s">
        <v>236</v>
      </c>
      <c r="J11">
        <f>'all species output'!$M71</f>
        <v>5.1229342635984202E-18</v>
      </c>
      <c r="K11">
        <f>'all species output'!$N71</f>
        <v>1.5146345311820991E-21</v>
      </c>
      <c r="L11">
        <f>'all species output'!$O71</f>
        <v>2.3651713497082172E-29</v>
      </c>
      <c r="M11">
        <f>'all species output'!$P71</f>
        <v>4.7320533320354777E-31</v>
      </c>
      <c r="N11">
        <f>'all species output'!$Q71</f>
        <v>1.7771003938445653E-31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1.0081833469495622E-15</v>
      </c>
      <c r="U11">
        <f>IF((RadP.w*2)&lt;bioavai.cutoff.diameter*0.000000001,'nano micro output'!E10,IF((RadA.w*2)&lt;bioavai.cutoff.diameter*0.000000001,'nano micro output'!M10+'nano micro output'!M24,IF((RadS*2)&lt;bioavai.cutoff.diameter*0.000000001,'nano micro output'!M10,0)))</f>
        <v>4.4004035124404078E-16</v>
      </c>
      <c r="V11">
        <f>IF((RadP.w*2)&lt;bioavai.cutoff.diameter*0.000000001,'nano micro output'!F10,IF((RadA.w*2)&lt;bioavai.cutoff.diameter*0.000000001,'nano micro output'!N10+'nano micro output'!N24,IF((RadS*2)&lt;bioavai.cutoff.diameter*0.000000001,'nano micro output'!N10,0)))</f>
        <v>2.5076523356419653E-16</v>
      </c>
      <c r="W11" s="160" t="s">
        <v>158</v>
      </c>
    </row>
    <row r="12" spans="1:23" ht="14.5" x14ac:dyDescent="0.3">
      <c r="A12" s="104" t="s">
        <v>238</v>
      </c>
      <c r="B12">
        <f t="shared" si="2"/>
        <v>4.0090912656550023E-7</v>
      </c>
      <c r="C12">
        <f t="shared" si="2"/>
        <v>1.9724866580882774E-8</v>
      </c>
      <c r="G12" s="160" t="s">
        <v>237</v>
      </c>
      <c r="I12" s="104" t="s">
        <v>238</v>
      </c>
      <c r="J12">
        <f>'all species output'!$M79</f>
        <v>4.2970869345941504E-11</v>
      </c>
      <c r="K12">
        <f>'all species output'!$N79</f>
        <v>2.8290023363593838E-13</v>
      </c>
      <c r="O12" s="160" t="s">
        <v>175</v>
      </c>
      <c r="Q12" s="104" t="s">
        <v>236</v>
      </c>
      <c r="R12">
        <f>IF((RadP.w*2)&lt;bioavai.cutoff.diameter*0.000000001,'nano micro output'!B11,IF((RadA.w*2)&lt;bioavai.cutoff.diameter*0.000000001,'nano micro output'!J11+'nano micro output'!J25,IF((RadS*2)&lt;bioavai.cutoff.diameter*0.000000001,'nano micro output'!J11,0)))</f>
        <v>6.975718341327698E-8</v>
      </c>
      <c r="S12">
        <f>IF((RadP.w*2)&lt;bioavai.cutoff.diameter*0.000000001,'nano micro output'!C11,IF((RadA.w*2)&lt;bioavai.cutoff.diameter*0.000000001,'nano micro output'!K11+'nano micro output'!K25,IF((RadS*2)&lt;bioavai.cutoff.diameter*0.000000001,'nano micro output'!K11,0)))</f>
        <v>1.1843477220297729E-12</v>
      </c>
      <c r="T12">
        <f>IF((RadP.w*2)&lt;bioavai.cutoff.diameter*0.000000001,'nano micro output'!D11,IF((RadA.w*2)&lt;bioavai.cutoff.diameter*0.000000001,'nano micro output'!L11+'nano micro output'!L25,IF((RadS*2)&lt;bioavai.cutoff.diameter*0.000000001,'nano micro output'!L11,0)))</f>
        <v>1.0740348892475954E-16</v>
      </c>
      <c r="U12">
        <f>IF((RadP.w*2)&lt;bioavai.cutoff.diameter*0.000000001,'nano micro output'!E11,IF((RadA.w*2)&lt;bioavai.cutoff.diameter*0.000000001,'nano micro output'!M11+'nano micro output'!M25,IF((RadS*2)&lt;bioavai.cutoff.diameter*0.000000001,'nano micro output'!M11,0)))</f>
        <v>4.6878249096682555E-17</v>
      </c>
      <c r="V12">
        <f>IF((RadP.w*2)&lt;bioavai.cutoff.diameter*0.000000001,'nano micro output'!F11,IF((RadA.w*2)&lt;bioavai.cutoff.diameter*0.000000001,'nano micro output'!N11+'nano micro output'!N25,IF((RadS*2)&lt;bioavai.cutoff.diameter*0.000000001,'nano micro output'!N11,0)))</f>
        <v>2.6714449926132233E-17</v>
      </c>
      <c r="W12" s="160" t="s">
        <v>175</v>
      </c>
    </row>
    <row r="13" spans="1:23" ht="14.5" x14ac:dyDescent="0.3">
      <c r="A13" s="104" t="s">
        <v>240</v>
      </c>
      <c r="B13">
        <f t="shared" si="2"/>
        <v>1.4838983273940915E-6</v>
      </c>
      <c r="C13">
        <f t="shared" si="2"/>
        <v>5.0065353346217121E-9</v>
      </c>
      <c r="G13" s="160" t="s">
        <v>237</v>
      </c>
      <c r="I13" s="104" t="s">
        <v>240</v>
      </c>
      <c r="J13">
        <f>'all species output'!$M87</f>
        <v>3.6900975611097356E-10</v>
      </c>
      <c r="K13">
        <f>'all species output'!$N87</f>
        <v>1.1314954337658471E-13</v>
      </c>
      <c r="O13" s="160" t="s">
        <v>175</v>
      </c>
      <c r="Q13" s="104" t="s">
        <v>238</v>
      </c>
      <c r="R13">
        <f>IF((RadP.w*2)&lt;bioavai.cutoff.diameter*0.000000001,'nano micro output'!B12,IF((RadA.w*2)&lt;bioavai.cutoff.diameter*0.000000001,'nano micro output'!J12+'nano micro output'!J26,IF((RadS*2)&lt;bioavai.cutoff.diameter*0.000000001,'nano micro output'!J12,0)))</f>
        <v>3.2882457854055741E-7</v>
      </c>
      <c r="S13">
        <f>IF((RadP.w*2)&lt;bioavai.cutoff.diameter*0.000000001,'nano micro output'!C12,IF((RadA.w*2)&lt;bioavai.cutoff.diameter*0.000000001,'nano micro output'!K12+'nano micro output'!K26,IF((RadS*2)&lt;bioavai.cutoff.diameter*0.000000001,'nano micro output'!K12,0)))</f>
        <v>1.9210752695562737E-8</v>
      </c>
      <c r="W13" s="160" t="s">
        <v>175</v>
      </c>
    </row>
    <row r="14" spans="1:23" ht="14.5" x14ac:dyDescent="0.3">
      <c r="A14" s="838" t="s">
        <v>241</v>
      </c>
      <c r="B14" s="487">
        <f t="shared" si="2"/>
        <v>4.0090890005844145E-7</v>
      </c>
      <c r="C14" s="487">
        <f t="shared" si="2"/>
        <v>1.9724865089665574E-8</v>
      </c>
      <c r="D14" s="487">
        <f>L14+L28+L42</f>
        <v>1.3463913368016258E-9</v>
      </c>
      <c r="E14" s="487">
        <f>M14+M28+M42</f>
        <v>4.910127135768146E-10</v>
      </c>
      <c r="F14" s="487">
        <f>N14+N28+N42</f>
        <v>3.8803972292631554E-10</v>
      </c>
      <c r="G14" s="839" t="s">
        <v>237</v>
      </c>
      <c r="I14" s="838" t="s">
        <v>241</v>
      </c>
      <c r="J14" s="487">
        <f>'all species output'!$M95</f>
        <v>7.6383027986968508E-11</v>
      </c>
      <c r="K14" s="487">
        <f>'all species output'!$N95</f>
        <v>5.0287035827388292E-13</v>
      </c>
      <c r="L14" s="487">
        <f>'all species output'!$O95</f>
        <v>8.0544362132328081E-16</v>
      </c>
      <c r="M14" s="487">
        <f>'all species output'!$P95</f>
        <v>1.23531300418345E-17</v>
      </c>
      <c r="N14" s="487">
        <f>'all species output'!$Q95</f>
        <v>7.3744972679447372E-18</v>
      </c>
      <c r="O14" s="839" t="s">
        <v>175</v>
      </c>
      <c r="Q14" s="104" t="s">
        <v>240</v>
      </c>
      <c r="R14">
        <f>IF((RadP.w*2)&lt;bioavai.cutoff.diameter*0.000000001,'nano micro output'!B13,IF((RadA.w*2)&lt;bioavai.cutoff.diameter*0.000000001,'nano micro output'!J13+'nano micro output'!J27,IF((RadS*2)&lt;bioavai.cutoff.diameter*0.000000001,'nano micro output'!J13,0)))</f>
        <v>1.1412474135085587E-6</v>
      </c>
      <c r="S14">
        <f>IF((RadP.w*2)&lt;bioavai.cutoff.diameter*0.000000001,'nano micro output'!C13,IF((RadA.w*2)&lt;bioavai.cutoff.diameter*0.000000001,'nano micro output'!K13+'nano micro output'!K27,IF((RadS*2)&lt;bioavai.cutoff.diameter*0.000000001,'nano micro output'!K13,0)))</f>
        <v>4.8780162502544574E-9</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3.288323480147964E-7</v>
      </c>
      <c r="S15" s="487">
        <f>IF((RadP.w*2)&lt;bioavai.cutoff.diameter*0.000000001,'nano micro output'!C14,IF((RadA.w*2)&lt;bioavai.cutoff.diameter*0.000000001,'nano micro output'!K14+'nano micro output'!K28,IF((RadS*2)&lt;bioavai.cutoff.diameter*0.000000001,'nano micro output'!K14,0)))</f>
        <v>1.9210803846170376E-8</v>
      </c>
      <c r="T15" s="487">
        <f>IF((RadP.w*2)&lt;bioavai.cutoff.diameter*0.000000001,'nano micro output'!D14,IF((RadA.w*2)&lt;bioavai.cutoff.diameter*0.000000001,'nano micro output'!L14+'nano micro output'!L28,IF((RadS*2)&lt;bioavai.cutoff.diameter*0.000000001,'nano micro output'!L14,0)))</f>
        <v>1.3448603165864585E-9</v>
      </c>
      <c r="U15" s="487">
        <f>IF((RadP.w*2)&lt;bioavai.cutoff.diameter*0.000000001,'nano micro output'!E14,IF((RadA.w*2)&lt;bioavai.cutoff.diameter*0.000000001,'nano micro output'!M14+'nano micro output'!M28,IF((RadS*2)&lt;bioavai.cutoff.diameter*0.000000001,'nano micro output'!M14,0)))</f>
        <v>4.9098969211040951E-10</v>
      </c>
      <c r="V15" s="487">
        <f>IF((RadP.w*2)&lt;bioavai.cutoff.diameter*0.000000001,'nano micro output'!F14,IF((RadA.w*2)&lt;bioavai.cutoff.diameter*0.000000001,'nano micro output'!N14+'nano micro output'!N28,IF((RadS*2)&lt;bioavai.cutoff.diameter*0.000000001,'nano micro output'!N14,0)))</f>
        <v>3.8802502935505616E-10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1.190886683594631E-7</v>
      </c>
      <c r="K18">
        <f>'all species output'!$N16</f>
        <v>1.6980444070427352E-8</v>
      </c>
      <c r="L18">
        <f>'all species output'!$O16</f>
        <v>1.2742134144974124E-9</v>
      </c>
      <c r="M18">
        <f>'all species output'!$P16</f>
        <v>5.5896790845671753E-10</v>
      </c>
      <c r="N18">
        <f>'all species output'!$Q16</f>
        <v>3.2880371697479254E-10</v>
      </c>
      <c r="O18" s="160" t="s">
        <v>137</v>
      </c>
    </row>
    <row r="19" spans="9:15" ht="14.5" x14ac:dyDescent="0.3">
      <c r="I19" s="104" t="s">
        <v>157</v>
      </c>
      <c r="J19">
        <f>'all species output'!$M24</f>
        <v>6.687337181934327E-8</v>
      </c>
      <c r="K19">
        <f>'all species output'!$N24</f>
        <v>2.2537540820253091E-9</v>
      </c>
      <c r="O19" s="160" t="s">
        <v>158</v>
      </c>
    </row>
    <row r="20" spans="9:15" ht="14.5" x14ac:dyDescent="0.3">
      <c r="I20" s="104" t="s">
        <v>174</v>
      </c>
      <c r="J20">
        <f>'all species output'!$M32</f>
        <v>6.2370290387578294E-7</v>
      </c>
      <c r="K20">
        <f>'all species output'!$N32</f>
        <v>2.1023213957151678E-8</v>
      </c>
      <c r="O20" s="160" t="s">
        <v>175</v>
      </c>
    </row>
    <row r="21" spans="9:15" ht="14.5" x14ac:dyDescent="0.3">
      <c r="I21" s="104" t="s">
        <v>204</v>
      </c>
      <c r="J21">
        <f>'all species output'!$M40</f>
        <v>6.2746412855107589E-5</v>
      </c>
      <c r="K21">
        <f>'all species output'!$N40</f>
        <v>4.6126160230723288E-8</v>
      </c>
      <c r="O21" s="160" t="s">
        <v>158</v>
      </c>
    </row>
    <row r="22" spans="9:15" ht="14.5" x14ac:dyDescent="0.3">
      <c r="I22" s="104" t="s">
        <v>209</v>
      </c>
      <c r="J22">
        <f>'all species output'!$M48</f>
        <v>4.8907909733128172E-4</v>
      </c>
      <c r="K22">
        <f>'all species output'!$N48</f>
        <v>3.5953178903883987E-7</v>
      </c>
      <c r="O22" s="160" t="s">
        <v>175</v>
      </c>
    </row>
    <row r="23" spans="9:15" ht="14.5" x14ac:dyDescent="0.3">
      <c r="I23" s="104" t="s">
        <v>220</v>
      </c>
      <c r="J23">
        <f>'all species output'!$M56</f>
        <v>6.5480206527060833E-7</v>
      </c>
      <c r="K23">
        <f>'all species output'!$N56</f>
        <v>1.1117319047475632E-11</v>
      </c>
      <c r="L23">
        <f>'all species output'!$O56</f>
        <v>1.4309484381934053E-12</v>
      </c>
      <c r="M23">
        <f>'all species output'!$P56</f>
        <v>5.7800827208165711E-13</v>
      </c>
      <c r="N23">
        <f>'all species output'!$Q56</f>
        <v>3.8997519039746007E-13</v>
      </c>
      <c r="O23" s="160" t="s">
        <v>158</v>
      </c>
    </row>
    <row r="24" spans="9:15" ht="14.5" x14ac:dyDescent="0.3">
      <c r="I24" s="104" t="s">
        <v>233</v>
      </c>
      <c r="L24">
        <f>'all species output'!$O64</f>
        <v>1.0081833227174777E-15</v>
      </c>
      <c r="M24">
        <f>'all species output'!$P64</f>
        <v>4.4004035078969043E-16</v>
      </c>
      <c r="N24">
        <f>'all species output'!$Q64</f>
        <v>2.5076523337543001E-16</v>
      </c>
      <c r="O24" s="160" t="s">
        <v>158</v>
      </c>
    </row>
    <row r="25" spans="9:15" ht="14.5" x14ac:dyDescent="0.3">
      <c r="I25" s="104" t="s">
        <v>236</v>
      </c>
      <c r="J25">
        <f>'all species output'!$M72</f>
        <v>6.9757183408154045E-8</v>
      </c>
      <c r="K25">
        <f>'all species output'!$N72</f>
        <v>1.1843477205151384E-12</v>
      </c>
      <c r="L25">
        <f>'all species output'!$O72</f>
        <v>1.0740348892473589E-16</v>
      </c>
      <c r="M25">
        <f>'all species output'!$P72</f>
        <v>4.6878249096682081E-17</v>
      </c>
      <c r="N25">
        <f>'all species output'!$Q72</f>
        <v>2.6714449926132054E-17</v>
      </c>
      <c r="O25" s="160" t="s">
        <v>175</v>
      </c>
    </row>
    <row r="26" spans="9:15" ht="14.5" x14ac:dyDescent="0.3">
      <c r="I26" s="104" t="s">
        <v>238</v>
      </c>
      <c r="J26">
        <f>'all species output'!$M80</f>
        <v>3.2878160767121148E-7</v>
      </c>
      <c r="K26">
        <f>'all species output'!$N80</f>
        <v>1.9210469795329102E-8</v>
      </c>
      <c r="O26" s="160" t="s">
        <v>175</v>
      </c>
    </row>
    <row r="27" spans="9:15" ht="14.5" x14ac:dyDescent="0.3">
      <c r="I27" s="104" t="s">
        <v>240</v>
      </c>
      <c r="J27">
        <f>'all species output'!$M88</f>
        <v>1.1408784037524478E-6</v>
      </c>
      <c r="K27">
        <f>'all species output'!$N88</f>
        <v>4.8779031007110805E-9</v>
      </c>
      <c r="O27" s="160" t="s">
        <v>175</v>
      </c>
    </row>
    <row r="28" spans="9:15" ht="14.5" x14ac:dyDescent="0.3">
      <c r="I28" s="838" t="s">
        <v>241</v>
      </c>
      <c r="J28" s="487">
        <f>'all species output'!$M96</f>
        <v>3.2875596498680944E-7</v>
      </c>
      <c r="K28" s="487">
        <f>'all species output'!$N96</f>
        <v>1.9210300975812102E-8</v>
      </c>
      <c r="L28" s="487">
        <f>'all species output'!$O96</f>
        <v>1.3448595111428372E-9</v>
      </c>
      <c r="M28" s="487">
        <f>'all species output'!$P96</f>
        <v>4.9098967975727946E-10</v>
      </c>
      <c r="N28" s="487">
        <f>'all species output'!$Q96</f>
        <v>3.8802502198055892E-10</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9.544486140632389E-11</v>
      </c>
      <c r="K32">
        <f>'all species output'!$N17</f>
        <v>1.0649266653185035E-12</v>
      </c>
      <c r="L32">
        <f>'all species output'!$O17</f>
        <v>3.7748408105237716E-15</v>
      </c>
      <c r="M32">
        <f>'all species output'!$P17</f>
        <v>1.7293628750180958E-16</v>
      </c>
      <c r="N32">
        <f>'all species output'!$Q17</f>
        <v>2.0816406628236668E-17</v>
      </c>
      <c r="O32" s="160" t="s">
        <v>137</v>
      </c>
    </row>
    <row r="33" spans="9:15" ht="14.5" x14ac:dyDescent="0.3">
      <c r="I33" s="104" t="s">
        <v>157</v>
      </c>
      <c r="J33">
        <f>'all species output'!$M25</f>
        <v>1.1629869955412636E-10</v>
      </c>
      <c r="K33">
        <f>'all species output'!$N25</f>
        <v>1.1437930214211193E-12</v>
      </c>
      <c r="O33" s="160" t="s">
        <v>158</v>
      </c>
    </row>
    <row r="34" spans="9:15" ht="14.5" x14ac:dyDescent="0.3">
      <c r="I34" s="104" t="s">
        <v>174</v>
      </c>
      <c r="J34">
        <f>'all species output'!$M33</f>
        <v>6.5015160793243329E-7</v>
      </c>
      <c r="K34">
        <f>'all species output'!$N33</f>
        <v>6.3952160845667063E-9</v>
      </c>
      <c r="O34" s="160" t="s">
        <v>175</v>
      </c>
    </row>
    <row r="35" spans="9:15" ht="14.5" x14ac:dyDescent="0.3">
      <c r="I35" s="104" t="s">
        <v>204</v>
      </c>
      <c r="J35">
        <f>'all species output'!$M41</f>
        <v>4.0701141023103011E-7</v>
      </c>
      <c r="K35">
        <f>'all species output'!$N41</f>
        <v>1.1480264521675949E-11</v>
      </c>
      <c r="O35" s="160" t="s">
        <v>158</v>
      </c>
    </row>
    <row r="36" spans="9:15" ht="14.5" x14ac:dyDescent="0.3">
      <c r="I36" s="104" t="s">
        <v>209</v>
      </c>
      <c r="J36">
        <f>'all species output'!$M49</f>
        <v>1.9015677616965733E-3</v>
      </c>
      <c r="K36">
        <f>'all species output'!$N49</f>
        <v>5.3636087830263385E-8</v>
      </c>
      <c r="O36" s="160" t="s">
        <v>175</v>
      </c>
    </row>
    <row r="37" spans="9:15" ht="14.5" x14ac:dyDescent="0.3">
      <c r="I37" s="104" t="s">
        <v>220</v>
      </c>
      <c r="J37">
        <f>'all species output'!$M57</f>
        <v>3.4992805093939086E-9</v>
      </c>
      <c r="K37">
        <f>'all species output'!$N57</f>
        <v>2.8433122660738337E-14</v>
      </c>
      <c r="L37">
        <f>'all species output'!$O57</f>
        <v>1.63170104042862E-16</v>
      </c>
      <c r="M37">
        <f>'all species output'!$P57</f>
        <v>3.2314489884977555E-18</v>
      </c>
      <c r="N37">
        <f>'all species output'!$Q57</f>
        <v>1.4891676799071144E-18</v>
      </c>
      <c r="O37" s="160" t="s">
        <v>158</v>
      </c>
    </row>
    <row r="38" spans="9:15" ht="14.5" x14ac:dyDescent="0.3">
      <c r="I38" s="104" t="s">
        <v>233</v>
      </c>
      <c r="L38">
        <f>'all species output'!$O65</f>
        <v>2.5007627821668176E-19</v>
      </c>
      <c r="M38">
        <f>'all species output'!$P65</f>
        <v>5.135400062463297E-21</v>
      </c>
      <c r="N38">
        <f>'all species output'!$Q65</f>
        <v>2.2025862512451516E-21</v>
      </c>
      <c r="O38" s="160" t="s">
        <v>158</v>
      </c>
    </row>
    <row r="39" spans="9:15" ht="14.5" x14ac:dyDescent="0.3">
      <c r="I39" s="104" t="s">
        <v>236</v>
      </c>
      <c r="J39">
        <f>'all species output'!$M73</f>
        <v>2.2344606600164817E-7</v>
      </c>
      <c r="K39">
        <f>'all species output'!$N73</f>
        <v>1.8155940105620524E-12</v>
      </c>
      <c r="L39">
        <f>'all species output'!$O73</f>
        <v>1.5968585440154627E-17</v>
      </c>
      <c r="M39">
        <f>'all species output'!$P73</f>
        <v>3.2792024595706151E-19</v>
      </c>
      <c r="N39">
        <f>'all species output'!$Q73</f>
        <v>1.40645844169684E-19</v>
      </c>
      <c r="O39" s="160" t="s">
        <v>175</v>
      </c>
    </row>
    <row r="40" spans="9:15" ht="14.5" x14ac:dyDescent="0.3">
      <c r="I40" s="104" t="s">
        <v>238</v>
      </c>
      <c r="J40">
        <f>'all species output'!$M81</f>
        <v>7.2084548024942832E-8</v>
      </c>
      <c r="K40">
        <f>'all species output'!$N81</f>
        <v>5.1411388532003725E-10</v>
      </c>
      <c r="O40" s="160" t="s">
        <v>175</v>
      </c>
    </row>
    <row r="41" spans="9:15" ht="14.5" x14ac:dyDescent="0.3">
      <c r="I41" s="104" t="s">
        <v>240</v>
      </c>
      <c r="J41">
        <f>'all species output'!$M89</f>
        <v>3.4265091388553276E-7</v>
      </c>
      <c r="K41">
        <f>'all species output'!$N89</f>
        <v>1.2851908436725441E-10</v>
      </c>
      <c r="O41" s="160" t="s">
        <v>175</v>
      </c>
    </row>
    <row r="42" spans="9:15" ht="14.5" x14ac:dyDescent="0.3">
      <c r="I42" s="838" t="s">
        <v>241</v>
      </c>
      <c r="J42" s="487">
        <f>'all species output'!$M97</f>
        <v>7.2076552043645034E-8</v>
      </c>
      <c r="K42" s="487">
        <f>'all species output'!$N97</f>
        <v>5.1406124349519804E-10</v>
      </c>
      <c r="L42" s="487">
        <f>'all species output'!$O97</f>
        <v>1.5310202151673875E-12</v>
      </c>
      <c r="M42" s="487">
        <f>'all species output'!$P97</f>
        <v>2.3021466405049199E-14</v>
      </c>
      <c r="N42" s="487">
        <f>'all species output'!$Q97</f>
        <v>1.4693571259389285E-14</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A37" zoomScaleNormal="100" workbookViewId="0">
      <selection activeCell="I99" sqref="I99"/>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6" t="s">
        <v>4313</v>
      </c>
      <c r="I5" s="1007"/>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8"/>
      <c r="I6" s="1009"/>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4" t="s">
        <v>293</v>
      </c>
      <c r="I8" s="1005"/>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4" t="s">
        <v>295</v>
      </c>
      <c r="I10" s="1005"/>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v>9.9999999999999995E-21</v>
      </c>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9.9999999999999995E-21</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v>9.9999999999999995E-21</v>
      </c>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9.9999999999999995E-21</v>
      </c>
      <c r="M81" s="567" t="s">
        <v>359</v>
      </c>
      <c r="N81" s="566"/>
      <c r="O81" s="566"/>
      <c r="P81" s="566"/>
    </row>
    <row r="82" spans="1:16" customFormat="1" ht="12.75" customHeight="1" x14ac:dyDescent="0.3">
      <c r="A82" s="566"/>
      <c r="B82" s="566"/>
      <c r="C82" s="566" t="s">
        <v>428</v>
      </c>
      <c r="D82" s="566"/>
      <c r="E82" s="566"/>
      <c r="F82" s="566"/>
      <c r="G82" s="781" t="s">
        <v>429</v>
      </c>
      <c r="H82" s="567" t="s">
        <v>358</v>
      </c>
      <c r="I82" s="809">
        <v>9.9999999999999995E-21</v>
      </c>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9.9999999999999995E-21</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v>9.9999999999999995E-21</v>
      </c>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9.9999999999999995E-21</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v>9.9999999999999995E-21</v>
      </c>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9.9999999999999995E-21</v>
      </c>
      <c r="M88" s="567" t="s">
        <v>359</v>
      </c>
      <c r="N88" s="566"/>
      <c r="O88" s="566"/>
      <c r="P88" s="566"/>
    </row>
    <row r="89" spans="1:16" customFormat="1" ht="12.75" customHeight="1" x14ac:dyDescent="0.3">
      <c r="A89" s="566"/>
      <c r="B89" s="566"/>
      <c r="C89" s="566" t="s">
        <v>442</v>
      </c>
      <c r="D89" s="566"/>
      <c r="E89" s="566"/>
      <c r="F89" s="566"/>
      <c r="G89" s="781" t="s">
        <v>443</v>
      </c>
      <c r="H89" s="567" t="s">
        <v>358</v>
      </c>
      <c r="I89" s="809">
        <v>9.9999999999999995E-21</v>
      </c>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9.9999999999999995E-21</v>
      </c>
      <c r="M89" s="567" t="s">
        <v>359</v>
      </c>
      <c r="N89" s="566"/>
      <c r="O89" s="566"/>
      <c r="P89" s="566"/>
    </row>
    <row r="90" spans="1:16" customFormat="1" ht="12.75" customHeight="1" x14ac:dyDescent="0.3">
      <c r="A90" s="566"/>
      <c r="B90" s="566"/>
      <c r="C90" s="566" t="s">
        <v>444</v>
      </c>
      <c r="D90" s="566"/>
      <c r="E90" s="566"/>
      <c r="F90" s="566"/>
      <c r="G90" s="781" t="s">
        <v>445</v>
      </c>
      <c r="H90" s="567" t="s">
        <v>358</v>
      </c>
      <c r="I90" s="809">
        <v>9.9999999999999995E-21</v>
      </c>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9.9999999999999995E-21</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v>9.9999999999999995E-21</v>
      </c>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9.9999999999999995E-21</v>
      </c>
      <c r="M93" s="567" t="s">
        <v>359</v>
      </c>
      <c r="N93" s="566"/>
      <c r="O93" s="566"/>
      <c r="P93" s="566"/>
    </row>
    <row r="94" spans="1:16" customFormat="1" ht="12.75" customHeight="1" x14ac:dyDescent="0.3">
      <c r="A94" s="566"/>
      <c r="B94" s="566"/>
      <c r="C94" s="566" t="s">
        <v>452</v>
      </c>
      <c r="D94" s="566"/>
      <c r="E94" s="566"/>
      <c r="F94" s="566"/>
      <c r="G94" s="781" t="s">
        <v>453</v>
      </c>
      <c r="H94" s="567" t="s">
        <v>358</v>
      </c>
      <c r="I94" s="809">
        <v>9.9999999999999995E-21</v>
      </c>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9.9999999999999995E-21</v>
      </c>
      <c r="M94" s="567" t="s">
        <v>359</v>
      </c>
      <c r="N94" s="566"/>
      <c r="O94" s="566"/>
      <c r="P94" s="566"/>
    </row>
    <row r="95" spans="1:16" customFormat="1" ht="12.75" customHeight="1" x14ac:dyDescent="0.3">
      <c r="A95" s="566"/>
      <c r="B95" s="566"/>
      <c r="C95" s="566" t="s">
        <v>454</v>
      </c>
      <c r="D95" s="566"/>
      <c r="E95" s="566"/>
      <c r="F95" s="566"/>
      <c r="G95" s="781" t="s">
        <v>455</v>
      </c>
      <c r="H95" s="567" t="s">
        <v>358</v>
      </c>
      <c r="I95" s="809">
        <v>9.9999999999999995E-21</v>
      </c>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9.9999999999999995E-21</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v>9.9999999999999995E-21</v>
      </c>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9.9999999999999995E-21</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9.9999999999999995E-21</v>
      </c>
      <c r="L102" s="551">
        <f t="shared" ref="L102:L103" si="8">IF(ISBLANK(I102), IF(ISNUMBER(J102)=FALSE, K102, J102), I102)</f>
        <v>9.9999999999999995E-21</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9.9999999999999995E-21</v>
      </c>
      <c r="L103" s="551">
        <f t="shared" si="8"/>
        <v>9.9999999999999995E-21</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9.9999999999999995E-21</v>
      </c>
      <c r="L104" s="551">
        <f t="shared" ref="L104:L123" si="9">IF(ISBLANK(I104), IF(ISNUMBER(J104)=FALSE, K104, J104), I104)</f>
        <v>9.9999999999999995E-21</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9.9999999999999995E-21</v>
      </c>
      <c r="L105" s="551">
        <f t="shared" si="9"/>
        <v>9.9999999999999995E-21</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9.9999999999999995E-21</v>
      </c>
      <c r="L106" s="551">
        <f t="shared" si="9"/>
        <v>9.9999999999999995E-21</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9.9999999999999995E-21</v>
      </c>
      <c r="L107" s="551">
        <f t="shared" si="9"/>
        <v>9.9999999999999995E-21</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9.9999999999999995E-21</v>
      </c>
      <c r="L108" s="551">
        <f t="shared" si="9"/>
        <v>9.9999999999999995E-21</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9.9999999999999995E-21</v>
      </c>
      <c r="L109" s="551">
        <f t="shared" si="9"/>
        <v>9.9999999999999995E-21</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9.9999999999999995E-21</v>
      </c>
      <c r="L110" s="551">
        <f t="shared" si="9"/>
        <v>9.9999999999999995E-21</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9.9999999999999995E-21</v>
      </c>
      <c r="L111" s="551">
        <f t="shared" si="9"/>
        <v>9.9999999999999995E-21</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9.9999999999999995E-21</v>
      </c>
      <c r="L112" s="551">
        <f t="shared" si="9"/>
        <v>9.9999999999999995E-21</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9.9999999999999995E-21</v>
      </c>
      <c r="L113" s="551">
        <f t="shared" si="9"/>
        <v>9.9999999999999995E-21</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9.9999999999999995E-21</v>
      </c>
      <c r="L114" s="551">
        <f t="shared" si="9"/>
        <v>9.9999999999999995E-21</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9.9999999999999995E-21</v>
      </c>
      <c r="L115" s="551">
        <f t="shared" si="9"/>
        <v>9.9999999999999995E-21</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9.9999999999999995E-21</v>
      </c>
      <c r="L116" s="551">
        <f t="shared" si="9"/>
        <v>9.9999999999999995E-21</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9.9999999999999995E-21</v>
      </c>
      <c r="L117" s="551">
        <f t="shared" si="9"/>
        <v>9.9999999999999995E-21</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9.9999999999999995E-21</v>
      </c>
      <c r="L118" s="551">
        <f t="shared" si="9"/>
        <v>9.9999999999999995E-21</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9.9999999999999995E-21</v>
      </c>
      <c r="L119" s="551">
        <f t="shared" si="9"/>
        <v>9.9999999999999995E-21</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9.9999999999999995E-21</v>
      </c>
      <c r="L120" s="551">
        <f t="shared" si="9"/>
        <v>9.9999999999999995E-21</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9.9999999999999995E-21</v>
      </c>
      <c r="L121" s="551">
        <f t="shared" si="9"/>
        <v>9.9999999999999995E-21</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9.9999999999999995E-21</v>
      </c>
      <c r="L122" s="551">
        <f t="shared" si="9"/>
        <v>9.9999999999999995E-21</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9.9999999999999995E-21</v>
      </c>
      <c r="L123" s="423">
        <f t="shared" si="9"/>
        <v>9.9999999999999995E-21</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33" transitionEvaluation="1" transitionEntry="1" codeName="Sheet2"/>
  <dimension ref="A1:S584"/>
  <sheetViews>
    <sheetView topLeftCell="A133" zoomScaleNormal="100" workbookViewId="0">
      <selection activeCell="K167" sqref="K167"/>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v>2.7380210828941064E-2</v>
      </c>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7.7287418595676066E-9</v>
      </c>
      <c r="L153" s="298">
        <f t="shared" si="7"/>
        <v>7.7287418595676066E-9</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2.3070419161676658E-10</v>
      </c>
      <c r="L159" s="298">
        <f t="shared" si="7"/>
        <v>2.3070419161676658E-10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1003">
        <v>6.3399999999999996E-11</v>
      </c>
      <c r="L166" s="298">
        <f t="shared" si="7"/>
        <v>6.3399999999999996E-11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2.1133333333373945E-9</v>
      </c>
      <c r="L200" s="298">
        <f t="shared" si="11"/>
        <v>2.1133333333373945E-9</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3.4773646268467127E-3</v>
      </c>
      <c r="L381" s="298">
        <f t="shared" si="21"/>
        <v>3.4773646268467127E-3</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1.5269605445549105E-6</v>
      </c>
      <c r="L382" s="298">
        <f t="shared" si="21"/>
        <v>1.5269605445549105E-6</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18936.747269026804</v>
      </c>
      <c r="L383" s="298">
        <f t="shared" si="21"/>
        <v>18936.747269026804</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7.3814616423214321E-8</v>
      </c>
      <c r="L422" s="298">
        <f t="shared" si="22"/>
        <v>7.3814616423214321E-8</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2.7458346350807292E-4</v>
      </c>
      <c r="L423" s="298">
        <f t="shared" si="22"/>
        <v>2.7458346350807292E-4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3588.2456859546251</v>
      </c>
      <c r="L424" s="298">
        <f t="shared" si="22"/>
        <v>3588.2456859546251</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1.8730663904199325E-5</v>
      </c>
      <c r="L427" s="298">
        <f t="shared" si="22"/>
        <v>1.8730663904199325E-5</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1002">
        <f>(L429*L20*L16)/(L5)</f>
        <v>1.6403248094047621E-7</v>
      </c>
      <c r="L428" s="298">
        <f t="shared" ref="L428:L459" si="23">IF(ISBLANK(I428),IF(ISNUMBER(J428)=FALSE,K428,J428),I428)</f>
        <v>1.6403248094047621E-7</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1002">
        <f>1/(L402+L430)+L382</f>
        <v>2.7458346350807292E-4</v>
      </c>
      <c r="L429" s="298">
        <f t="shared" si="23"/>
        <v>2.7458346350807292E-4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1002">
        <f>1/(L404*(L431+L432+L433))</f>
        <v>3588.2456859546251</v>
      </c>
      <c r="L430" s="298">
        <f t="shared" si="23"/>
        <v>3588.2456859546251</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1002">
        <f>L383^(-2/3)</f>
        <v>1.4075475589468128E-3</v>
      </c>
      <c r="L431" s="298">
        <f t="shared" si="23"/>
        <v>1.4075475589468128E-3</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1002">
        <f>0.3*(L409*(L364/(L364+L407))+(1-L409)*(L364/(L364+L408)))</f>
        <v>4.0499237605021189E-5</v>
      </c>
      <c r="L432" s="298">
        <f t="shared" si="23"/>
        <v>4.0499237605021189E-5</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1002">
        <f>(L381/(L381+0.8))^2</f>
        <v>1.8730663904199325E-5</v>
      </c>
      <c r="L433" s="298">
        <f t="shared" si="23"/>
        <v>1.8730663904199325E-5</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2.7338746823412708E-8</v>
      </c>
      <c r="L434" s="298">
        <f t="shared" si="23"/>
        <v>2.7338746823412708E-8</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2.7458346350807292E-4</v>
      </c>
      <c r="L435" s="298">
        <f t="shared" si="23"/>
        <v>2.7458346350807292E-4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3588.2456859546251</v>
      </c>
      <c r="L436" s="298">
        <f t="shared" si="23"/>
        <v>3588.2456859546251</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1.8730663904199325E-5</v>
      </c>
      <c r="L439" s="298">
        <f t="shared" si="23"/>
        <v>1.8730663904199325E-5</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3.1219414203386715E-9</v>
      </c>
      <c r="L456" s="298">
        <f t="shared" si="23"/>
        <v>3.1219414203386715E-9</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1.254239623495509E-3</v>
      </c>
      <c r="L457" s="298">
        <f t="shared" si="23"/>
        <v>1.254239623495509E-3</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3.4341355623725383E-8</v>
      </c>
      <c r="L461" s="298">
        <f t="shared" si="24"/>
        <v>3.4341355623725383E-8</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1.254239623495509E-3</v>
      </c>
      <c r="L462" s="298">
        <f t="shared" si="24"/>
        <v>1.254239623495509E-3</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5.0760510616129747E-9</v>
      </c>
      <c r="L463" s="298">
        <f t="shared" si="24"/>
        <v>5.0760510616129747E-9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1.1653086926217769E-3</v>
      </c>
      <c r="L464" s="298">
        <f t="shared" si="24"/>
        <v>1.1653086926217769E-3</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7.6901397205588871E-9</v>
      </c>
      <c r="L497" s="298">
        <f t="shared" si="25"/>
        <v>7.6901397205588871E-9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7.6901397205588871E-9</v>
      </c>
      <c r="L500" s="298">
        <f t="shared" si="25"/>
        <v>7.6901397205588871E-9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7.6901397205588871E-9</v>
      </c>
      <c r="L503" s="680">
        <f t="shared" si="25"/>
        <v>7.6901397205588871E-9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3.663258818381463E-10</v>
      </c>
      <c r="L524" s="298">
        <f t="shared" ref="L524:L559" si="26">IF(ISBLANK(I524),IF(ISNUMBER(J524)=FALSE,K524,J524),I524)</f>
        <v>3.663258818381463E-10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3.663258818381463E-10</v>
      </c>
      <c r="L525" s="298">
        <f t="shared" si="26"/>
        <v>3.663258818381463E-10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3.663258818381463E-10</v>
      </c>
      <c r="L526" s="298">
        <f t="shared" si="26"/>
        <v>3.663258818381463E-10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9.9999999999999995E-21</v>
      </c>
      <c r="L527" s="298">
        <f t="shared" si="26"/>
        <v>9.9999999999999995E-21</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9.9999999999999995E-21</v>
      </c>
      <c r="L528" s="298">
        <f t="shared" si="26"/>
        <v>9.9999999999999995E-21</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9.9999999999999995E-21</v>
      </c>
      <c r="L529" s="298">
        <f t="shared" si="26"/>
        <v>9.9999999999999995E-21</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9.9999999999999995E-21</v>
      </c>
      <c r="L530" s="298">
        <f t="shared" si="26"/>
        <v>9.9999999999999995E-21</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9.9999999999999995E-21</v>
      </c>
      <c r="L531" s="298">
        <f t="shared" si="26"/>
        <v>9.9999999999999995E-21</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9.9999999999999995E-21</v>
      </c>
      <c r="L532" s="298">
        <f t="shared" si="26"/>
        <v>9.9999999999999995E-21</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9.9999999999999995E-21</v>
      </c>
      <c r="L533" s="298">
        <f t="shared" si="26"/>
        <v>9.9999999999999995E-21</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9.9999999999999995E-21</v>
      </c>
      <c r="L534" s="298">
        <f t="shared" si="26"/>
        <v>9.9999999999999995E-21</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9.9999999999999995E-21</v>
      </c>
      <c r="L535" s="298">
        <f t="shared" si="26"/>
        <v>9.9999999999999995E-21</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2.8953682563942401E-9</v>
      </c>
      <c r="L536" s="298">
        <f t="shared" si="26"/>
        <v>2.8953682563942401E-9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2.8953682563942401E-9</v>
      </c>
      <c r="L537" s="298">
        <f t="shared" si="26"/>
        <v>2.8953682563942401E-9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2.8953682563942401E-9</v>
      </c>
      <c r="L538" s="298">
        <f t="shared" si="26"/>
        <v>2.8953682563942401E-9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2.8953682563942401E-9</v>
      </c>
      <c r="L539" s="298">
        <f t="shared" si="26"/>
        <v>2.8953682563942401E-9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2.8953682563942401E-9</v>
      </c>
      <c r="L540" s="298">
        <f t="shared" si="26"/>
        <v>2.8953682563942401E-9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2.8953682563942401E-9</v>
      </c>
      <c r="L541" s="298">
        <f t="shared" si="26"/>
        <v>2.8953682563942401E-9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2.1133333333433333E-9</v>
      </c>
      <c r="L542" s="298">
        <f t="shared" si="26"/>
        <v>2.1133333333433333E-9</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2.1133333333433333E-9</v>
      </c>
      <c r="L543" s="298">
        <f t="shared" si="26"/>
        <v>2.1133333333433333E-9</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2.1133333333433333E-9</v>
      </c>
      <c r="L544" s="298">
        <f t="shared" si="26"/>
        <v>2.1133333333433333E-9</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9.5027244250711473E-10</v>
      </c>
      <c r="L545" s="298">
        <f t="shared" si="26"/>
        <v>9.5027244250711473E-10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9.5027244250711473E-10</v>
      </c>
      <c r="L546" s="298">
        <f t="shared" si="26"/>
        <v>9.5027244250711473E-10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9.9999999999999995E-21</v>
      </c>
      <c r="L547" s="298">
        <f t="shared" si="26"/>
        <v>9.9999999999999995E-21</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4.3242549834905347E-10</v>
      </c>
      <c r="L548" s="298">
        <f t="shared" si="26"/>
        <v>4.3242549834905347E-10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4.3242549834905347E-10</v>
      </c>
      <c r="L549" s="298">
        <f t="shared" si="26"/>
        <v>4.3242549834905347E-10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9.9999999999999995E-21</v>
      </c>
      <c r="L550" s="298">
        <f t="shared" si="26"/>
        <v>9.9999999999999995E-21</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9.5027244250711473E-10</v>
      </c>
      <c r="L551" s="298">
        <f t="shared" si="26"/>
        <v>9.5027244250711473E-10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9.5027244250711473E-10</v>
      </c>
      <c r="L552" s="298">
        <f t="shared" si="26"/>
        <v>9.5027244250711473E-10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9.9999999999999995E-21</v>
      </c>
      <c r="L553" s="298">
        <f t="shared" si="26"/>
        <v>9.9999999999999995E-21</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2.1133333333333331E-9</v>
      </c>
      <c r="L559" s="298">
        <f t="shared" si="26"/>
        <v>2.1133333333333331E-9</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150" transitionEvaluation="1" transitionEntry="1" codeName="Sheet3"/>
  <dimension ref="A1:U565"/>
  <sheetViews>
    <sheetView topLeftCell="A150" zoomScaleNormal="100" workbookViewId="0">
      <selection activeCell="K170" sqref="K170"/>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v>742682000000000</v>
      </c>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c r="K389" s="620">
        <f>DYNVISC.a/(Rho.a*L385)</f>
        <v>18936.747269026804</v>
      </c>
      <c r="L389" s="550">
        <f t="shared" si="19"/>
        <v>18936.747269026804</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1002">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1002">
        <f>1/(L408+L436)+L388</f>
        <v>2.7458346350807292E-4</v>
      </c>
      <c r="L435" s="550">
        <f t="shared" si="21"/>
        <v>2.7458346350807292E-4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1002">
        <f>1/(L410*(L437+L438+L439))</f>
        <v>3588.2456859546251</v>
      </c>
      <c r="L436" s="550">
        <f t="shared" si="21"/>
        <v>3588.2456859546251</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1002">
        <f>L389^(-2/3)</f>
        <v>1.4075475589468128E-3</v>
      </c>
      <c r="L437" s="550">
        <f t="shared" si="21"/>
        <v>1.4075475589468128E-3</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1002">
        <f>0.3*(L415*(L370/(L370+L413))+(1-L415)*(L370/(L370+L414)))</f>
        <v>4.0499237605021189E-5</v>
      </c>
      <c r="L438" s="550">
        <f t="shared" si="21"/>
        <v>4.0499237605021189E-5</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1002">
        <f>(L387/(L387+0.8))^2</f>
        <v>1.8730663904199339E-5</v>
      </c>
      <c r="L439" s="550">
        <f t="shared" si="21"/>
        <v>1.8730663904199339E-5</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3.663258818381463E-10</v>
      </c>
      <c r="L530" s="298">
        <f t="shared" ref="L530:L565" si="25">IF(ISBLANK(I530),IF(ISNUMBER(J530)=FALSE,K530,J530),I530)</f>
        <v>3.663258818381463E-10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3.663258818381463E-10</v>
      </c>
      <c r="L531" s="298">
        <f t="shared" si="25"/>
        <v>3.663258818381463E-10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3.663258818381463E-10</v>
      </c>
      <c r="L532" s="298">
        <f t="shared" si="25"/>
        <v>3.663258818381463E-10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9.9999999999999995E-21</v>
      </c>
      <c r="L533" s="298">
        <f t="shared" si="25"/>
        <v>9.9999999999999995E-21</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9.9999999999999995E-21</v>
      </c>
      <c r="L534" s="298">
        <f t="shared" si="25"/>
        <v>9.9999999999999995E-21</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9.9999999999999995E-21</v>
      </c>
      <c r="L535" s="298">
        <f t="shared" si="25"/>
        <v>9.9999999999999995E-21</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9.9999999999999995E-21</v>
      </c>
      <c r="L536" s="298">
        <f t="shared" si="25"/>
        <v>9.9999999999999995E-21</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9.9999999999999995E-21</v>
      </c>
      <c r="L537" s="298">
        <f t="shared" si="25"/>
        <v>9.9999999999999995E-21</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9.9999999999999995E-21</v>
      </c>
      <c r="L538" s="298">
        <f t="shared" si="25"/>
        <v>9.9999999999999995E-21</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9.9999999999999995E-21</v>
      </c>
      <c r="L539" s="298">
        <f t="shared" si="25"/>
        <v>9.9999999999999995E-21</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9.9999999999999995E-21</v>
      </c>
      <c r="L540" s="298">
        <f t="shared" si="25"/>
        <v>9.9999999999999995E-21</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9.9999999999999995E-21</v>
      </c>
      <c r="L541" s="298">
        <f t="shared" si="25"/>
        <v>9.9999999999999995E-21</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2.8742283951635596E-9</v>
      </c>
      <c r="L542" s="298">
        <f t="shared" si="25"/>
        <v>2.8742283951635596E-9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2.8742283951635596E-9</v>
      </c>
      <c r="L543" s="298">
        <f t="shared" si="25"/>
        <v>2.8742283951635596E-9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2.8742283951635596E-9</v>
      </c>
      <c r="L544" s="298">
        <f t="shared" si="25"/>
        <v>2.8742283951635596E-9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2.8742283951635596E-9</v>
      </c>
      <c r="L545" s="298">
        <f t="shared" si="25"/>
        <v>2.8742283951635596E-9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2.8742283951635596E-9</v>
      </c>
      <c r="L546" s="298">
        <f t="shared" si="25"/>
        <v>2.8742283951635596E-9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2.8742283951635596E-9</v>
      </c>
      <c r="L547" s="298">
        <f t="shared" si="25"/>
        <v>2.8742283951635596E-9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9.1333333334333338E-10</v>
      </c>
      <c r="L548" s="298">
        <f t="shared" si="25"/>
        <v>9.1333333334333338E-10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9.1333333334333338E-10</v>
      </c>
      <c r="L549" s="298">
        <f t="shared" si="25"/>
        <v>9.1333333334333338E-10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9.1333333334333338E-10</v>
      </c>
      <c r="L550" s="298">
        <f t="shared" si="25"/>
        <v>9.1333333334333338E-10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9.5027244250711473E-10</v>
      </c>
      <c r="L551" s="298">
        <f t="shared" si="25"/>
        <v>9.5027244250711473E-10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9.5027244250711473E-10</v>
      </c>
      <c r="L552" s="298">
        <f t="shared" si="25"/>
        <v>9.5027244250711473E-10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9.9999999999999995E-21</v>
      </c>
      <c r="L553" s="298">
        <f t="shared" si="25"/>
        <v>9.9999999999999995E-21</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4.3242549834905347E-10</v>
      </c>
      <c r="L554" s="298">
        <f t="shared" si="25"/>
        <v>4.3242549834905347E-10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4.3242549834905347E-10</v>
      </c>
      <c r="L555" s="298">
        <f t="shared" si="25"/>
        <v>4.3242549834905347E-10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9.9999999999999995E-21</v>
      </c>
      <c r="L556" s="298">
        <f t="shared" si="25"/>
        <v>9.9999999999999995E-21</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9.5027244250711473E-10</v>
      </c>
      <c r="L557" s="298">
        <f t="shared" si="25"/>
        <v>9.5027244250711473E-10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9.5027244250711473E-10</v>
      </c>
      <c r="L558" s="298">
        <f t="shared" si="25"/>
        <v>9.5027244250711473E-10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9.9999999999999995E-21</v>
      </c>
      <c r="L559" s="298">
        <f t="shared" si="25"/>
        <v>9.9999999999999995E-21</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F463" transitionEvaluation="1" transitionEntry="1" codeName="Sheet4"/>
  <dimension ref="A1:U972"/>
  <sheetViews>
    <sheetView topLeftCell="F463" zoomScaleNormal="100" workbookViewId="0">
      <selection activeCell="K473" sqref="K473"/>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3.663258818381463E-10</v>
      </c>
      <c r="L312" s="298">
        <f t="shared" ref="L312:L328" si="17">IF(ISBLANK(I312),IF(ISNUMBER(J312)=FALSE,K312,J312),I312)</f>
        <v>3.663258818381463E-10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3.663258818381463E-10</v>
      </c>
      <c r="L313" s="298">
        <f t="shared" si="17"/>
        <v>3.663258818381463E-10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3.663258818381463E-10</v>
      </c>
      <c r="L314" s="298">
        <f t="shared" si="17"/>
        <v>3.663258818381463E-10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9.9999999999999995E-21</v>
      </c>
      <c r="L315" s="298">
        <f t="shared" si="17"/>
        <v>9.9999999999999995E-21</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9.9999999999999995E-21</v>
      </c>
      <c r="L316" s="298">
        <f t="shared" si="17"/>
        <v>9.9999999999999995E-21</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9.9999999999999995E-21</v>
      </c>
      <c r="L317" s="298">
        <f t="shared" si="17"/>
        <v>9.9999999999999995E-21</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9.9999999999999995E-21</v>
      </c>
      <c r="L318" s="298">
        <f t="shared" si="17"/>
        <v>9.9999999999999995E-21</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9.9999999999999995E-21</v>
      </c>
      <c r="L319" s="298">
        <f t="shared" si="17"/>
        <v>9.9999999999999995E-21</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9.9999999999999995E-21</v>
      </c>
      <c r="L320" s="298">
        <f t="shared" si="17"/>
        <v>9.9999999999999995E-21</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2.9839343246561581E-12</v>
      </c>
      <c r="L321" s="298">
        <f t="shared" si="17"/>
        <v>2.9839343246561581E-12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2.9839343246561581E-12</v>
      </c>
      <c r="L322" s="298">
        <f t="shared" si="17"/>
        <v>2.9839343246561581E-12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2.9839343246561581E-12</v>
      </c>
      <c r="L323" s="298">
        <f t="shared" si="17"/>
        <v>2.9839343246561581E-12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9.5027244250711473E-10</v>
      </c>
      <c r="L324" s="298">
        <f t="shared" si="17"/>
        <v>9.5027244250711473E-10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9.5027244250711473E-10</v>
      </c>
      <c r="L325" s="298">
        <f t="shared" si="17"/>
        <v>9.5027244250711473E-10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9.9999999999999995E-21</v>
      </c>
      <c r="L326" s="298">
        <f t="shared" si="17"/>
        <v>9.9999999999999995E-21</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3.663258818381463E-10</v>
      </c>
      <c r="L633" s="298">
        <f t="shared" ref="L633:L649" si="40">IF(ISBLANK(I633),IF(ISNUMBER(J633)=FALSE,K633,J633),I633)</f>
        <v>3.663258818381463E-10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3.663258818381463E-10</v>
      </c>
      <c r="L634" s="298">
        <f t="shared" si="40"/>
        <v>3.663258818381463E-10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3.663258818381463E-10</v>
      </c>
      <c r="L635" s="298">
        <f t="shared" si="40"/>
        <v>3.663258818381463E-10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9.9999999999999995E-21</v>
      </c>
      <c r="L636" s="298">
        <f t="shared" si="40"/>
        <v>9.9999999999999995E-21</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9.9999999999999995E-21</v>
      </c>
      <c r="L637" s="298">
        <f t="shared" si="40"/>
        <v>9.9999999999999995E-21</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9.9999999999999995E-21</v>
      </c>
      <c r="L638" s="298">
        <f t="shared" si="40"/>
        <v>9.9999999999999995E-21</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9.9999999999999995E-21</v>
      </c>
      <c r="L639" s="298">
        <f t="shared" si="40"/>
        <v>9.9999999999999995E-21</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9.9999999999999995E-21</v>
      </c>
      <c r="L640" s="298">
        <f t="shared" si="40"/>
        <v>9.9999999999999995E-21</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9.9999999999999995E-21</v>
      </c>
      <c r="L641" s="298">
        <f t="shared" si="40"/>
        <v>9.9999999999999995E-21</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2.11398614225095E-12</v>
      </c>
      <c r="L642" s="298">
        <f t="shared" si="40"/>
        <v>2.11398614225095E-12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2.11398614225095E-12</v>
      </c>
      <c r="L643" s="298">
        <f t="shared" si="40"/>
        <v>2.11398614225095E-12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2.11398614225095E-12</v>
      </c>
      <c r="L644" s="298">
        <f t="shared" si="40"/>
        <v>2.11398614225095E-12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3.3938301518754098E-10</v>
      </c>
      <c r="L645" s="298">
        <f t="shared" si="40"/>
        <v>3.3938301518754098E-10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3.3938301518754098E-10</v>
      </c>
      <c r="L646" s="298">
        <f t="shared" si="40"/>
        <v>3.3938301518754098E-10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9.9999999999999995E-21</v>
      </c>
      <c r="L647" s="298">
        <f t="shared" si="40"/>
        <v>9.9999999999999995E-21</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3.663258818381463E-10</v>
      </c>
      <c r="L955" s="298">
        <f t="shared" ref="L955:L971" si="58">IF(ISBLANK(I955),IF(ISNUMBER(J955)=FALSE,K955,J955),I955)</f>
        <v>3.663258818381463E-10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3.663258818381463E-10</v>
      </c>
      <c r="L956" s="298">
        <f t="shared" si="58"/>
        <v>3.663258818381463E-10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3.663258818381463E-10</v>
      </c>
      <c r="L957" s="298">
        <f t="shared" si="58"/>
        <v>3.663258818381463E-10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9.9999999999999995E-21</v>
      </c>
      <c r="L958" s="298">
        <f t="shared" si="58"/>
        <v>9.9999999999999995E-21</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9.9999999999999995E-21</v>
      </c>
      <c r="L959" s="298">
        <f t="shared" si="58"/>
        <v>9.9999999999999995E-21</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9.9999999999999995E-21</v>
      </c>
      <c r="L960" s="298">
        <f t="shared" si="58"/>
        <v>9.9999999999999995E-21</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9.9999999999999995E-21</v>
      </c>
      <c r="L961" s="298">
        <f t="shared" si="58"/>
        <v>9.9999999999999995E-21</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9.9999999999999995E-21</v>
      </c>
      <c r="L962" s="298">
        <f t="shared" si="58"/>
        <v>9.9999999999999995E-21</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9.9999999999999995E-21</v>
      </c>
      <c r="L963" s="298">
        <f t="shared" si="58"/>
        <v>9.9999999999999995E-21</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1.2683916893505896E-12</v>
      </c>
      <c r="L964" s="298">
        <f t="shared" si="58"/>
        <v>1.2683916893505896E-12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1.2683916893505896E-12</v>
      </c>
      <c r="L965" s="298">
        <f t="shared" si="58"/>
        <v>1.2683916893505896E-12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1.2683916893505896E-12</v>
      </c>
      <c r="L966" s="298">
        <f t="shared" si="58"/>
        <v>1.2683916893505896E-12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1.7647916789332132E-9</v>
      </c>
      <c r="L967" s="298">
        <f t="shared" si="58"/>
        <v>1.7647916789332132E-9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1.7647916789332132E-9</v>
      </c>
      <c r="L968" s="298">
        <f t="shared" si="58"/>
        <v>1.7647916789332132E-9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9.9999999999999995E-21</v>
      </c>
      <c r="L969" s="298">
        <f t="shared" si="58"/>
        <v>9.9999999999999995E-21</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-5.2829935429202717E-5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3.8851272047932112E-5</v>
      </c>
      <c r="F11" s="189">
        <f>-SUM(F$9:F10,F12:F$163)-k.aRA</f>
        <v>-9.9030752395874806E-6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3.1219414203386715E-9</v>
      </c>
      <c r="G18" s="184">
        <v>0</v>
      </c>
      <c r="H18" s="185">
        <v>0</v>
      </c>
      <c r="I18" s="185">
        <f>k.cwRA.w0RA</f>
        <v>1.8416810158380553E-7</v>
      </c>
      <c r="J18" s="185">
        <v>0</v>
      </c>
      <c r="K18" s="370">
        <v>0</v>
      </c>
      <c r="L18" s="184">
        <f>k.w0RS.w0RA</f>
        <v>5.250453258991406E-4</v>
      </c>
      <c r="M18" s="189">
        <f>-SUM(M$9:M17,M19:M$163)-k.w0RA</f>
        <v>-1.3488792649156621E-7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-4.285014600506403E-7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3.4341355623725383E-8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-2.209997913125723E-7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-1.0008117576615043E-5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7.7287418595676066E-9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7.6901397205588871E-9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5.0760510616129747E-9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-1.3174761114230639E-5</v>
      </c>
      <c r="V26" s="364">
        <v>0</v>
      </c>
      <c r="W26" s="184">
        <v>0</v>
      </c>
      <c r="X26" s="184">
        <v>0</v>
      </c>
      <c r="Y26" s="184">
        <v>0</v>
      </c>
      <c r="Z26" s="184">
        <v>0</v>
      </c>
      <c r="AA26" s="190">
        <v>0</v>
      </c>
      <c r="AB26" s="190">
        <v>0</v>
      </c>
      <c r="AC26" s="190">
        <v>0</v>
      </c>
      <c r="AD26" s="190">
        <v>0</v>
      </c>
      <c r="AE26" s="185">
        <v>0</v>
      </c>
      <c r="AF26" s="185">
        <v>0</v>
      </c>
      <c r="AG26" s="185">
        <f>k.sd2RA.w2RA</f>
        <v>7.6901397205588871E-9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-1.6110896449821381E-5</v>
      </c>
      <c r="W27" s="184">
        <v>0</v>
      </c>
      <c r="X27" s="184">
        <v>0</v>
      </c>
      <c r="Y27" s="184">
        <v>0</v>
      </c>
      <c r="Z27" s="184">
        <v>0</v>
      </c>
      <c r="AA27" s="190">
        <v>0</v>
      </c>
      <c r="AB27" s="190">
        <v>0</v>
      </c>
      <c r="AC27" s="190">
        <v>0</v>
      </c>
      <c r="AD27" s="190">
        <v>0</v>
      </c>
      <c r="AE27" s="185">
        <v>0</v>
      </c>
      <c r="AF27" s="185">
        <v>0</v>
      </c>
      <c r="AG27" s="185">
        <v>0</v>
      </c>
      <c r="AH27" s="184">
        <f>k.sd2RP.w2RP</f>
        <v>7.6901397205588871E-9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-7.9198064291252229E-3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-1.3489536825639423E-7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-1.3489536825639423E-7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-9.1241029038128738E-3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-1.6141041916168665E-7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-1.6141041916168665E-7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-9.8420751929050011E-9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-1.3577110855306829E-2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-1.1809803473053903E-5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-1.1809803473053903E-5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7.3814616423214321E-8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-5.0120022335168159E-6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-4.8700241770746159E-6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1.6403248094047621E-7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-4.9346148162521512E-6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-4.8700110018801735E-6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2.7338746823412708E-8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-5.0120022335168159E-6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-4.8700241770746159E-6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-4.5631383940278222E-5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-2.6056379266358734E-6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-1.3488792649156621E-7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-4.285014600506403E-7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-2.2099979131257233E-7</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-1.0008117576615043E-5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-1.1831953280622858E-5</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-1.1978760047402395E-5</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-7.9198064079853622E-3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-1.3487422839516355E-7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-1.3487422839516355E-7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-9.1241029038128738E-3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-1.6141041916168665E-7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-1.6141041916168665E-7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-1.3577110855306829E-2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-1.1809803473053903E-5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-1.1809803473053903E-5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-5.0120022335168159E-6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-4.8700241770746159E-6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-4.9346148162521512E-6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-4.8700110018801735E-6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-5.0120022335168159E-6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-4.8700241770746159E-6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-4.5054695685952197E-5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-2.0597243944863012E-6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-3.0290546628252472E-3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-1.2094345076822959E-5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-1.2387958610382034E-5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1.1800000000000001E-5</v>
      </c>
      <c r="CY106" s="379">
        <f>kdis.w3A.w3D</f>
        <v>1.1800000000000001E-5</v>
      </c>
      <c r="CZ106" s="379">
        <f>kdis.w3P.w3D</f>
        <v>1.1800000000000001E-5</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-3.0287703962861498E-3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-1.1809609223027013E-5</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-1.1819396340812315E-5</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-1.3577110855306829E-2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-1.1809803473053903E-5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-1.1809803473053903E-5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-5.0120022335168159E-6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-4.8700241770746159E-6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-4.3338052032565225E-5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-1.5815622518261383E-6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-2.8117535131264698E-5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-2.7979202172601849E-3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-1.206975190606707E-5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-1.2363365439626144E-5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1.1800000000000001E-5</v>
      </c>
      <c r="DV129" s="379">
        <f>kdis.w3A.w3D</f>
        <v>1.1800000000000001E-5</v>
      </c>
      <c r="DW129" s="379">
        <f>kdis.w3P.w3D</f>
        <v>1.1800000000000001E-5</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-2.7976618871833323E-3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-1.1810952514515971E-5</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-1.1820739632301273E-5</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-1.2723905244654917E-2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-1.1809803473053903E-5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-1.1809803473053903E-5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-4.9207273143186342E-6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-4.8700241770746159E-6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-4.5353760247864253E-5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-1.5485282038561985E-6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-1.388091889769604E-4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-3.1655697723489114E-3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-1.2044541822033456E-5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-1.2338155355592531E-5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1.1800000000000001E-5</v>
      </c>
      <c r="ES152" s="379">
        <f>kdis.w3A.w3D</f>
        <v>1.1800000000000001E-5</v>
      </c>
      <c r="ET152" s="379">
        <f>kdis.w3P.w3D</f>
        <v>1.1800000000000001E-5</v>
      </c>
      <c r="EU152" s="190">
        <f>k.sdT.w3T</f>
        <v>9.8399612067686899E-9</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-3.1653332910115549E-3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-1.1807591169978156E-5</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-1.1817378287763458E-5</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-1.4076421501660935E-2</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-1.180980262745945E-5</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-1.180980262745945E-5</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-3.2222180661004379E-2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-5.1337021257810572E-6</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-4.8700241770746159E-6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932046750024.40393</v>
      </c>
      <c r="D168" s="185">
        <f t="array" ref="D168:FB168">TRANSPOSE(MMULT(MINVERSE(D9:FB163),-TRANSPOSE(D5:FB5)))</f>
        <v>8.2967080792271E-14</v>
      </c>
      <c r="E168" s="185">
        <v>55708.665958978076</v>
      </c>
      <c r="F168" s="185">
        <v>252848.18793482039</v>
      </c>
      <c r="G168" s="185">
        <v>101.56336386270428</v>
      </c>
      <c r="H168" s="185">
        <v>730.27313267632417</v>
      </c>
      <c r="I168" s="185">
        <v>597.49293362760841</v>
      </c>
      <c r="J168" s="185">
        <v>101.56333339369509</v>
      </c>
      <c r="K168" s="185">
        <v>17446867.851779647</v>
      </c>
      <c r="L168" s="185">
        <v>1.8737264467094701</v>
      </c>
      <c r="M168" s="185">
        <v>35425.156662527326</v>
      </c>
      <c r="N168" s="185">
        <v>61.60747602921726</v>
      </c>
      <c r="O168" s="185">
        <v>8015333.818495566</v>
      </c>
      <c r="P168" s="185">
        <v>2075.1213747503302</v>
      </c>
      <c r="Q168" s="185">
        <v>10968857.660786919</v>
      </c>
      <c r="R168" s="185">
        <v>71150.684509240658</v>
      </c>
      <c r="S168" s="185">
        <v>835813.42833642242</v>
      </c>
      <c r="T168" s="185">
        <v>0.4865710532064868</v>
      </c>
      <c r="U168" s="185">
        <v>60702.889150886156</v>
      </c>
      <c r="V168" s="185">
        <v>324.39793356761959</v>
      </c>
      <c r="W168" s="185">
        <v>80729939.620296046</v>
      </c>
      <c r="X168" s="185">
        <v>1.2227436793841571E-9</v>
      </c>
      <c r="Y168" s="185">
        <v>128.8548979516228</v>
      </c>
      <c r="Z168" s="185">
        <v>134.31911022479684</v>
      </c>
      <c r="AA168" s="185">
        <v>1593436582.7520051</v>
      </c>
      <c r="AB168" s="185">
        <v>3.9181032942974157E-5</v>
      </c>
      <c r="AC168" s="185">
        <v>1111462.8529674085</v>
      </c>
      <c r="AD168" s="185">
        <v>4321431.7296707351</v>
      </c>
      <c r="AE168" s="185">
        <v>80742052.46683234</v>
      </c>
      <c r="AF168" s="185">
        <v>1.8521779575446239E-9</v>
      </c>
      <c r="AG168" s="185">
        <v>25.220451959933349</v>
      </c>
      <c r="AH168" s="185">
        <v>80.786099694672174</v>
      </c>
      <c r="AI168" s="185">
        <v>3256153792.6552334</v>
      </c>
      <c r="AJ168" s="185">
        <v>2.0896587963930888</v>
      </c>
      <c r="AK168" s="185">
        <v>15988.538026338485</v>
      </c>
      <c r="AL168" s="185">
        <v>3505.4471123602875</v>
      </c>
      <c r="AM168" s="185">
        <v>235422208435.30707</v>
      </c>
      <c r="AN168" s="185">
        <v>159.50950431699442</v>
      </c>
      <c r="AO168" s="185">
        <v>493160.26380015013</v>
      </c>
      <c r="AP168" s="185">
        <v>148115.53494864661</v>
      </c>
      <c r="AQ168" s="185">
        <v>1205982204.8081207</v>
      </c>
      <c r="AR168" s="185">
        <v>1.3757336053522005</v>
      </c>
      <c r="AS168" s="185">
        <v>5921.2189004801885</v>
      </c>
      <c r="AT168" s="185">
        <v>1298.1697298158483</v>
      </c>
      <c r="AU168" s="185">
        <v>3.2594689260466112E-13</v>
      </c>
      <c r="AV168" s="185">
        <v>11501.488396109784</v>
      </c>
      <c r="AW168" s="185">
        <v>1130604.1390241403</v>
      </c>
      <c r="AX168" s="185">
        <v>35.5366387563489</v>
      </c>
      <c r="AY168" s="185">
        <v>150.77058150436383</v>
      </c>
      <c r="AZ168" s="185">
        <v>2671.674214138282</v>
      </c>
      <c r="BA168" s="185">
        <v>35.53662809535728</v>
      </c>
      <c r="BB168" s="185">
        <v>1513991.2737430912</v>
      </c>
      <c r="BC168" s="185">
        <v>0.18797369703844677</v>
      </c>
      <c r="BD168" s="185">
        <v>18207.625218520214</v>
      </c>
      <c r="BE168" s="185">
        <v>9.2404734073203727</v>
      </c>
      <c r="BF168" s="185">
        <v>406309.76151591691</v>
      </c>
      <c r="BG168" s="185">
        <v>0.76939382727463634</v>
      </c>
      <c r="BH168" s="185">
        <v>122972.50566644868</v>
      </c>
      <c r="BI168" s="185">
        <v>30.606425656991824</v>
      </c>
      <c r="BJ168" s="185">
        <v>718730562.65737534</v>
      </c>
      <c r="BK168" s="185">
        <v>10.684107214949872</v>
      </c>
      <c r="BL168" s="185">
        <v>76542.437608392473</v>
      </c>
      <c r="BM168" s="185">
        <v>195.7612719377257</v>
      </c>
      <c r="BN168" s="185">
        <v>7059966.4185318062</v>
      </c>
      <c r="BO168" s="185">
        <v>1.2266659893784346E-10</v>
      </c>
      <c r="BP168" s="185">
        <v>66.238501100294485</v>
      </c>
      <c r="BQ168" s="185">
        <v>20.149608357578895</v>
      </c>
      <c r="BR168" s="185">
        <v>79603528.446619987</v>
      </c>
      <c r="BS168" s="185">
        <v>1.4527171884678549E-8</v>
      </c>
      <c r="BT168" s="185">
        <v>12460.669209577529</v>
      </c>
      <c r="BU168" s="185">
        <v>1858.9219883323269</v>
      </c>
      <c r="BV168" s="185">
        <v>3466115318.641674</v>
      </c>
      <c r="BW168" s="185">
        <v>2.0335023784466469E-9</v>
      </c>
      <c r="BX168" s="185">
        <v>1.5900693249716018</v>
      </c>
      <c r="BY168" s="185">
        <v>2.4375614465160655</v>
      </c>
      <c r="BZ168" s="185">
        <v>2443212610.1763549</v>
      </c>
      <c r="CA168" s="185">
        <v>0.20980834905053883</v>
      </c>
      <c r="CB168" s="185">
        <v>14247.13193213575</v>
      </c>
      <c r="CC168" s="185">
        <v>381.28418671356059</v>
      </c>
      <c r="CD168" s="185">
        <v>12113476205.075184</v>
      </c>
      <c r="CE168" s="185">
        <v>0.74591569179477291</v>
      </c>
      <c r="CF168" s="185">
        <v>32156.598756789415</v>
      </c>
      <c r="CG168" s="185">
        <v>847.23631102579986</v>
      </c>
      <c r="CH168" s="185">
        <v>904893490.91382909</v>
      </c>
      <c r="CI168" s="185">
        <v>0.13812800298809841</v>
      </c>
      <c r="CJ168" s="185">
        <v>5276.6691592190718</v>
      </c>
      <c r="CK168" s="185">
        <v>141.20190583772191</v>
      </c>
      <c r="CL168" s="185">
        <v>1.6177544357569868E-11</v>
      </c>
      <c r="CM168" s="185">
        <v>352.83286308096689</v>
      </c>
      <c r="CN168" s="185">
        <v>914148.69388122426</v>
      </c>
      <c r="CO168" s="185">
        <v>1.3572768142546305</v>
      </c>
      <c r="CP168" s="185">
        <v>4.6252114603323893</v>
      </c>
      <c r="CQ168" s="185">
        <v>2160.1791546939576</v>
      </c>
      <c r="CR168" s="185">
        <v>1.3572764070715864</v>
      </c>
      <c r="CS168" s="185">
        <v>3934332193.9822187</v>
      </c>
      <c r="CT168" s="185">
        <v>0.31779325308795398</v>
      </c>
      <c r="CU168" s="185">
        <v>51450.986775664926</v>
      </c>
      <c r="CV168" s="185">
        <v>5.8669219946822917</v>
      </c>
      <c r="CW168" s="185">
        <v>118034525839.2135</v>
      </c>
      <c r="CX168" s="185">
        <v>2.6138565645455672E-5</v>
      </c>
      <c r="CY168" s="185">
        <v>1087.5030592312348</v>
      </c>
      <c r="CZ168" s="185">
        <v>0.26975125602034344</v>
      </c>
      <c r="DA168" s="185">
        <v>37948454255.879311</v>
      </c>
      <c r="DB168" s="185">
        <v>3.3166293536030888E-16</v>
      </c>
      <c r="DC168" s="185">
        <v>1.5060962246608836E-3</v>
      </c>
      <c r="DD168" s="185">
        <v>2.2392406881162946E-4</v>
      </c>
      <c r="DE168" s="185">
        <v>6872546459.9111128</v>
      </c>
      <c r="DF168" s="185">
        <v>2.4616357796464285E-2</v>
      </c>
      <c r="DG168" s="185">
        <v>41102.247303020806</v>
      </c>
      <c r="DH168" s="185">
        <v>46.791780842787581</v>
      </c>
      <c r="DI168" s="185">
        <v>7.0456992370412317E-13</v>
      </c>
      <c r="DJ168" s="185">
        <v>3.0882237593459236</v>
      </c>
      <c r="DK168" s="185">
        <v>219324.10539185334</v>
      </c>
      <c r="DL168" s="185">
        <v>3.4067828503268956E-2</v>
      </c>
      <c r="DM168" s="185">
        <v>7.4249672856660717E-2</v>
      </c>
      <c r="DN168" s="185">
        <v>905.20868442692665</v>
      </c>
      <c r="DO168" s="185">
        <v>3.4067818282920409E-2</v>
      </c>
      <c r="DP168" s="185">
        <v>3154927382.5486879</v>
      </c>
      <c r="DQ168" s="185">
        <v>3.3478397599988998E-3</v>
      </c>
      <c r="DR168" s="185">
        <v>13663.864779903823</v>
      </c>
      <c r="DS168" s="185">
        <v>7.6390052105954162E-2</v>
      </c>
      <c r="DT168" s="185">
        <v>77673573691.543579</v>
      </c>
      <c r="DU168" s="185">
        <v>3.2221934723741465E-7</v>
      </c>
      <c r="DV168" s="185">
        <v>312.07088936137308</v>
      </c>
      <c r="DW168" s="185">
        <v>3.6419588836418115E-3</v>
      </c>
      <c r="DX168" s="185">
        <v>24972287024.229263</v>
      </c>
      <c r="DY168" s="185">
        <v>4.3626838219238736E-18</v>
      </c>
      <c r="DZ168" s="185">
        <v>4.3219077339992878E-4</v>
      </c>
      <c r="EA168" s="185">
        <v>3.0232380143162852E-6</v>
      </c>
      <c r="EB168" s="185">
        <v>1234087850.0559475</v>
      </c>
      <c r="EC168" s="185">
        <v>1.6547949300501396E-4</v>
      </c>
      <c r="ED168" s="185">
        <v>6577.1770394852019</v>
      </c>
      <c r="EE168" s="185">
        <v>0.30838990410026973</v>
      </c>
      <c r="EF168" s="185">
        <v>3.6096039057527371E-10</v>
      </c>
      <c r="EG168" s="185">
        <v>5.1112305861654486</v>
      </c>
      <c r="EH168" s="185">
        <v>387983.16556145146</v>
      </c>
      <c r="EI168" s="185">
        <v>1.2302272379780163E-2</v>
      </c>
      <c r="EJ168" s="185">
        <v>4.6501613042820383E-2</v>
      </c>
      <c r="EK168" s="185">
        <v>655.69523656725596</v>
      </c>
      <c r="EL168" s="185">
        <v>1.2302268689098452E-2</v>
      </c>
      <c r="EM168" s="185">
        <v>9068351045.63834</v>
      </c>
      <c r="EN168" s="185">
        <v>6.5261984373529616E-3</v>
      </c>
      <c r="EO168" s="185">
        <v>32265.955078310286</v>
      </c>
      <c r="EP168" s="185">
        <v>0.12321147254260678</v>
      </c>
      <c r="EQ168" s="185">
        <v>292113289370.10297</v>
      </c>
      <c r="ER168" s="185">
        <v>4.685477178222256E-7</v>
      </c>
      <c r="ES168" s="185">
        <v>622.43803871578177</v>
      </c>
      <c r="ET168" s="185">
        <v>5.4671592543885164E-3</v>
      </c>
      <c r="EU168" s="185">
        <v>93915299103.29921</v>
      </c>
      <c r="EV168" s="185">
        <v>5.7343489347125891E-18</v>
      </c>
      <c r="EW168" s="185">
        <v>8.6202207824588996E-4</v>
      </c>
      <c r="EX168" s="185">
        <v>4.5383611948978177E-6</v>
      </c>
      <c r="EY168" s="185">
        <v>1703847890.8363192</v>
      </c>
      <c r="EZ168" s="185">
        <v>2.2227064283308922E-4</v>
      </c>
      <c r="FA168" s="185">
        <v>11695.247545325788</v>
      </c>
      <c r="FB168" s="192">
        <v>0.44287080334744999</v>
      </c>
    </row>
    <row r="169" spans="2:160" ht="12.75" customHeight="1" x14ac:dyDescent="0.3">
      <c r="B169" s="188" t="s">
        <v>4111</v>
      </c>
      <c r="C169" s="336"/>
      <c r="D169" s="185">
        <f t="shared" ref="D169:AI169" si="0">D168*Molweight</f>
        <v>8.949659005062274E-15</v>
      </c>
      <c r="E169" s="185">
        <f t="shared" si="0"/>
        <v>6009.2937969949653</v>
      </c>
      <c r="F169" s="185">
        <f t="shared" si="0"/>
        <v>27274.734032529079</v>
      </c>
      <c r="G169" s="185">
        <f t="shared" si="0"/>
        <v>10.955640059869911</v>
      </c>
      <c r="H169" s="185">
        <f t="shared" si="0"/>
        <v>78.774562821795087</v>
      </c>
      <c r="I169" s="185">
        <f t="shared" si="0"/>
        <v>64.451562750410119</v>
      </c>
      <c r="J169" s="185">
        <f t="shared" si="0"/>
        <v>10.95563677317789</v>
      </c>
      <c r="K169" s="185">
        <f t="shared" si="0"/>
        <v>1881993.6351714707</v>
      </c>
      <c r="L169" s="185">
        <f t="shared" si="0"/>
        <v>0.20211887180655055</v>
      </c>
      <c r="M169" s="185">
        <f t="shared" si="0"/>
        <v>3821.3116491868232</v>
      </c>
      <c r="N169" s="185">
        <f t="shared" si="0"/>
        <v>6.6455984392716667</v>
      </c>
      <c r="O169" s="185">
        <f t="shared" si="0"/>
        <v>864614.05900111678</v>
      </c>
      <c r="P169" s="185">
        <f t="shared" si="0"/>
        <v>223.84334269431812</v>
      </c>
      <c r="Q169" s="185">
        <f t="shared" si="0"/>
        <v>1183210.6758690851</v>
      </c>
      <c r="R169" s="185">
        <f t="shared" si="0"/>
        <v>7675.02433801179</v>
      </c>
      <c r="S169" s="185">
        <f t="shared" si="0"/>
        <v>90159.194514649891</v>
      </c>
      <c r="T169" s="185">
        <f t="shared" si="0"/>
        <v>5.2486419509383736E-2</v>
      </c>
      <c r="U169" s="185">
        <f t="shared" si="0"/>
        <v>6548.02065270609</v>
      </c>
      <c r="V169" s="185">
        <f t="shared" si="0"/>
        <v>34.992805093939126</v>
      </c>
      <c r="W169" s="185">
        <f t="shared" si="0"/>
        <v>8708338.5868413355</v>
      </c>
      <c r="X169" s="185">
        <f t="shared" si="0"/>
        <v>1.3189736069516903E-10</v>
      </c>
      <c r="Y169" s="185">
        <f t="shared" si="0"/>
        <v>13.899577842041552</v>
      </c>
      <c r="Z169" s="185">
        <f t="shared" si="0"/>
        <v>14.489002419948836</v>
      </c>
      <c r="AA169" s="185">
        <f t="shared" si="0"/>
        <v>171884004.1814588</v>
      </c>
      <c r="AB169" s="185">
        <f t="shared" si="0"/>
        <v>4.2264580235586224E-6</v>
      </c>
      <c r="AC169" s="185">
        <f t="shared" si="0"/>
        <v>119893.49794959436</v>
      </c>
      <c r="AD169" s="185">
        <f t="shared" si="0"/>
        <v>466152.84067958221</v>
      </c>
      <c r="AE169" s="185">
        <f t="shared" si="0"/>
        <v>8709645.199597206</v>
      </c>
      <c r="AF169" s="185">
        <f t="shared" si="0"/>
        <v>1.9979443628033858E-10</v>
      </c>
      <c r="AG169" s="185">
        <f t="shared" si="0"/>
        <v>2.7205301529180108</v>
      </c>
      <c r="AH169" s="185">
        <f t="shared" si="0"/>
        <v>8.7143965740642884</v>
      </c>
      <c r="AI169" s="185">
        <f t="shared" si="0"/>
        <v>351241309.61372006</v>
      </c>
      <c r="AJ169" s="185">
        <f t="shared" ref="AJ169:BO169" si="1">AJ168*Molweight</f>
        <v>0.22541149436692251</v>
      </c>
      <c r="AK169" s="185">
        <f t="shared" si="1"/>
        <v>1724.6835969011324</v>
      </c>
      <c r="AL169" s="185">
        <f t="shared" si="1"/>
        <v>378.13258001030425</v>
      </c>
      <c r="AM169" s="185">
        <f t="shared" si="1"/>
        <v>25394993623.916576</v>
      </c>
      <c r="AN169" s="185">
        <f t="shared" si="1"/>
        <v>17.206290230674188</v>
      </c>
      <c r="AO169" s="185">
        <f t="shared" si="1"/>
        <v>53197.197656122196</v>
      </c>
      <c r="AP169" s="185">
        <f t="shared" si="1"/>
        <v>15977.222754910512</v>
      </c>
      <c r="AQ169" s="185">
        <f t="shared" si="1"/>
        <v>130089300.432652</v>
      </c>
      <c r="AR169" s="185">
        <f t="shared" si="1"/>
        <v>0.14840038400934188</v>
      </c>
      <c r="AS169" s="185">
        <f t="shared" si="1"/>
        <v>638.72188279479803</v>
      </c>
      <c r="AT169" s="185">
        <f t="shared" si="1"/>
        <v>140.03356875523556</v>
      </c>
      <c r="AU169" s="185">
        <f t="shared" si="1"/>
        <v>3.5159891305264797E-14</v>
      </c>
      <c r="AV169" s="185">
        <f t="shared" si="1"/>
        <v>1240.6655532883624</v>
      </c>
      <c r="AW169" s="185">
        <f t="shared" si="1"/>
        <v>121958.26847653402</v>
      </c>
      <c r="AX169" s="185">
        <f t="shared" si="1"/>
        <v>3.8333372226473559</v>
      </c>
      <c r="AY169" s="185">
        <f t="shared" si="1"/>
        <v>16.263622626875726</v>
      </c>
      <c r="AZ169" s="185">
        <f t="shared" si="1"/>
        <v>288.19349747909649</v>
      </c>
      <c r="BA169" s="185">
        <f t="shared" si="1"/>
        <v>3.83333607264619</v>
      </c>
      <c r="BB169" s="185">
        <f t="shared" si="1"/>
        <v>163314.23869866726</v>
      </c>
      <c r="BC169" s="185">
        <f t="shared" si="1"/>
        <v>2.0276722699537255E-2</v>
      </c>
      <c r="BD169" s="185">
        <f t="shared" si="1"/>
        <v>1964.0565323217756</v>
      </c>
      <c r="BE169" s="185">
        <f t="shared" si="1"/>
        <v>0.99676986644764864</v>
      </c>
      <c r="BF169" s="185">
        <f t="shared" si="1"/>
        <v>43828.633974721961</v>
      </c>
      <c r="BG169" s="185">
        <f t="shared" si="1"/>
        <v>8.2994512148115027E-2</v>
      </c>
      <c r="BH169" s="185">
        <f t="shared" si="1"/>
        <v>13265.04418623982</v>
      </c>
      <c r="BI169" s="185">
        <f t="shared" si="1"/>
        <v>3.3015151356197081</v>
      </c>
      <c r="BJ169" s="185">
        <f t="shared" si="1"/>
        <v>77529465.793851078</v>
      </c>
      <c r="BK169" s="185">
        <f t="shared" si="1"/>
        <v>1.1524946452766427</v>
      </c>
      <c r="BL169" s="185">
        <f t="shared" si="1"/>
        <v>8256.632744817296</v>
      </c>
      <c r="BM169" s="185">
        <f t="shared" si="1"/>
        <v>21.116768403922471</v>
      </c>
      <c r="BN169" s="185">
        <f t="shared" si="1"/>
        <v>761558.57756702602</v>
      </c>
      <c r="BO169" s="185">
        <f t="shared" si="1"/>
        <v>1.3232046027425176E-11</v>
      </c>
      <c r="BP169" s="185">
        <f t="shared" ref="BP169:CU169" si="2">BP168*Molweight</f>
        <v>7.1451471136887665</v>
      </c>
      <c r="BQ169" s="185">
        <f t="shared" si="2"/>
        <v>2.1735382535320356</v>
      </c>
      <c r="BR169" s="185">
        <f t="shared" si="2"/>
        <v>8586832.613536898</v>
      </c>
      <c r="BS169" s="185">
        <f t="shared" si="2"/>
        <v>1.5670460312002752E-9</v>
      </c>
      <c r="BT169" s="185">
        <f t="shared" si="2"/>
        <v>1344.1323876371282</v>
      </c>
      <c r="BU169" s="185">
        <f t="shared" si="2"/>
        <v>200.52191488140812</v>
      </c>
      <c r="BV169" s="185">
        <f t="shared" si="2"/>
        <v>373889859.42187738</v>
      </c>
      <c r="BW169" s="185">
        <f t="shared" si="2"/>
        <v>2.1935390156303981E-10</v>
      </c>
      <c r="BX169" s="185">
        <f t="shared" si="2"/>
        <v>0.17152077808468669</v>
      </c>
      <c r="BY169" s="185">
        <f t="shared" si="2"/>
        <v>0.26293975323568802</v>
      </c>
      <c r="BZ169" s="185">
        <f t="shared" si="2"/>
        <v>263549344.25972342</v>
      </c>
      <c r="CA169" s="185">
        <f t="shared" si="2"/>
        <v>2.2632026612081625E-2</v>
      </c>
      <c r="CB169" s="185">
        <f t="shared" si="2"/>
        <v>1536.8381215194834</v>
      </c>
      <c r="CC169" s="185">
        <f t="shared" si="2"/>
        <v>41.129125220791785</v>
      </c>
      <c r="CD169" s="185">
        <f t="shared" si="2"/>
        <v>1306680678.2414601</v>
      </c>
      <c r="CE169" s="185">
        <f t="shared" si="2"/>
        <v>8.046192567390216E-2</v>
      </c>
      <c r="CF169" s="185">
        <f t="shared" si="2"/>
        <v>3468.7323078948743</v>
      </c>
      <c r="CG169" s="185">
        <f t="shared" si="2"/>
        <v>91.391380870353032</v>
      </c>
      <c r="CH169" s="185">
        <f t="shared" si="2"/>
        <v>97610860.86487475</v>
      </c>
      <c r="CI169" s="185">
        <f t="shared" si="2"/>
        <v>1.4899867682326177E-2</v>
      </c>
      <c r="CJ169" s="185">
        <f t="shared" si="2"/>
        <v>569.19430220496133</v>
      </c>
      <c r="CK169" s="185">
        <f t="shared" si="2"/>
        <v>15.231449582715063</v>
      </c>
      <c r="CL169" s="185">
        <f t="shared" si="2"/>
        <v>1.7450717098510617E-12</v>
      </c>
      <c r="CM169" s="185">
        <f t="shared" si="2"/>
        <v>38.060080940543898</v>
      </c>
      <c r="CN169" s="185">
        <f t="shared" si="2"/>
        <v>98609.219608967673</v>
      </c>
      <c r="CO169" s="185">
        <f t="shared" si="2"/>
        <v>0.14640944995364702</v>
      </c>
      <c r="CP169" s="185">
        <f t="shared" si="2"/>
        <v>0.49892156022605488</v>
      </c>
      <c r="CQ169" s="185">
        <f t="shared" si="2"/>
        <v>233.01852541683721</v>
      </c>
      <c r="CR169" s="185">
        <f t="shared" si="2"/>
        <v>0.14640940603081204</v>
      </c>
      <c r="CS169" s="185">
        <f t="shared" si="2"/>
        <v>424396413.76486194</v>
      </c>
      <c r="CT169" s="185">
        <f t="shared" si="2"/>
        <v>3.4280358210597599E-2</v>
      </c>
      <c r="CU169" s="185">
        <f t="shared" si="2"/>
        <v>5550.017943490976</v>
      </c>
      <c r="CV169" s="185">
        <f t="shared" ref="CV169:EA169" si="3">CV168*Molweight</f>
        <v>0.63286487556637883</v>
      </c>
      <c r="CW169" s="185">
        <f t="shared" si="3"/>
        <v>12732384302.275961</v>
      </c>
      <c r="CX169" s="185">
        <f t="shared" si="3"/>
        <v>2.8195670761753037E-6</v>
      </c>
      <c r="CY169" s="185">
        <f t="shared" si="3"/>
        <v>117.30895499927331</v>
      </c>
      <c r="CZ169" s="185">
        <f t="shared" si="3"/>
        <v>2.9098067986914448E-2</v>
      </c>
      <c r="DA169" s="185">
        <f t="shared" si="3"/>
        <v>4093499760.5817018</v>
      </c>
      <c r="DB169" s="185">
        <f t="shared" si="3"/>
        <v>3.5776480837316524E-17</v>
      </c>
      <c r="DC169" s="185">
        <f t="shared" si="3"/>
        <v>1.6246259975416952E-4</v>
      </c>
      <c r="DD169" s="185">
        <f t="shared" si="3"/>
        <v>2.4154689302710471E-5</v>
      </c>
      <c r="DE169" s="185">
        <f t="shared" si="3"/>
        <v>741341586.63061178</v>
      </c>
      <c r="DF169" s="185">
        <f t="shared" si="3"/>
        <v>2.6553665155046027E-3</v>
      </c>
      <c r="DG169" s="185">
        <f t="shared" si="3"/>
        <v>4433.6994165768547</v>
      </c>
      <c r="DH169" s="185">
        <f t="shared" si="3"/>
        <v>5.0474293995114969</v>
      </c>
      <c r="DI169" s="185">
        <f t="shared" si="3"/>
        <v>7.6001957669963776E-14</v>
      </c>
      <c r="DJ169" s="185">
        <f t="shared" si="3"/>
        <v>0.33312669692064478</v>
      </c>
      <c r="DK169" s="185">
        <f t="shared" si="3"/>
        <v>23658.491248619222</v>
      </c>
      <c r="DL169" s="185">
        <f t="shared" si="3"/>
        <v>3.6748966606476225E-3</v>
      </c>
      <c r="DM169" s="185">
        <f t="shared" si="3"/>
        <v>8.0093122110479927E-3</v>
      </c>
      <c r="DN169" s="185">
        <f t="shared" si="3"/>
        <v>97.644860789132579</v>
      </c>
      <c r="DO169" s="185">
        <f t="shared" si="3"/>
        <v>3.6748955581786249E-3</v>
      </c>
      <c r="DP169" s="185">
        <f t="shared" si="3"/>
        <v>340322016.75552702</v>
      </c>
      <c r="DQ169" s="185">
        <f t="shared" si="3"/>
        <v>3.6113147491108132E-4</v>
      </c>
      <c r="DR169" s="185">
        <f t="shared" si="3"/>
        <v>1473.9210938082254</v>
      </c>
      <c r="DS169" s="185">
        <f t="shared" si="3"/>
        <v>8.2401949206692762E-3</v>
      </c>
      <c r="DT169" s="185">
        <f t="shared" si="3"/>
        <v>8378648394.1068068</v>
      </c>
      <c r="DU169" s="185">
        <f t="shared" si="3"/>
        <v>3.4757800986499921E-8</v>
      </c>
      <c r="DV169" s="185">
        <f t="shared" si="3"/>
        <v>33.663086835411313</v>
      </c>
      <c r="DW169" s="185">
        <f t="shared" si="3"/>
        <v>3.9285810477844221E-4</v>
      </c>
      <c r="DX169" s="185">
        <f t="shared" si="3"/>
        <v>2693760601.3036108</v>
      </c>
      <c r="DY169" s="185">
        <f t="shared" si="3"/>
        <v>4.7060270387092825E-19</v>
      </c>
      <c r="DZ169" s="185">
        <f t="shared" si="3"/>
        <v>4.6620418726650322E-5</v>
      </c>
      <c r="EA169" s="185">
        <f t="shared" si="3"/>
        <v>3.2611668460429771E-7</v>
      </c>
      <c r="EB169" s="185">
        <f t="shared" ref="EB169:FB169" si="4">EB168*Molweight</f>
        <v>133121056.38553508</v>
      </c>
      <c r="EC169" s="185">
        <f t="shared" si="4"/>
        <v>1.7850272910450857E-5</v>
      </c>
      <c r="ED169" s="185">
        <f t="shared" si="4"/>
        <v>709.48008724926876</v>
      </c>
      <c r="EE169" s="185">
        <f t="shared" si="4"/>
        <v>3.3266018955296101E-2</v>
      </c>
      <c r="EF169" s="185">
        <f t="shared" si="4"/>
        <v>3.8936797331354778E-11</v>
      </c>
      <c r="EG169" s="185">
        <f t="shared" si="4"/>
        <v>0.55134844332966693</v>
      </c>
      <c r="EH169" s="185">
        <f t="shared" si="4"/>
        <v>41851.744069113774</v>
      </c>
      <c r="EI169" s="185">
        <f t="shared" si="4"/>
        <v>1.3270461216068864E-3</v>
      </c>
      <c r="EJ169" s="185">
        <f t="shared" si="4"/>
        <v>5.0161289989290349E-3</v>
      </c>
      <c r="EK169" s="185">
        <f t="shared" si="4"/>
        <v>70.729845168509911</v>
      </c>
      <c r="EL169" s="185">
        <f t="shared" si="4"/>
        <v>1.3270457234930502E-3</v>
      </c>
      <c r="EM169" s="185">
        <f t="shared" si="4"/>
        <v>978203027.29300785</v>
      </c>
      <c r="EN169" s="185">
        <f t="shared" si="4"/>
        <v>7.0398102543726407E-4</v>
      </c>
      <c r="EO169" s="185">
        <f t="shared" si="4"/>
        <v>3480.5285742973306</v>
      </c>
      <c r="EP169" s="185">
        <f t="shared" si="4"/>
        <v>1.3290821543170994E-2</v>
      </c>
      <c r="EQ169" s="185">
        <f t="shared" si="4"/>
        <v>31510260524.353008</v>
      </c>
      <c r="ER169" s="185">
        <f t="shared" si="4"/>
        <v>5.0542242321483482E-8</v>
      </c>
      <c r="ES169" s="185">
        <f t="shared" si="4"/>
        <v>67.142391236271379</v>
      </c>
      <c r="ET169" s="185">
        <f t="shared" si="4"/>
        <v>5.8974246877088927E-4</v>
      </c>
      <c r="EU169" s="185">
        <f t="shared" si="4"/>
        <v>10130643314.272886</v>
      </c>
      <c r="EV169" s="185">
        <f t="shared" si="4"/>
        <v>6.1856421958744703E-19</v>
      </c>
      <c r="EW169" s="185">
        <f t="shared" si="4"/>
        <v>9.2986321580384155E-5</v>
      </c>
      <c r="EX169" s="185">
        <f t="shared" si="4"/>
        <v>4.8955302209362762E-7</v>
      </c>
      <c r="EY169" s="185">
        <f t="shared" si="4"/>
        <v>183794071.98451376</v>
      </c>
      <c r="EZ169" s="185">
        <f t="shared" si="4"/>
        <v>2.3976334242405335E-5</v>
      </c>
      <c r="FA169" s="185">
        <f t="shared" si="4"/>
        <v>1261.5663527142929</v>
      </c>
      <c r="FB169" s="185">
        <f t="shared" si="4"/>
        <v>4.7772473557089433E-2</v>
      </c>
    </row>
    <row r="170" spans="2:160" ht="12.75" customHeight="1" x14ac:dyDescent="0.3">
      <c r="B170" s="188" t="s">
        <v>4112</v>
      </c>
      <c r="C170" s="188"/>
      <c r="D170" s="195">
        <f>D171*8.314*TEMP.R</f>
        <v>8.5633892600686674E-25</v>
      </c>
      <c r="E170" s="195"/>
      <c r="F170" s="195"/>
      <c r="G170" s="195"/>
      <c r="H170" s="195"/>
      <c r="I170" s="195"/>
      <c r="J170" s="195"/>
      <c r="K170" s="434">
        <f>K171*KawD.R*8.314*TEMP.R</f>
        <v>8.1827410163539199E-24</v>
      </c>
      <c r="L170" s="195"/>
      <c r="M170" s="195"/>
      <c r="N170" s="195"/>
      <c r="O170" s="195">
        <f>O171*KawD.R*8.314*TEMP.R</f>
        <v>1.1391712316011681E-23</v>
      </c>
      <c r="P170" s="195"/>
      <c r="Q170" s="195"/>
      <c r="R170" s="195"/>
      <c r="S170" s="195">
        <f>S171*KawD.R*8.314*TEMP.R</f>
        <v>2.2400097860840178E-24</v>
      </c>
      <c r="T170" s="195"/>
      <c r="U170" s="195"/>
      <c r="V170" s="195"/>
      <c r="W170" s="195"/>
      <c r="X170" s="195"/>
      <c r="Y170" s="195"/>
      <c r="Z170" s="195"/>
      <c r="AA170" s="195">
        <f>AA171*KawD.R/Ksdw1.R*8.314*TEMP.R</f>
        <v>9.5350710952824816E-24</v>
      </c>
      <c r="AB170" s="195"/>
      <c r="AC170" s="195"/>
      <c r="AD170" s="195"/>
      <c r="AE170" s="195">
        <f>AE171*KawD.R/Ksdw2.R*8.314*TEMP.R</f>
        <v>3.0369724977673078E-24</v>
      </c>
      <c r="AF170" s="195"/>
      <c r="AG170" s="195"/>
      <c r="AH170" s="195"/>
      <c r="AI170" s="195">
        <f>AI171*KawD.R/Ks1w.R*8.314*TEMP.R</f>
        <v>9.9230362049595322E-25</v>
      </c>
      <c r="AJ170" s="195"/>
      <c r="AK170" s="195"/>
      <c r="AL170" s="195"/>
      <c r="AM170" s="195">
        <f>AM171*KawD.R/Ks2w.R*8.314*TEMP.R</f>
        <v>8.0712280571716098E-24</v>
      </c>
      <c r="AN170" s="195"/>
      <c r="AO170" s="195"/>
      <c r="AP170" s="195"/>
      <c r="AQ170" s="195">
        <f>AQ171*KawD.R/Ks3w.R*8.314*TEMP.R</f>
        <v>9.9230305986073785E-25</v>
      </c>
      <c r="AR170" s="195"/>
      <c r="AS170" s="195"/>
      <c r="AT170" s="195"/>
      <c r="AU170" s="195">
        <f>AU171*8.314*TEMP.C</f>
        <v>1.0727897131732595E-25</v>
      </c>
      <c r="AV170" s="195"/>
      <c r="AW170" s="195"/>
      <c r="AX170" s="195"/>
      <c r="AY170" s="195"/>
      <c r="AZ170" s="195"/>
      <c r="BA170" s="195"/>
      <c r="BB170" s="195">
        <f>BB171*Kaw.C*8.314*TEMP.C</f>
        <v>4.6560376723486072E-26</v>
      </c>
      <c r="BC170" s="195"/>
      <c r="BD170" s="195"/>
      <c r="BE170" s="195"/>
      <c r="BF170" s="195">
        <f>BF171*Kaw.C*8.314*TEMP.C</f>
        <v>3.7864866500006671E-26</v>
      </c>
      <c r="BG170" s="195"/>
      <c r="BH170" s="195"/>
      <c r="BI170" s="195"/>
      <c r="BJ170" s="195">
        <f>BJ171*Kaw.C*8.314*TEMP.C</f>
        <v>2.5936047081587825E-26</v>
      </c>
      <c r="BK170" s="195"/>
      <c r="BL170" s="195"/>
      <c r="BM170" s="195"/>
      <c r="BN170" s="195"/>
      <c r="BO170" s="195"/>
      <c r="BP170" s="195"/>
      <c r="BQ170" s="195"/>
      <c r="BR170" s="195">
        <f>BR171*Kaw.C/Ksdw1.C*8.314*TEMP.C</f>
        <v>3.1234405878058121E-26</v>
      </c>
      <c r="BS170" s="195"/>
      <c r="BT170" s="195"/>
      <c r="BU170" s="195"/>
      <c r="BV170" s="195">
        <f>BV171*Kaw.C/Ksdw2.C*8.314*TEMP.C</f>
        <v>3.5108411431277901E-26</v>
      </c>
      <c r="BW170" s="195"/>
      <c r="BX170" s="195"/>
      <c r="BY170" s="195"/>
      <c r="BZ170" s="195">
        <f>BZ171*Kaw.C/Ks1w.C*8.314*TEMP.C</f>
        <v>4.8821678592571974E-26</v>
      </c>
      <c r="CA170" s="195"/>
      <c r="CB170" s="195"/>
      <c r="CC170" s="195"/>
      <c r="CD170" s="195">
        <f>CD171*Kaw.C/Ks2w.C*8.314*TEMP.C</f>
        <v>2.7231574910514798E-26</v>
      </c>
      <c r="CE170" s="195"/>
      <c r="CF170" s="195"/>
      <c r="CG170" s="195"/>
      <c r="CH170" s="195">
        <f>CH171*Kaw.C/Ks3w.C*8.314*TEMP.C</f>
        <v>4.8821674901610274E-26</v>
      </c>
      <c r="CI170" s="195"/>
      <c r="CJ170" s="195"/>
      <c r="CK170" s="195"/>
      <c r="CL170" s="195">
        <f>CL171*8.314*TEMP.M</f>
        <v>4.9415957162931584E-25</v>
      </c>
      <c r="CM170" s="195"/>
      <c r="CN170" s="195"/>
      <c r="CO170" s="195"/>
      <c r="CP170" s="195"/>
      <c r="CQ170" s="195"/>
      <c r="CR170" s="195"/>
      <c r="CS170" s="195">
        <f>CS171*Kaw.M*8.314*TEMP.M</f>
        <v>2.7185742295980068E-26</v>
      </c>
      <c r="CT170" s="195"/>
      <c r="CU170" s="195"/>
      <c r="CV170" s="195"/>
      <c r="CW170" s="195">
        <f>CW171*Kaw.M*8.314*TEMP.M</f>
        <v>2.7186792601475319E-26</v>
      </c>
      <c r="CX170" s="195"/>
      <c r="CY170" s="195"/>
      <c r="CZ170" s="195"/>
      <c r="DA170" s="195">
        <f>DA171*Kaw.M/Ksdw.M*8.314*TEMP.M</f>
        <v>3.6801435756404675E-26</v>
      </c>
      <c r="DB170" s="195"/>
      <c r="DC170" s="195"/>
      <c r="DD170" s="195"/>
      <c r="DE170" s="185">
        <f>DE171*Kaw.M/Kslw.M*8.314*TEMP.M</f>
        <v>3.3324983383593804E-27</v>
      </c>
      <c r="DF170" s="185"/>
      <c r="DG170" s="185"/>
      <c r="DH170" s="185"/>
      <c r="DI170" s="195">
        <f>DI171*8.314*TEMP.A</f>
        <v>3.6249420590421683E-26</v>
      </c>
      <c r="DJ170" s="195"/>
      <c r="DK170" s="195"/>
      <c r="DL170" s="195"/>
      <c r="DM170" s="195"/>
      <c r="DN170" s="195"/>
      <c r="DO170" s="195"/>
      <c r="DP170" s="195">
        <f>DP171*Kaw.A*8.314*TEMP.A</f>
        <v>6.8146781528206931E-32</v>
      </c>
      <c r="DQ170" s="195"/>
      <c r="DR170" s="195"/>
      <c r="DS170" s="195"/>
      <c r="DT170" s="195">
        <f>DT171*Kaw.A*8.314*TEMP.A</f>
        <v>5.5925260341984173E-32</v>
      </c>
      <c r="DU170" s="195"/>
      <c r="DV170" s="195"/>
      <c r="DW170" s="195"/>
      <c r="DX170" s="195">
        <f>DX171*Kaw.A/Ksdw.A*8.314*TEMP.A</f>
        <v>7.5703298499993908E-32</v>
      </c>
      <c r="DY170" s="195"/>
      <c r="DZ170" s="195"/>
      <c r="EA170" s="195"/>
      <c r="EB170" s="185">
        <f>EB171*Kaw.A/Kslw.A*8.314*TEMP.A</f>
        <v>2.8059207823184584E-33</v>
      </c>
      <c r="EC170" s="185"/>
      <c r="ED170" s="185"/>
      <c r="EE170" s="185"/>
      <c r="EF170" s="195">
        <f>EF171*8.314*TEMP.T</f>
        <v>7.0141617654121537E-24</v>
      </c>
      <c r="EG170" s="195"/>
      <c r="EH170" s="195"/>
      <c r="EI170" s="195"/>
      <c r="EJ170" s="195"/>
      <c r="EK170" s="195"/>
      <c r="EL170" s="195"/>
      <c r="EM170" s="195">
        <f>EM171*Kaw.T*8.314*TEMP.T</f>
        <v>2.5173661217752692E-23</v>
      </c>
      <c r="EN170" s="195"/>
      <c r="EO170" s="195"/>
      <c r="EP170" s="195"/>
      <c r="EQ170" s="195">
        <f>EQ171*Kaw.T*8.314*TEMP.T</f>
        <v>2.7030129096966007E-23</v>
      </c>
      <c r="ER170" s="195"/>
      <c r="ES170" s="195"/>
      <c r="ET170" s="195"/>
      <c r="EU170" s="195">
        <f>EU171*Kaw.T/Ksdw.T*8.314*TEMP.T</f>
        <v>3.6589368006263867E-23</v>
      </c>
      <c r="EV170" s="195"/>
      <c r="EW170" s="195"/>
      <c r="EX170" s="195"/>
      <c r="EY170" s="195">
        <f>EY171*Kaw.T/Kslw.T*8.314*TEMP.T</f>
        <v>7.7447562488750679E-25</v>
      </c>
      <c r="EZ170" s="195"/>
      <c r="FA170" s="195"/>
      <c r="FB170" s="196"/>
    </row>
    <row r="171" spans="2:160" ht="12.75" customHeight="1" x14ac:dyDescent="0.3">
      <c r="B171" s="188" t="s">
        <v>4113</v>
      </c>
      <c r="C171" s="389"/>
      <c r="D171" s="185">
        <f>D168/D4</f>
        <v>3.6140221144924296E-28</v>
      </c>
      <c r="E171" s="185">
        <f t="shared" ref="E171:AI171" si="5">E168/E4</f>
        <v>2.4266534247324509E-10</v>
      </c>
      <c r="F171" s="185">
        <f t="shared" si="5"/>
        <v>1.1013994153822343E-9</v>
      </c>
      <c r="G171" s="185">
        <f>G168/G4</f>
        <v>4.4240708425196053E-13</v>
      </c>
      <c r="H171" s="185">
        <f t="shared" si="5"/>
        <v>1.0603495691340764E-5</v>
      </c>
      <c r="I171" s="185">
        <f t="shared" si="5"/>
        <v>8.675539964216322E-6</v>
      </c>
      <c r="J171" s="185">
        <f t="shared" si="5"/>
        <v>1.4746898384327839E-6</v>
      </c>
      <c r="K171" s="32">
        <f t="shared" si="5"/>
        <v>3.0532209566924175E-4</v>
      </c>
      <c r="L171" s="185">
        <f t="shared" si="5"/>
        <v>3.2790417757526711E-11</v>
      </c>
      <c r="M171" s="185">
        <f t="shared" si="5"/>
        <v>6.1994411624495476E-7</v>
      </c>
      <c r="N171" s="185">
        <f t="shared" si="5"/>
        <v>1.0781375688711074E-9</v>
      </c>
      <c r="O171" s="185">
        <f t="shared" si="5"/>
        <v>4.2505823789784262E-4</v>
      </c>
      <c r="P171" s="185">
        <f t="shared" si="5"/>
        <v>1.1004500310893846E-7</v>
      </c>
      <c r="Q171" s="185">
        <f t="shared" si="5"/>
        <v>5.816854811820486E-4</v>
      </c>
      <c r="R171" s="185">
        <f t="shared" si="5"/>
        <v>3.7731659426256614E-6</v>
      </c>
      <c r="S171" s="185">
        <f t="shared" si="5"/>
        <v>8.3581342833642143E-5</v>
      </c>
      <c r="T171" s="185">
        <f t="shared" si="5"/>
        <v>4.8657105320648621E-11</v>
      </c>
      <c r="U171" s="185">
        <f t="shared" si="5"/>
        <v>6.0702889150886088E-6</v>
      </c>
      <c r="V171" s="185">
        <f t="shared" si="5"/>
        <v>3.2439793356761921E-8</v>
      </c>
      <c r="W171" s="185">
        <f t="shared" si="5"/>
        <v>4.7092759108250455</v>
      </c>
      <c r="X171" s="185">
        <f t="shared" si="5"/>
        <v>7.1327160425495153E-17</v>
      </c>
      <c r="Y171" s="185">
        <f t="shared" si="5"/>
        <v>7.5165826924864913E-6</v>
      </c>
      <c r="Z171" s="185">
        <f t="shared" si="5"/>
        <v>7.8353304005948199E-6</v>
      </c>
      <c r="AA171" s="185">
        <f t="shared" si="5"/>
        <v>8.4500952973865449</v>
      </c>
      <c r="AB171" s="185">
        <f t="shared" si="5"/>
        <v>2.0777950362251818E-13</v>
      </c>
      <c r="AC171" s="185">
        <f t="shared" si="5"/>
        <v>5.8941580284663595E-3</v>
      </c>
      <c r="AD171" s="185">
        <f t="shared" si="5"/>
        <v>2.2916826645087096E-2</v>
      </c>
      <c r="AE171" s="185">
        <f t="shared" si="5"/>
        <v>2.6914017488944086</v>
      </c>
      <c r="AF171" s="185">
        <f t="shared" si="5"/>
        <v>6.1739265251487405E-17</v>
      </c>
      <c r="AG171" s="185">
        <f t="shared" si="5"/>
        <v>8.4068173199777746E-7</v>
      </c>
      <c r="AH171" s="185">
        <f t="shared" si="5"/>
        <v>2.6928699898224033E-6</v>
      </c>
      <c r="AI171" s="185">
        <f t="shared" si="5"/>
        <v>1.0552416206576583</v>
      </c>
      <c r="AJ171" s="185">
        <f t="shared" ref="AJ171:BO171" si="6">AJ168/AJ4</f>
        <v>6.7720847212478503E-10</v>
      </c>
      <c r="AK171" s="185">
        <f t="shared" si="6"/>
        <v>5.1815030410777743E-6</v>
      </c>
      <c r="AL171" s="185">
        <f t="shared" si="6"/>
        <v>1.1360316273514677E-6</v>
      </c>
      <c r="AM171" s="185">
        <f t="shared" si="6"/>
        <v>8.5831549939226157</v>
      </c>
      <c r="AN171" s="185">
        <f t="shared" si="6"/>
        <v>5.8154870250176616E-9</v>
      </c>
      <c r="AO171" s="185">
        <f t="shared" si="6"/>
        <v>1.797991365884084E-5</v>
      </c>
      <c r="AP171" s="185">
        <f t="shared" si="6"/>
        <v>5.4000792954983384E-6</v>
      </c>
      <c r="AQ171" s="185">
        <f t="shared" si="6"/>
        <v>1.0552410244635084</v>
      </c>
      <c r="AR171" s="185">
        <f t="shared" si="6"/>
        <v>1.203774428273352E-9</v>
      </c>
      <c r="AS171" s="185">
        <f t="shared" si="6"/>
        <v>5.1810989197884134E-6</v>
      </c>
      <c r="AT171" s="185">
        <f t="shared" si="6"/>
        <v>1.1359056129989485E-6</v>
      </c>
      <c r="AU171" s="185">
        <f t="shared" si="6"/>
        <v>4.5275131491302322E-29</v>
      </c>
      <c r="AV171" s="185">
        <f t="shared" si="6"/>
        <v>1.5975958393662309E-12</v>
      </c>
      <c r="AW171" s="185">
        <f t="shared" si="6"/>
        <v>1.5704475857978035E-10</v>
      </c>
      <c r="AX171" s="185">
        <f t="shared" si="6"/>
        <v>4.9361599357354899E-15</v>
      </c>
      <c r="AY171" s="185">
        <f t="shared" si="6"/>
        <v>6.9808487798753041E-8</v>
      </c>
      <c r="AZ171" s="185">
        <f t="shared" si="6"/>
        <v>1.2370154370898759E-6</v>
      </c>
      <c r="BA171" s="185">
        <f t="shared" si="6"/>
        <v>1.64538615162917E-8</v>
      </c>
      <c r="BB171" s="185">
        <f t="shared" si="6"/>
        <v>1.7373043785636645E-6</v>
      </c>
      <c r="BC171" s="185">
        <f t="shared" si="6"/>
        <v>2.1569974185670801E-13</v>
      </c>
      <c r="BD171" s="185">
        <f t="shared" si="6"/>
        <v>2.0893242625617028E-8</v>
      </c>
      <c r="BE171" s="185">
        <f t="shared" si="6"/>
        <v>1.0603439523696294E-11</v>
      </c>
      <c r="BF171" s="185">
        <f t="shared" si="6"/>
        <v>1.4128493580467085E-6</v>
      </c>
      <c r="BG171" s="185">
        <f t="shared" si="6"/>
        <v>2.6753912357271438E-12</v>
      </c>
      <c r="BH171" s="185">
        <f t="shared" si="6"/>
        <v>4.276087904952562E-7</v>
      </c>
      <c r="BI171" s="185">
        <f t="shared" si="6"/>
        <v>1.0642685196695975E-10</v>
      </c>
      <c r="BJ171" s="185">
        <f t="shared" si="6"/>
        <v>9.6775007696076557E-7</v>
      </c>
      <c r="BK171" s="185">
        <f t="shared" si="6"/>
        <v>1.4385843759441959E-14</v>
      </c>
      <c r="BL171" s="185">
        <f t="shared" si="6"/>
        <v>1.0306219567512404E-10</v>
      </c>
      <c r="BM171" s="185">
        <f t="shared" si="6"/>
        <v>2.6358693483580547E-13</v>
      </c>
      <c r="BN171" s="185">
        <f t="shared" si="6"/>
        <v>2.7004362099357426E-2</v>
      </c>
      <c r="BO171" s="185">
        <f t="shared" si="6"/>
        <v>4.6919957671739935E-19</v>
      </c>
      <c r="BP171" s="185">
        <f t="shared" ref="BP171:CU171" si="7">BP168/BP4</f>
        <v>2.5336217803186411E-7</v>
      </c>
      <c r="BQ171" s="185">
        <f t="shared" si="7"/>
        <v>7.7072224992460532E-8</v>
      </c>
      <c r="BR171" s="185">
        <f t="shared" si="7"/>
        <v>2.7680308158103187E-2</v>
      </c>
      <c r="BS171" s="185">
        <f t="shared" si="7"/>
        <v>5.0514920918773544E-18</v>
      </c>
      <c r="BT171" s="185">
        <f t="shared" si="7"/>
        <v>4.3329130040835435E-6</v>
      </c>
      <c r="BU171" s="185">
        <f t="shared" si="7"/>
        <v>6.4639764697638272E-7</v>
      </c>
      <c r="BV171" s="185">
        <f t="shared" si="7"/>
        <v>3.1113498721675171E-2</v>
      </c>
      <c r="BW171" s="185">
        <f t="shared" si="7"/>
        <v>1.8253683976422812E-20</v>
      </c>
      <c r="BX171" s="185">
        <f t="shared" si="7"/>
        <v>1.4273218102064337E-11</v>
      </c>
      <c r="BY171" s="185">
        <f t="shared" si="7"/>
        <v>2.1880710241315176E-11</v>
      </c>
      <c r="BZ171" s="185">
        <f t="shared" si="7"/>
        <v>5.1918249794860094E-2</v>
      </c>
      <c r="CA171" s="185">
        <f t="shared" si="7"/>
        <v>4.4584258568748984E-12</v>
      </c>
      <c r="CB171" s="185">
        <f t="shared" si="7"/>
        <v>3.027514475948779E-7</v>
      </c>
      <c r="CC171" s="185">
        <f t="shared" si="7"/>
        <v>8.1022861318630143E-9</v>
      </c>
      <c r="CD171" s="185">
        <f t="shared" si="7"/>
        <v>2.8958768917188737E-2</v>
      </c>
      <c r="CE171" s="185">
        <f t="shared" si="7"/>
        <v>1.783204076575452E-12</v>
      </c>
      <c r="CF171" s="185">
        <f t="shared" si="7"/>
        <v>7.6874341996929983E-8</v>
      </c>
      <c r="CG171" s="185">
        <f t="shared" si="7"/>
        <v>2.0254235971477937E-9</v>
      </c>
      <c r="CH171" s="185">
        <f t="shared" si="7"/>
        <v>5.1918245869794891E-2</v>
      </c>
      <c r="CI171" s="185">
        <f t="shared" si="7"/>
        <v>7.925091397660157E-12</v>
      </c>
      <c r="CJ171" s="185">
        <f t="shared" si="7"/>
        <v>3.0274878704811881E-7</v>
      </c>
      <c r="CK171" s="185">
        <f t="shared" si="7"/>
        <v>8.1014565119295152E-9</v>
      </c>
      <c r="CL171" s="185">
        <f t="shared" si="7"/>
        <v>2.0855102643577978E-28</v>
      </c>
      <c r="CM171" s="185">
        <f t="shared" si="7"/>
        <v>4.5485058875069007E-15</v>
      </c>
      <c r="CN171" s="185">
        <f t="shared" si="7"/>
        <v>1.1784646928484453E-11</v>
      </c>
      <c r="CO171" s="185">
        <f t="shared" si="7"/>
        <v>1.7497184153158388E-17</v>
      </c>
      <c r="CP171" s="185">
        <f t="shared" si="7"/>
        <v>1.9875134243999055E-10</v>
      </c>
      <c r="CQ171" s="185">
        <f t="shared" si="7"/>
        <v>9.2825703341021693E-8</v>
      </c>
      <c r="CR171" s="185">
        <f t="shared" si="7"/>
        <v>5.8323929680010485E-11</v>
      </c>
      <c r="CS171" s="185">
        <f t="shared" si="7"/>
        <v>1.0143798750985143E-6</v>
      </c>
      <c r="CT171" s="185">
        <f t="shared" si="7"/>
        <v>8.1935907920429721E-17</v>
      </c>
      <c r="CU171" s="185">
        <f t="shared" si="7"/>
        <v>1.3265490295665201E-11</v>
      </c>
      <c r="CV171" s="185">
        <f t="shared" ref="CV171:EA171" si="8">CV168/CV4</f>
        <v>1.5126550852216742E-15</v>
      </c>
      <c r="CW171" s="185">
        <f t="shared" si="8"/>
        <v>1.0144190650807296E-6</v>
      </c>
      <c r="CX171" s="185">
        <f t="shared" si="8"/>
        <v>2.2464155412234003E-22</v>
      </c>
      <c r="CY171" s="185">
        <f t="shared" si="8"/>
        <v>9.3462809188604572E-15</v>
      </c>
      <c r="CZ171" s="185">
        <f t="shared" si="8"/>
        <v>2.3183116549242768E-18</v>
      </c>
      <c r="DA171" s="185">
        <f t="shared" si="8"/>
        <v>3.2613877349705833E-2</v>
      </c>
      <c r="DB171" s="185">
        <f t="shared" si="8"/>
        <v>2.850396546417616E-28</v>
      </c>
      <c r="DC171" s="185">
        <f t="shared" si="8"/>
        <v>1.2943778214717405E-15</v>
      </c>
      <c r="DD171" s="185">
        <f t="shared" si="8"/>
        <v>1.9244610245852429E-16</v>
      </c>
      <c r="DE171" s="185">
        <f t="shared" si="8"/>
        <v>3.5438658841652855E-3</v>
      </c>
      <c r="DF171" s="185">
        <f t="shared" si="8"/>
        <v>1.2693558507922291E-14</v>
      </c>
      <c r="DG171" s="185">
        <f t="shared" si="8"/>
        <v>2.1194596912420723E-8</v>
      </c>
      <c r="DH171" s="185">
        <f t="shared" si="8"/>
        <v>2.4128435763275785E-11</v>
      </c>
      <c r="DI171" s="185">
        <f t="shared" si="8"/>
        <v>1.6578120825297971E-29</v>
      </c>
      <c r="DJ171" s="185">
        <f t="shared" si="8"/>
        <v>7.2664110254431277E-17</v>
      </c>
      <c r="DK171" s="185">
        <f t="shared" si="8"/>
        <v>5.1605687338612872E-12</v>
      </c>
      <c r="DL171" s="185">
        <f t="shared" si="8"/>
        <v>8.0159620526166056E-19</v>
      </c>
      <c r="DM171" s="185">
        <f t="shared" si="8"/>
        <v>5.8235055005152357E-12</v>
      </c>
      <c r="DN171" s="185">
        <f t="shared" si="8"/>
        <v>7.0996780861930463E-8</v>
      </c>
      <c r="DO171" s="185">
        <f t="shared" si="8"/>
        <v>2.6719865492759967E-12</v>
      </c>
      <c r="DP171" s="185">
        <f t="shared" si="8"/>
        <v>1.2372264245288972E-6</v>
      </c>
      <c r="DQ171" s="185">
        <f t="shared" si="8"/>
        <v>1.3128783372544705E-18</v>
      </c>
      <c r="DR171" s="185">
        <f t="shared" si="8"/>
        <v>5.3583783450603228E-12</v>
      </c>
      <c r="DS171" s="185">
        <f t="shared" si="8"/>
        <v>2.9956883178805557E-17</v>
      </c>
      <c r="DT171" s="185">
        <f t="shared" si="8"/>
        <v>1.0153408325691972E-6</v>
      </c>
      <c r="DU171" s="185">
        <f t="shared" si="8"/>
        <v>4.2120176109465968E-24</v>
      </c>
      <c r="DV171" s="185">
        <f t="shared" si="8"/>
        <v>4.079358030867622E-15</v>
      </c>
      <c r="DW171" s="185">
        <f t="shared" si="8"/>
        <v>4.7607305668520409E-20</v>
      </c>
      <c r="DX171" s="185">
        <f t="shared" si="8"/>
        <v>3.2643512449972892E-2</v>
      </c>
      <c r="DY171" s="185">
        <f t="shared" si="8"/>
        <v>5.7028546691815343E-30</v>
      </c>
      <c r="DZ171" s="185">
        <f t="shared" si="8"/>
        <v>5.6495525934631217E-16</v>
      </c>
      <c r="EA171" s="185">
        <f t="shared" si="8"/>
        <v>3.9519451167533138E-18</v>
      </c>
      <c r="EB171" s="185">
        <f t="shared" ref="EB171:FB171" si="9">EB168/EB4</f>
        <v>1.45186805888935E-3</v>
      </c>
      <c r="EC171" s="185">
        <f t="shared" si="9"/>
        <v>1.9468175647648701E-16</v>
      </c>
      <c r="ED171" s="185">
        <f t="shared" si="9"/>
        <v>7.7378553405708265E-9</v>
      </c>
      <c r="EE171" s="185">
        <f t="shared" si="9"/>
        <v>3.6281165188267028E-13</v>
      </c>
      <c r="EF171" s="185">
        <f t="shared" si="9"/>
        <v>2.8310627361837126E-27</v>
      </c>
      <c r="EG171" s="185">
        <f t="shared" si="9"/>
        <v>4.0088095055177134E-17</v>
      </c>
      <c r="EH171" s="185">
        <f t="shared" si="9"/>
        <v>3.0430061329916554E-12</v>
      </c>
      <c r="EI171" s="185">
        <f t="shared" si="9"/>
        <v>9.648843976833713E-20</v>
      </c>
      <c r="EJ171" s="185">
        <f t="shared" si="9"/>
        <v>1.2157288102825746E-12</v>
      </c>
      <c r="EK171" s="185">
        <f t="shared" si="9"/>
        <v>1.7142364268650613E-8</v>
      </c>
      <c r="EL171" s="185">
        <f t="shared" si="9"/>
        <v>3.2162803607268409E-13</v>
      </c>
      <c r="EM171" s="185">
        <f t="shared" si="9"/>
        <v>1.0160617418082176E-6</v>
      </c>
      <c r="EN171" s="185">
        <f t="shared" si="9"/>
        <v>7.3122671566979968E-19</v>
      </c>
      <c r="EO171" s="185">
        <f t="shared" si="9"/>
        <v>3.6152330619955506E-12</v>
      </c>
      <c r="EP171" s="185">
        <f t="shared" si="9"/>
        <v>1.3805207007574991E-17</v>
      </c>
      <c r="EQ171" s="185">
        <f t="shared" si="9"/>
        <v>1.0909926773860056E-6</v>
      </c>
      <c r="ER171" s="185">
        <f t="shared" si="9"/>
        <v>1.7499447911194237E-24</v>
      </c>
      <c r="ES171" s="185">
        <f t="shared" si="9"/>
        <v>2.3246985572951702E-15</v>
      </c>
      <c r="ET171" s="185">
        <f t="shared" si="9"/>
        <v>2.0418895441226954E-20</v>
      </c>
      <c r="EU171" s="185">
        <f t="shared" si="9"/>
        <v>3.5075741962016509E-2</v>
      </c>
      <c r="EV171" s="185">
        <f t="shared" si="9"/>
        <v>2.141680274402461E-30</v>
      </c>
      <c r="EW171" s="185">
        <f t="shared" si="9"/>
        <v>3.2195035602087394E-16</v>
      </c>
      <c r="EX171" s="185">
        <f t="shared" si="9"/>
        <v>1.6949995125668786E-18</v>
      </c>
      <c r="EY171" s="185">
        <f t="shared" si="9"/>
        <v>8.9090085795363069E-4</v>
      </c>
      <c r="EZ171" s="185">
        <f t="shared" si="9"/>
        <v>1.1621994396501395E-16</v>
      </c>
      <c r="FA171" s="185">
        <f t="shared" si="9"/>
        <v>6.1151621152030247E-9</v>
      </c>
      <c r="FB171" s="192">
        <f t="shared" si="9"/>
        <v>2.315664331228496E-13</v>
      </c>
    </row>
    <row r="172" spans="2:160" ht="12.75" customHeight="1" x14ac:dyDescent="0.3">
      <c r="B172" s="197" t="s">
        <v>4114</v>
      </c>
      <c r="C172" s="441">
        <f>SUM(D172:FB172)</f>
        <v>0.99999999999999933</v>
      </c>
      <c r="D172" s="198">
        <f t="shared" ref="D172:AI172" si="10">D168/SUM($D$168:$FB$168)</f>
        <v>8.9016007823747748E-26</v>
      </c>
      <c r="E172" s="198">
        <f t="shared" si="10"/>
        <v>5.9770248603430505E-8</v>
      </c>
      <c r="F172" s="198">
        <f t="shared" si="10"/>
        <v>2.7128273118081256E-7</v>
      </c>
      <c r="G172" s="198">
        <f t="shared" si="10"/>
        <v>1.0896810043063294E-10</v>
      </c>
      <c r="H172" s="198">
        <f t="shared" si="10"/>
        <v>7.8351556148573371E-10</v>
      </c>
      <c r="I172" s="198">
        <f t="shared" si="10"/>
        <v>6.4105468273127308E-10</v>
      </c>
      <c r="J172" s="198">
        <f t="shared" si="10"/>
        <v>1.0896806774020278E-10</v>
      </c>
      <c r="K172" s="198">
        <f t="shared" si="10"/>
        <v>1.87188763346075E-5</v>
      </c>
      <c r="L172" s="198">
        <f t="shared" si="10"/>
        <v>2.0103352612520884E-12</v>
      </c>
      <c r="M172" s="198">
        <f t="shared" si="10"/>
        <v>3.8007918231139997E-8</v>
      </c>
      <c r="N172" s="198">
        <f t="shared" si="10"/>
        <v>6.6099126495107866E-11</v>
      </c>
      <c r="O172" s="198">
        <f t="shared" si="10"/>
        <v>8.5997122121671465E-6</v>
      </c>
      <c r="P172" s="198">
        <f t="shared" si="10"/>
        <v>2.2264134011475251E-9</v>
      </c>
      <c r="Q172" s="198">
        <f t="shared" si="10"/>
        <v>1.1768570257339259E-5</v>
      </c>
      <c r="R172" s="198">
        <f t="shared" si="10"/>
        <v>7.6338106975189501E-8</v>
      </c>
      <c r="S172" s="198">
        <f t="shared" si="10"/>
        <v>8.9675054208872912E-7</v>
      </c>
      <c r="T172" s="198">
        <f t="shared" si="10"/>
        <v>5.2204575917865371E-13</v>
      </c>
      <c r="U172" s="198">
        <f t="shared" si="10"/>
        <v>6.5128588398915356E-8</v>
      </c>
      <c r="V172" s="198">
        <f t="shared" si="10"/>
        <v>3.4804899385049711E-10</v>
      </c>
      <c r="W172" s="198">
        <f t="shared" si="10"/>
        <v>8.6615762158048705E-5</v>
      </c>
      <c r="X172" s="198">
        <f t="shared" si="10"/>
        <v>1.3118909318144629E-21</v>
      </c>
      <c r="Y172" s="198">
        <f t="shared" si="10"/>
        <v>1.38249393550537E-10</v>
      </c>
      <c r="Z172" s="198">
        <f t="shared" si="10"/>
        <v>1.4411198818222364E-10</v>
      </c>
      <c r="AA172" s="198">
        <f t="shared" si="10"/>
        <v>1.7096101485363088E-3</v>
      </c>
      <c r="AB172" s="198">
        <f t="shared" si="10"/>
        <v>4.2037626269227668E-17</v>
      </c>
      <c r="AC172" s="198">
        <f t="shared" si="10"/>
        <v>1.1924968923911884E-6</v>
      </c>
      <c r="AD172" s="198">
        <f t="shared" si="10"/>
        <v>4.6364967525047279E-6</v>
      </c>
      <c r="AE172" s="198">
        <f t="shared" si="10"/>
        <v>8.6628758122613757E-5</v>
      </c>
      <c r="AF172" s="198">
        <f t="shared" si="10"/>
        <v>1.9872157244216861E-21</v>
      </c>
      <c r="AG172" s="198">
        <f t="shared" si="10"/>
        <v>2.7059213456055716E-11</v>
      </c>
      <c r="AH172" s="198">
        <f t="shared" si="10"/>
        <v>8.6676016726153418E-11</v>
      </c>
      <c r="AI172" s="198">
        <f t="shared" si="10"/>
        <v>3.4935520053795337E-3</v>
      </c>
      <c r="AJ172" s="198">
        <f t="shared" ref="AJ172:BO172" si="11">AJ168/SUM($D$168:$FB$168)</f>
        <v>2.242010710662716E-12</v>
      </c>
      <c r="AK172" s="198">
        <f t="shared" si="11"/>
        <v>1.715422324676295E-8</v>
      </c>
      <c r="AL172" s="198">
        <f t="shared" si="11"/>
        <v>3.7610206915785111E-9</v>
      </c>
      <c r="AM172" s="198">
        <f t="shared" si="11"/>
        <v>0.2525862661171695</v>
      </c>
      <c r="AN172" s="198">
        <f t="shared" si="11"/>
        <v>1.7113895232488923E-10</v>
      </c>
      <c r="AO172" s="198">
        <f t="shared" si="11"/>
        <v>5.291153730081003E-7</v>
      </c>
      <c r="AP172" s="198">
        <f t="shared" si="11"/>
        <v>1.5891427650465867E-7</v>
      </c>
      <c r="AQ172" s="198">
        <f t="shared" si="11"/>
        <v>1.2939074191037566E-3</v>
      </c>
      <c r="AR172" s="198">
        <f t="shared" si="11"/>
        <v>1.4760349792713502E-12</v>
      </c>
      <c r="AS172" s="198">
        <f t="shared" si="11"/>
        <v>6.3529204949485124E-9</v>
      </c>
      <c r="AT172" s="198">
        <f t="shared" si="11"/>
        <v>1.3928161111895494E-9</v>
      </c>
      <c r="AU172" s="198">
        <f t="shared" si="11"/>
        <v>3.4971088370419916E-25</v>
      </c>
      <c r="AV172" s="198">
        <f t="shared" si="11"/>
        <v>1.2340033797455588E-8</v>
      </c>
      <c r="AW172" s="198">
        <f t="shared" si="11"/>
        <v>1.213033722819738E-6</v>
      </c>
      <c r="AX172" s="198">
        <f t="shared" si="11"/>
        <v>3.8127528211882543E-11</v>
      </c>
      <c r="AY172" s="198">
        <f t="shared" si="11"/>
        <v>1.6176289601397804E-10</v>
      </c>
      <c r="AZ172" s="198">
        <f t="shared" si="11"/>
        <v>2.8664594496663702E-9</v>
      </c>
      <c r="BA172" s="198">
        <f t="shared" si="11"/>
        <v>3.8127516773624089E-11</v>
      </c>
      <c r="BB172" s="198">
        <f t="shared" si="11"/>
        <v>1.6243726762669899E-6</v>
      </c>
      <c r="BC172" s="198">
        <f t="shared" si="11"/>
        <v>2.0167839975143416E-13</v>
      </c>
      <c r="BD172" s="198">
        <f t="shared" si="11"/>
        <v>1.9535098661138488E-8</v>
      </c>
      <c r="BE172" s="198">
        <f t="shared" si="11"/>
        <v>9.9141737333223119E-12</v>
      </c>
      <c r="BF172" s="198">
        <f t="shared" si="11"/>
        <v>4.3593281292518687E-7</v>
      </c>
      <c r="BG172" s="198">
        <f t="shared" si="11"/>
        <v>8.2548845028909888E-13</v>
      </c>
      <c r="BH172" s="198">
        <f t="shared" si="11"/>
        <v>1.3193813042449733E-7</v>
      </c>
      <c r="BI172" s="198">
        <f t="shared" si="11"/>
        <v>3.2837865328311535E-11</v>
      </c>
      <c r="BJ172" s="198">
        <f t="shared" si="11"/>
        <v>7.7113145090474994E-4</v>
      </c>
      <c r="BK172" s="198">
        <f t="shared" si="11"/>
        <v>1.1463059352623812E-11</v>
      </c>
      <c r="BL172" s="198">
        <f t="shared" si="11"/>
        <v>8.2122959611616429E-8</v>
      </c>
      <c r="BM172" s="198">
        <f t="shared" si="11"/>
        <v>2.1003374769838536E-10</v>
      </c>
      <c r="BN172" s="198">
        <f t="shared" si="11"/>
        <v>7.5746913106525547E-6</v>
      </c>
      <c r="BO172" s="198">
        <f t="shared" si="11"/>
        <v>1.3160992078415774E-22</v>
      </c>
      <c r="BP172" s="198">
        <f t="shared" ref="BP172:CU172" si="12">BP168/SUM($D$168:$FB$168)</f>
        <v>7.1067788282680195E-11</v>
      </c>
      <c r="BQ172" s="198">
        <f t="shared" si="12"/>
        <v>2.1618667043312274E-11</v>
      </c>
      <c r="BR172" s="198">
        <f t="shared" si="12"/>
        <v>8.5407227099430059E-5</v>
      </c>
      <c r="BS172" s="198">
        <f t="shared" si="12"/>
        <v>1.5586312472306977E-20</v>
      </c>
      <c r="BT172" s="198">
        <f t="shared" si="12"/>
        <v>1.3369146139130112E-8</v>
      </c>
      <c r="BU172" s="198">
        <f t="shared" si="12"/>
        <v>1.9944514460070316E-9</v>
      </c>
      <c r="BV172" s="198">
        <f t="shared" si="12"/>
        <v>3.7188213129340565E-3</v>
      </c>
      <c r="BW172" s="198">
        <f t="shared" si="12"/>
        <v>2.1817600655690323E-21</v>
      </c>
      <c r="BX172" s="198">
        <f t="shared" si="12"/>
        <v>1.7059973922230497E-12</v>
      </c>
      <c r="BY172" s="198">
        <f t="shared" si="12"/>
        <v>2.6152780924907925E-12</v>
      </c>
      <c r="BZ172" s="198">
        <f t="shared" si="12"/>
        <v>2.6213412686781901E-3</v>
      </c>
      <c r="CA172" s="198">
        <f t="shared" si="12"/>
        <v>2.251049628626948E-13</v>
      </c>
      <c r="CB172" s="198">
        <f t="shared" si="12"/>
        <v>1.5285855491436147E-8</v>
      </c>
      <c r="CC172" s="198">
        <f t="shared" si="12"/>
        <v>4.0908268464385223E-10</v>
      </c>
      <c r="CD172" s="198">
        <f t="shared" si="12"/>
        <v>1.2996640141450001E-2</v>
      </c>
      <c r="CE172" s="198">
        <f t="shared" si="12"/>
        <v>8.0029858134824509E-13</v>
      </c>
      <c r="CF172" s="198">
        <f t="shared" si="12"/>
        <v>3.4501057759117181E-8</v>
      </c>
      <c r="CG172" s="198">
        <f t="shared" si="12"/>
        <v>9.0900623922954138E-10</v>
      </c>
      <c r="CH172" s="198">
        <f t="shared" si="12"/>
        <v>9.7086706314907076E-4</v>
      </c>
      <c r="CI172" s="198">
        <f t="shared" si="12"/>
        <v>1.4819857800532193E-13</v>
      </c>
      <c r="CJ172" s="198">
        <f t="shared" si="12"/>
        <v>5.661378207778646E-9</v>
      </c>
      <c r="CK172" s="198">
        <f t="shared" si="12"/>
        <v>1.5149659159696099E-10</v>
      </c>
      <c r="CL172" s="198">
        <f t="shared" si="12"/>
        <v>1.7357009567541852E-23</v>
      </c>
      <c r="CM172" s="198">
        <f t="shared" si="12"/>
        <v>3.7855704455997362E-10</v>
      </c>
      <c r="CN172" s="198">
        <f t="shared" si="12"/>
        <v>9.8079704033868364E-7</v>
      </c>
      <c r="CO172" s="198">
        <f t="shared" si="12"/>
        <v>1.4562325486560549E-12</v>
      </c>
      <c r="CP172" s="198">
        <f t="shared" si="12"/>
        <v>4.9624243206805738E-12</v>
      </c>
      <c r="CQ172" s="198">
        <f t="shared" si="12"/>
        <v>2.3176725358866356E-9</v>
      </c>
      <c r="CR172" s="198">
        <f t="shared" si="12"/>
        <v>1.4562321117862903E-12</v>
      </c>
      <c r="CS172" s="198">
        <f t="shared" si="12"/>
        <v>4.2211747360089025E-3</v>
      </c>
      <c r="CT172" s="198">
        <f t="shared" si="12"/>
        <v>3.409627822634789E-13</v>
      </c>
      <c r="CU172" s="198">
        <f t="shared" si="12"/>
        <v>5.5202152439582858E-8</v>
      </c>
      <c r="CV172" s="198">
        <f t="shared" ref="CV172:EA172" si="13">CV168/SUM($D$168:$FB$168)</f>
        <v>6.2946649344881863E-12</v>
      </c>
      <c r="CW172" s="198">
        <f t="shared" si="13"/>
        <v>0.12664013455990591</v>
      </c>
      <c r="CX172" s="198">
        <f t="shared" si="13"/>
        <v>2.8044264565882859E-17</v>
      </c>
      <c r="CY172" s="198">
        <f t="shared" si="13"/>
        <v>1.1667902486680636E-9</v>
      </c>
      <c r="CZ172" s="198">
        <f t="shared" si="13"/>
        <v>2.894181606376295E-13</v>
      </c>
      <c r="DA172" s="198">
        <f t="shared" si="13"/>
        <v>4.0715183283333907E-2</v>
      </c>
      <c r="DB172" s="198">
        <f t="shared" si="13"/>
        <v>3.5584366916318834E-28</v>
      </c>
      <c r="DC172" s="198">
        <f t="shared" si="13"/>
        <v>1.6159020184571742E-15</v>
      </c>
      <c r="DD172" s="198">
        <f t="shared" si="13"/>
        <v>2.4024982524295742E-16</v>
      </c>
      <c r="DE172" s="198">
        <f t="shared" si="13"/>
        <v>7.3736070210331916E-3</v>
      </c>
      <c r="DF172" s="198">
        <f t="shared" si="13"/>
        <v>2.6411076263953231E-14</v>
      </c>
      <c r="DG172" s="198">
        <f t="shared" si="13"/>
        <v>4.4098911671484957E-8</v>
      </c>
      <c r="DH172" s="198">
        <f t="shared" si="13"/>
        <v>5.0203255192470146E-11</v>
      </c>
      <c r="DI172" s="198">
        <f t="shared" si="13"/>
        <v>7.5593839438383892E-25</v>
      </c>
      <c r="DJ172" s="198">
        <f t="shared" si="13"/>
        <v>3.3133786038791125E-12</v>
      </c>
      <c r="DK172" s="198">
        <f t="shared" si="13"/>
        <v>2.3531448973574636E-7</v>
      </c>
      <c r="DL172" s="198">
        <f t="shared" si="13"/>
        <v>3.6551630594041503E-14</v>
      </c>
      <c r="DM172" s="198">
        <f t="shared" si="13"/>
        <v>7.9663034986943116E-14</v>
      </c>
      <c r="DN172" s="198">
        <f t="shared" si="13"/>
        <v>9.7120523665065667E-10</v>
      </c>
      <c r="DO172" s="198">
        <f t="shared" si="13"/>
        <v>3.6551619628552326E-14</v>
      </c>
      <c r="DP172" s="198">
        <f t="shared" si="13"/>
        <v>3.3849454251796726E-3</v>
      </c>
      <c r="DQ172" s="198">
        <f t="shared" si="13"/>
        <v>3.5919225724581337E-15</v>
      </c>
      <c r="DR172" s="198">
        <f t="shared" si="13"/>
        <v>1.4660063757044439E-8</v>
      </c>
      <c r="DS172" s="198">
        <f t="shared" si="13"/>
        <v>8.1959464054731189E-14</v>
      </c>
      <c r="DT172" s="198">
        <f t="shared" si="13"/>
        <v>8.3336564061308988E-2</v>
      </c>
      <c r="DU172" s="198">
        <f t="shared" si="13"/>
        <v>3.4571157211693291E-19</v>
      </c>
      <c r="DV172" s="198">
        <f t="shared" si="13"/>
        <v>3.3482321498701868E-10</v>
      </c>
      <c r="DW172" s="198">
        <f t="shared" si="13"/>
        <v>3.9074852023747238E-15</v>
      </c>
      <c r="DX172" s="198">
        <f t="shared" si="13"/>
        <v>2.6792955421576663E-2</v>
      </c>
      <c r="DY172" s="198">
        <f t="shared" si="13"/>
        <v>4.6807564339553192E-30</v>
      </c>
      <c r="DZ172" s="198">
        <f t="shared" si="13"/>
        <v>4.6370074611451914E-16</v>
      </c>
      <c r="EA172" s="198">
        <f t="shared" si="13"/>
        <v>3.2436549070495953E-18</v>
      </c>
      <c r="EB172" s="198">
        <f t="shared" ref="EB172:FB172" si="14">EB168/SUM($D$168:$FB$168)</f>
        <v>1.3240621782369126E-3</v>
      </c>
      <c r="EC172" s="198">
        <f t="shared" si="14"/>
        <v>1.7754419829335941E-16</v>
      </c>
      <c r="ED172" s="198">
        <f t="shared" si="14"/>
        <v>7.056702938251746E-9</v>
      </c>
      <c r="EE172" s="198">
        <f t="shared" si="14"/>
        <v>3.3087385808940925E-13</v>
      </c>
      <c r="EF172" s="198">
        <f t="shared" si="14"/>
        <v>3.8727713021457629E-22</v>
      </c>
      <c r="EG172" s="198">
        <f t="shared" si="14"/>
        <v>5.4838779128102968E-12</v>
      </c>
      <c r="EH172" s="198">
        <f t="shared" si="14"/>
        <v>4.1627006966259242E-7</v>
      </c>
      <c r="EI172" s="198">
        <f t="shared" si="14"/>
        <v>1.3199200983703929E-14</v>
      </c>
      <c r="EJ172" s="198">
        <f t="shared" si="14"/>
        <v>4.9891931967578689E-14</v>
      </c>
      <c r="EK172" s="198">
        <f t="shared" si="14"/>
        <v>7.0350037329145536E-10</v>
      </c>
      <c r="EL172" s="198">
        <f t="shared" si="14"/>
        <v>1.3199197023943638E-14</v>
      </c>
      <c r="EM172" s="198">
        <f t="shared" si="14"/>
        <v>9.7295023510364717E-3</v>
      </c>
      <c r="EN172" s="198">
        <f t="shared" si="14"/>
        <v>7.0020076108651043E-15</v>
      </c>
      <c r="EO172" s="198">
        <f t="shared" si="14"/>
        <v>3.4618386982697447E-8</v>
      </c>
      <c r="EP172" s="198">
        <f t="shared" si="14"/>
        <v>1.3219451979139535E-13</v>
      </c>
      <c r="EQ172" s="198">
        <f t="shared" si="14"/>
        <v>0.31341055517060118</v>
      </c>
      <c r="ER172" s="198">
        <f t="shared" si="14"/>
        <v>5.0270838647305789E-19</v>
      </c>
      <c r="ES172" s="198">
        <f t="shared" si="14"/>
        <v>6.6781847444828749E-10</v>
      </c>
      <c r="ET172" s="198">
        <f t="shared" si="14"/>
        <v>5.8657564700969872E-15</v>
      </c>
      <c r="EU172" s="198">
        <f t="shared" si="14"/>
        <v>0.10076243396679427</v>
      </c>
      <c r="EV172" s="198">
        <f t="shared" si="14"/>
        <v>6.1524262968165983E-30</v>
      </c>
      <c r="EW172" s="198">
        <f t="shared" si="14"/>
        <v>9.2487000059097848E-16</v>
      </c>
      <c r="EX172" s="198">
        <f t="shared" si="14"/>
        <v>4.8692420147154519E-18</v>
      </c>
      <c r="EY172" s="198">
        <f t="shared" si="14"/>
        <v>1.828071275171237E-3</v>
      </c>
      <c r="EZ172" s="198">
        <f t="shared" si="14"/>
        <v>2.3847585201844162E-16</v>
      </c>
      <c r="FA172" s="198">
        <f t="shared" si="14"/>
        <v>1.2547919452559187E-8</v>
      </c>
      <c r="FB172" s="387">
        <f t="shared" si="14"/>
        <v>4.7515943093611368E-13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3.1046569046742847E-34</v>
      </c>
      <c r="E176" s="184">
        <f t="shared" ref="E176:AJ176" si="15">E9*E$168</f>
        <v>0</v>
      </c>
      <c r="F176" s="184">
        <f t="shared" si="15"/>
        <v>0</v>
      </c>
      <c r="G176" s="184">
        <f t="shared" si="15"/>
        <v>0</v>
      </c>
      <c r="H176" s="184">
        <f t="shared" si="15"/>
        <v>0</v>
      </c>
      <c r="I176" s="184">
        <f t="shared" si="15"/>
        <v>0</v>
      </c>
      <c r="J176" s="184">
        <f t="shared" si="15"/>
        <v>0</v>
      </c>
      <c r="K176" s="184">
        <f t="shared" si="15"/>
        <v>9.3045419822892034E-21</v>
      </c>
      <c r="L176" s="184">
        <f t="shared" si="15"/>
        <v>0</v>
      </c>
      <c r="M176" s="184">
        <f t="shared" si="15"/>
        <v>0</v>
      </c>
      <c r="N176" s="184">
        <f t="shared" si="15"/>
        <v>0</v>
      </c>
      <c r="O176" s="184">
        <f t="shared" si="15"/>
        <v>6.1556225367037538E-20</v>
      </c>
      <c r="P176" s="184">
        <f t="shared" si="15"/>
        <v>0</v>
      </c>
      <c r="Q176" s="184">
        <f t="shared" si="15"/>
        <v>0</v>
      </c>
      <c r="R176" s="184">
        <f t="shared" si="15"/>
        <v>0</v>
      </c>
      <c r="S176" s="184">
        <f t="shared" si="15"/>
        <v>3.1657405209325237E-21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3.441065175149067E-20</v>
      </c>
      <c r="AJ176" s="184">
        <f t="shared" si="15"/>
        <v>0</v>
      </c>
      <c r="AK176" s="184">
        <f t="shared" ref="AK176:BP176" si="16">AK9*AK$168</f>
        <v>0</v>
      </c>
      <c r="AL176" s="184">
        <f t="shared" si="16"/>
        <v>0</v>
      </c>
      <c r="AM176" s="184">
        <f t="shared" si="16"/>
        <v>1.1321359421826932E-18</v>
      </c>
      <c r="AN176" s="184">
        <f t="shared" si="16"/>
        <v>0</v>
      </c>
      <c r="AO176" s="184">
        <f t="shared" si="16"/>
        <v>0</v>
      </c>
      <c r="AP176" s="184">
        <f t="shared" si="16"/>
        <v>0</v>
      </c>
      <c r="AQ176" s="184">
        <f t="shared" si="16"/>
        <v>1.2744678633347671E-20</v>
      </c>
      <c r="AR176" s="184">
        <f t="shared" si="16"/>
        <v>0</v>
      </c>
      <c r="AS176" s="184">
        <f t="shared" si="16"/>
        <v>0</v>
      </c>
      <c r="AT176" s="184">
        <f t="shared" si="16"/>
        <v>0</v>
      </c>
      <c r="AU176" s="184">
        <f t="shared" si="16"/>
        <v>9.7911162677148345E-20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2.9396302942212462</v>
      </c>
      <c r="D177" s="190">
        <f t="shared" ref="D177:D208" si="20">D10*D$168</f>
        <v>0</v>
      </c>
      <c r="E177" s="189">
        <f>$C177+SUM($D177:D177,F177:$FB177)-SUM(E$176:E176,E178:E$330)-E$331</f>
        <v>-2.9669531263244731E-16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3.4549312385889429E-3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2.1643525365996319</v>
      </c>
      <c r="F178" s="189">
        <f>$C178+SUM($D178:E178,G178:$FB178)-SUM(F$176:F177,F179:F$330)-F$331</f>
        <v>-5.6720036653579164E-16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0.33962209271224947</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8.5622911323376023E-3</v>
      </c>
      <c r="F179" s="184">
        <f t="shared" ref="F179:F210" si="32">F12*F$168</f>
        <v>0</v>
      </c>
      <c r="G179" s="189">
        <f>$C179+SUM($D179:F179,H179:$FB179)-SUM(G$176:G178,G180:G$330)-G$331</f>
        <v>1.2264176808405214E-18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1.0674848256621099E-5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5.4032570842934093E-2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4.4208225415702657E-2</v>
      </c>
      <c r="G181" s="190">
        <f t="shared" si="38"/>
        <v>0</v>
      </c>
      <c r="H181" s="190">
        <f t="shared" ref="H181:H212" si="44">H14*H$168</f>
        <v>0</v>
      </c>
      <c r="I181" s="189">
        <f>$C181+SUM($D181:H181,J181:$FB181)-SUM(I$176:I180,I182:I$330)-I$331</f>
        <v>1.3877787807814457E-17</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7.5146239962680739E-3</v>
      </c>
      <c r="H182" s="190">
        <f t="shared" si="44"/>
        <v>0</v>
      </c>
      <c r="I182" s="184">
        <f t="shared" ref="I182:I213" si="50">I15*I$168</f>
        <v>0</v>
      </c>
      <c r="J182" s="189">
        <f>$C182+SUM($D182:I182,K182:$FB182)-SUM(J$176:J181,J183:J$330)-J$331</f>
        <v>2.6020852139652106E-18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1.4178887140325756E-21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3.9050183269843914E-17</v>
      </c>
      <c r="L183" s="184">
        <f t="shared" ref="L183:AQ183" si="57">L16*L$168</f>
        <v>2.4733189096565002E-7</v>
      </c>
      <c r="M183" s="184">
        <f t="shared" si="57"/>
        <v>4.6761206794536068E-3</v>
      </c>
      <c r="N183" s="184">
        <f t="shared" si="57"/>
        <v>8.1321868358566777E-6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7.9031096188231804E-3</v>
      </c>
      <c r="AJ183" s="184">
        <f t="shared" si="57"/>
        <v>0</v>
      </c>
      <c r="AK183" s="184">
        <f t="shared" si="57"/>
        <v>0</v>
      </c>
      <c r="AL183" s="184">
        <f t="shared" si="57"/>
        <v>0</v>
      </c>
      <c r="AM183" s="184">
        <f t="shared" si="57"/>
        <v>0.2600181629542046</v>
      </c>
      <c r="AN183" s="184">
        <f t="shared" si="57"/>
        <v>0</v>
      </c>
      <c r="AO183" s="184">
        <f t="shared" si="57"/>
        <v>0</v>
      </c>
      <c r="AP183" s="184">
        <f t="shared" si="57"/>
        <v>0</v>
      </c>
      <c r="AQ183" s="184">
        <f t="shared" si="57"/>
        <v>2.9270759828504832E-3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8.5595214537790578E-4</v>
      </c>
      <c r="F184" s="190">
        <f t="shared" si="32"/>
        <v>0</v>
      </c>
      <c r="G184" s="190">
        <f t="shared" si="38"/>
        <v>0</v>
      </c>
      <c r="H184" s="190">
        <f t="shared" si="44"/>
        <v>1.3449301648265716E-4</v>
      </c>
      <c r="I184" s="184">
        <f t="shared" si="50"/>
        <v>0</v>
      </c>
      <c r="J184" s="190">
        <f t="shared" si="56"/>
        <v>0</v>
      </c>
      <c r="K184" s="190">
        <f t="shared" ref="K184:K215" si="62">K17*K$168</f>
        <v>0</v>
      </c>
      <c r="L184" s="189">
        <f>$C184+SUM($D184:K184,M184:$FB184)-SUM(L$176:L183,L185:L$330)-L$331</f>
        <v>1.981031700300062E-19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2.4562539267285381E-8</v>
      </c>
      <c r="AK184" s="184">
        <f t="shared" si="63"/>
        <v>0</v>
      </c>
      <c r="AL184" s="184">
        <f t="shared" si="63"/>
        <v>0</v>
      </c>
      <c r="AM184" s="184">
        <f t="shared" si="63"/>
        <v>0</v>
      </c>
      <c r="AN184" s="184">
        <f t="shared" si="63"/>
        <v>8.5314177791822317E-7</v>
      </c>
      <c r="AO184" s="184">
        <f t="shared" si="63"/>
        <v>0</v>
      </c>
      <c r="AP184" s="184">
        <f t="shared" si="63"/>
        <v>0</v>
      </c>
      <c r="AQ184" s="184">
        <f t="shared" si="63"/>
        <v>0</v>
      </c>
      <c r="AR184" s="184">
        <f t="shared" si="63"/>
        <v>1.6170826912563069E-8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7.8937723097129251E-4</v>
      </c>
      <c r="G185" s="190">
        <f t="shared" si="38"/>
        <v>0</v>
      </c>
      <c r="H185" s="190">
        <f t="shared" si="44"/>
        <v>0</v>
      </c>
      <c r="I185" s="184">
        <f t="shared" si="50"/>
        <v>1.1003913929593536E-4</v>
      </c>
      <c r="J185" s="190">
        <f t="shared" si="56"/>
        <v>0</v>
      </c>
      <c r="K185" s="190">
        <f t="shared" si="62"/>
        <v>0</v>
      </c>
      <c r="L185" s="190">
        <f t="shared" ref="L185:L216" si="68">L18*L$168</f>
        <v>9.8379131285841249E-4</v>
      </c>
      <c r="M185" s="189">
        <f>$C185+SUM($D185:L185,N185:$FB185)-SUM(M$176:M184,M186:M$330)-M$331</f>
        <v>-1.2353392639930193E-18</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1.8793455361051659E-4</v>
      </c>
      <c r="AL185" s="184">
        <f t="shared" si="69"/>
        <v>0</v>
      </c>
      <c r="AM185" s="184">
        <f t="shared" si="69"/>
        <v>0</v>
      </c>
      <c r="AN185" s="184">
        <f t="shared" si="69"/>
        <v>0</v>
      </c>
      <c r="AO185" s="184">
        <f t="shared" si="69"/>
        <v>2.6376837296224619E-3</v>
      </c>
      <c r="AP185" s="184">
        <f t="shared" si="69"/>
        <v>0</v>
      </c>
      <c r="AQ185" s="184">
        <f t="shared" si="69"/>
        <v>0</v>
      </c>
      <c r="AR185" s="184">
        <f t="shared" si="69"/>
        <v>0</v>
      </c>
      <c r="AS185" s="184">
        <f t="shared" si="69"/>
        <v>6.9599961488582662E-5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2.5280246811867651E-7</v>
      </c>
      <c r="H186" s="190">
        <f t="shared" si="44"/>
        <v>0</v>
      </c>
      <c r="I186" s="184">
        <f t="shared" si="50"/>
        <v>0</v>
      </c>
      <c r="J186" s="190">
        <f t="shared" si="56"/>
        <v>1.8704726301639944E-5</v>
      </c>
      <c r="K186" s="190">
        <f t="shared" si="62"/>
        <v>0</v>
      </c>
      <c r="L186" s="190">
        <f t="shared" si="68"/>
        <v>7.2958907614145648E-6</v>
      </c>
      <c r="M186" s="190">
        <f t="shared" ref="M186:M217" si="74">M19*M$168</f>
        <v>0</v>
      </c>
      <c r="N186" s="189">
        <f>$C186+SUM($D186:M186,O186:$FB186)-SUM(N$176:N185,N187:N$330)-N$331</f>
        <v>-6.2110382690763066E-21</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7.0626213634492141E-9</v>
      </c>
      <c r="AM186" s="184">
        <f t="shared" si="75"/>
        <v>0</v>
      </c>
      <c r="AN186" s="184">
        <f t="shared" si="75"/>
        <v>0</v>
      </c>
      <c r="AO186" s="184">
        <f t="shared" si="75"/>
        <v>0</v>
      </c>
      <c r="AP186" s="184">
        <f t="shared" si="75"/>
        <v>1.3579578048374436E-7</v>
      </c>
      <c r="AQ186" s="184">
        <f t="shared" si="75"/>
        <v>0</v>
      </c>
      <c r="AR186" s="184">
        <f t="shared" si="75"/>
        <v>0</v>
      </c>
      <c r="AS186" s="184">
        <f t="shared" si="75"/>
        <v>0</v>
      </c>
      <c r="AT186" s="184">
        <f t="shared" si="75"/>
        <v>2.6154955340367932E-9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1.5596775854358336E-20</v>
      </c>
      <c r="E187" s="190">
        <f t="shared" si="26"/>
        <v>0</v>
      </c>
      <c r="F187" s="190">
        <f t="shared" si="32"/>
        <v>0</v>
      </c>
      <c r="G187" s="190">
        <f t="shared" si="38"/>
        <v>0</v>
      </c>
      <c r="H187" s="190">
        <f t="shared" si="44"/>
        <v>0</v>
      </c>
      <c r="I187" s="184">
        <f t="shared" si="50"/>
        <v>0</v>
      </c>
      <c r="J187" s="190">
        <f t="shared" si="56"/>
        <v>0</v>
      </c>
      <c r="K187" s="190">
        <f t="shared" si="62"/>
        <v>4.1824683206321066E-2</v>
      </c>
      <c r="L187" s="190">
        <f t="shared" si="68"/>
        <v>0</v>
      </c>
      <c r="M187" s="190">
        <f t="shared" si="74"/>
        <v>0</v>
      </c>
      <c r="N187" s="190">
        <f t="shared" ref="N187:N218" si="80">N20*N$168</f>
        <v>0</v>
      </c>
      <c r="O187" s="189">
        <f>$C187+SUM($D187:N187,P187:$FB187)-SUM(O$176:O186,O188:O$330)-O$331</f>
        <v>7.8938418371373778E-15</v>
      </c>
      <c r="P187" s="184">
        <f t="shared" ref="P187:AU187" si="81">P20*P$168</f>
        <v>2.7391602146704355E-4</v>
      </c>
      <c r="Q187" s="184">
        <f t="shared" si="81"/>
        <v>1.4478892112238733</v>
      </c>
      <c r="R187" s="184">
        <f t="shared" si="81"/>
        <v>9.3918903552197668E-3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42.311562166493587</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8.6934205807054993E-2</v>
      </c>
      <c r="AJ187" s="184">
        <f t="shared" si="81"/>
        <v>0</v>
      </c>
      <c r="AK187" s="184">
        <f t="shared" si="81"/>
        <v>0</v>
      </c>
      <c r="AL187" s="184">
        <f t="shared" si="81"/>
        <v>0</v>
      </c>
      <c r="AM187" s="184">
        <f t="shared" si="81"/>
        <v>2.8601997924962514</v>
      </c>
      <c r="AN187" s="184">
        <f t="shared" si="81"/>
        <v>0</v>
      </c>
      <c r="AO187" s="184">
        <f t="shared" si="81"/>
        <v>0</v>
      </c>
      <c r="AP187" s="184">
        <f t="shared" si="81"/>
        <v>0</v>
      </c>
      <c r="AQ187" s="184">
        <f t="shared" si="81"/>
        <v>3.2197835811355317E-2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2.9396302942212462</v>
      </c>
      <c r="D188" s="190">
        <f t="shared" si="20"/>
        <v>0</v>
      </c>
      <c r="E188" s="190">
        <f t="shared" si="26"/>
        <v>9.4154735991569642E-3</v>
      </c>
      <c r="F188" s="190">
        <f t="shared" si="32"/>
        <v>0</v>
      </c>
      <c r="G188" s="190">
        <f t="shared" si="38"/>
        <v>0</v>
      </c>
      <c r="H188" s="190">
        <f t="shared" si="44"/>
        <v>1.4794231813092288E-3</v>
      </c>
      <c r="I188" s="184">
        <f t="shared" si="50"/>
        <v>0</v>
      </c>
      <c r="J188" s="190">
        <f t="shared" si="56"/>
        <v>0</v>
      </c>
      <c r="K188" s="190">
        <f t="shared" si="62"/>
        <v>0</v>
      </c>
      <c r="L188" s="190">
        <f t="shared" si="68"/>
        <v>4.4918099749884551E-9</v>
      </c>
      <c r="M188" s="190">
        <f t="shared" si="74"/>
        <v>0</v>
      </c>
      <c r="N188" s="190">
        <f t="shared" si="80"/>
        <v>0</v>
      </c>
      <c r="O188" s="190">
        <f t="shared" ref="O188:O219" si="86">O21*O$168</f>
        <v>0</v>
      </c>
      <c r="P188" s="189">
        <f>$C188+SUM($D188:O188,Q188:$FB188)-SUM(P$176:P187,P189:P$330)-P$331</f>
        <v>-9.0892963344762846E-16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1.0388870830048992E-12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2.701879319401392E-7</v>
      </c>
      <c r="AK188" s="184">
        <f t="shared" si="87"/>
        <v>0</v>
      </c>
      <c r="AL188" s="184">
        <f t="shared" si="87"/>
        <v>0</v>
      </c>
      <c r="AM188" s="184">
        <f t="shared" si="87"/>
        <v>0</v>
      </c>
      <c r="AN188" s="184">
        <f t="shared" si="87"/>
        <v>9.3845595571004552E-6</v>
      </c>
      <c r="AO188" s="184">
        <f t="shared" si="87"/>
        <v>0</v>
      </c>
      <c r="AP188" s="184">
        <f t="shared" si="87"/>
        <v>0</v>
      </c>
      <c r="AQ188" s="184">
        <f t="shared" si="87"/>
        <v>0</v>
      </c>
      <c r="AR188" s="184">
        <f t="shared" si="87"/>
        <v>1.7787909603819378E-7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8.6831495406842173E-3</v>
      </c>
      <c r="G189" s="190">
        <f t="shared" si="38"/>
        <v>0</v>
      </c>
      <c r="H189" s="190">
        <f t="shared" si="44"/>
        <v>0</v>
      </c>
      <c r="I189" s="184">
        <f t="shared" si="50"/>
        <v>1.2104305322552891E-3</v>
      </c>
      <c r="J189" s="190">
        <f t="shared" si="56"/>
        <v>0</v>
      </c>
      <c r="K189" s="190">
        <f t="shared" si="62"/>
        <v>0</v>
      </c>
      <c r="L189" s="190">
        <f t="shared" si="68"/>
        <v>0</v>
      </c>
      <c r="M189" s="190">
        <f t="shared" si="74"/>
        <v>8.4923320766332631E-5</v>
      </c>
      <c r="N189" s="190">
        <f t="shared" si="80"/>
        <v>0</v>
      </c>
      <c r="O189" s="190">
        <f t="shared" si="86"/>
        <v>0</v>
      </c>
      <c r="P189" s="190">
        <f t="shared" ref="P189:P220" si="92">P22*P$168</f>
        <v>2.352818855759804</v>
      </c>
      <c r="Q189" s="189">
        <f>$C189+SUM($D189:P189,R189:$FB189)-SUM(Q$176:Q188,Q190:Q$330)-Q$331</f>
        <v>-4.426309847537883E-16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2.9470494125772382E-2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2.0672800897156827E-3</v>
      </c>
      <c r="AL189" s="184">
        <f t="shared" si="93"/>
        <v>0</v>
      </c>
      <c r="AM189" s="184">
        <f t="shared" si="93"/>
        <v>0</v>
      </c>
      <c r="AN189" s="184">
        <f t="shared" si="93"/>
        <v>0</v>
      </c>
      <c r="AO189" s="184">
        <f t="shared" si="93"/>
        <v>2.9014521025847083E-2</v>
      </c>
      <c r="AP189" s="184">
        <f t="shared" si="93"/>
        <v>0</v>
      </c>
      <c r="AQ189" s="184">
        <f t="shared" si="93"/>
        <v>0</v>
      </c>
      <c r="AR189" s="184">
        <f t="shared" si="93"/>
        <v>0</v>
      </c>
      <c r="AS189" s="184">
        <f t="shared" si="93"/>
        <v>7.6559957637440941E-4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2.780827149305442E-6</v>
      </c>
      <c r="H190" s="190">
        <f t="shared" si="44"/>
        <v>0</v>
      </c>
      <c r="I190" s="184">
        <f t="shared" si="50"/>
        <v>0</v>
      </c>
      <c r="J190" s="190">
        <f t="shared" si="56"/>
        <v>2.0575198931803941E-4</v>
      </c>
      <c r="K190" s="190">
        <f t="shared" si="62"/>
        <v>0</v>
      </c>
      <c r="L190" s="190">
        <f t="shared" si="68"/>
        <v>0</v>
      </c>
      <c r="M190" s="190">
        <f t="shared" si="74"/>
        <v>0</v>
      </c>
      <c r="N190" s="190">
        <f t="shared" si="80"/>
        <v>1.4768915486456192E-7</v>
      </c>
      <c r="O190" s="190">
        <f t="shared" si="86"/>
        <v>0</v>
      </c>
      <c r="P190" s="190">
        <f t="shared" si="92"/>
        <v>0.59729115321066439</v>
      </c>
      <c r="Q190" s="190">
        <f t="shared" ref="Q190:Q221" si="98">Q23*Q$168</f>
        <v>0</v>
      </c>
      <c r="R190" s="189">
        <f>$C190+SUM($D190:Q190,S190:$FB190)-SUM(R$176:R189,R191:R$330)-R$331</f>
        <v>1.7667157460771868E-16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0.11458298229596542</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7.7688834997941351E-8</v>
      </c>
      <c r="AM190" s="184">
        <f t="shared" si="99"/>
        <v>0</v>
      </c>
      <c r="AN190" s="184">
        <f t="shared" si="99"/>
        <v>0</v>
      </c>
      <c r="AO190" s="184">
        <f t="shared" si="99"/>
        <v>0</v>
      </c>
      <c r="AP190" s="184">
        <f t="shared" si="99"/>
        <v>1.493753585321188E-6</v>
      </c>
      <c r="AQ190" s="184">
        <f t="shared" si="99"/>
        <v>0</v>
      </c>
      <c r="AR190" s="184">
        <f t="shared" si="99"/>
        <v>0</v>
      </c>
      <c r="AS190" s="184">
        <f t="shared" si="99"/>
        <v>0</v>
      </c>
      <c r="AT190" s="184">
        <f t="shared" si="99"/>
        <v>2.8770450874404721E-8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2.4813207578117465E-21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0.5822679195669257</v>
      </c>
      <c r="P191" s="190">
        <f t="shared" si="92"/>
        <v>0</v>
      </c>
      <c r="Q191" s="190">
        <f t="shared" si="98"/>
        <v>0</v>
      </c>
      <c r="R191" s="190">
        <f t="shared" ref="R191:R222" si="104">R24*R$168</f>
        <v>0</v>
      </c>
      <c r="S191" s="189">
        <f>$C191+SUM($D191:R191,T191:$FB191)-SUM(S$176:S190,S192:S$330)-S$331</f>
        <v>3.6355147338373789E-16</v>
      </c>
      <c r="T191" s="184">
        <f t="shared" ref="T191:AY191" si="105">T24*T$168</f>
        <v>5.7415384278365447E-6</v>
      </c>
      <c r="U191" s="184">
        <f t="shared" si="105"/>
        <v>0.71629409198045668</v>
      </c>
      <c r="V191" s="184">
        <f t="shared" si="105"/>
        <v>3.8278956160979114E-3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0.62403448072781098</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1.1931090762609673E-2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1.0882638259518235E-3</v>
      </c>
      <c r="F192" s="190">
        <f t="shared" si="32"/>
        <v>0</v>
      </c>
      <c r="G192" s="190">
        <f t="shared" si="38"/>
        <v>0</v>
      </c>
      <c r="H192" s="190">
        <f t="shared" si="44"/>
        <v>2.3536424987121202E-4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1.5074563743516304E-4</v>
      </c>
      <c r="Q192" s="190">
        <f t="shared" si="98"/>
        <v>0</v>
      </c>
      <c r="R192" s="190">
        <f t="shared" si="104"/>
        <v>0</v>
      </c>
      <c r="S192" s="190">
        <f t="shared" ref="S192:S223" si="110">S25*S$168</f>
        <v>0</v>
      </c>
      <c r="T192" s="189">
        <f>$C192+SUM($D192:S192,U192:$FB192)-SUM(T$176:T191,T193:T$330)-T$331</f>
        <v>8.6249602745633873E-19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1.4243507280857545E-17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1.7735860908392622E-10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1.283470312793462E-3</v>
      </c>
      <c r="G193" s="190">
        <f t="shared" si="38"/>
        <v>0</v>
      </c>
      <c r="H193" s="190">
        <f t="shared" si="44"/>
        <v>0</v>
      </c>
      <c r="I193" s="184">
        <f t="shared" si="50"/>
        <v>1.9256969732849542E-4</v>
      </c>
      <c r="J193" s="190">
        <f t="shared" si="56"/>
        <v>0</v>
      </c>
      <c r="K193" s="190">
        <f t="shared" si="62"/>
        <v>0</v>
      </c>
      <c r="L193" s="190">
        <f t="shared" si="68"/>
        <v>0</v>
      </c>
      <c r="M193" s="190">
        <f t="shared" si="74"/>
        <v>0</v>
      </c>
      <c r="N193" s="190">
        <f t="shared" si="80"/>
        <v>0</v>
      </c>
      <c r="O193" s="190">
        <f t="shared" si="86"/>
        <v>0</v>
      </c>
      <c r="P193" s="190">
        <f t="shared" si="92"/>
        <v>0</v>
      </c>
      <c r="Q193" s="190">
        <f t="shared" si="98"/>
        <v>0.79682444609286451</v>
      </c>
      <c r="R193" s="190">
        <f t="shared" si="104"/>
        <v>0</v>
      </c>
      <c r="S193" s="190">
        <f t="shared" si="110"/>
        <v>0</v>
      </c>
      <c r="T193" s="190">
        <f t="shared" ref="T193:T224" si="116">T26*T$168</f>
        <v>1.4441128328937149E-3</v>
      </c>
      <c r="U193" s="189">
        <f>$C193+SUM($D193:T193,V193:$FB193)-SUM(U$176:U192,U194:U$330)-U$331</f>
        <v>-5.1917379196283209E-17</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1.9394879938753067E-7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1.2706218682569994E-6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4.4240708425196103E-7</v>
      </c>
      <c r="H194" s="190">
        <f t="shared" si="44"/>
        <v>0</v>
      </c>
      <c r="I194" s="184">
        <f t="shared" si="50"/>
        <v>0</v>
      </c>
      <c r="J194" s="190">
        <f t="shared" si="56"/>
        <v>3.2733475612092522E-5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5.1686881648472871E-3</v>
      </c>
      <c r="S194" s="190">
        <f t="shared" si="110"/>
        <v>0</v>
      </c>
      <c r="T194" s="190">
        <f t="shared" si="116"/>
        <v>2.385296262456863E-5</v>
      </c>
      <c r="U194" s="190">
        <f t="shared" ref="U194:U225" si="122">U27*U$168</f>
        <v>0</v>
      </c>
      <c r="V194" s="189">
        <f>$C194+SUM($D194:U194,W194:$FB194)-SUM(V$176:V193,V195:V$330)-V$331</f>
        <v>2.8275528302426291E-18</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6.2125639413102868E-7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3.2496816256947465E-9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0.23370816554766999</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1.6140216567870873E-16</v>
      </c>
      <c r="Y195" s="184">
        <f t="shared" si="129"/>
        <v>1.7008846529614209E-5</v>
      </c>
      <c r="Z195" s="184">
        <f t="shared" si="129"/>
        <v>1.7730122549673183E-5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9.6838932531588793E-12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-3.329724873411537E-28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1.7381927626908567E-5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1.2839156956206584E-12</v>
      </c>
      <c r="Y197" s="189">
        <f>$C197+SUM($D197:X197,Z197:$FB197)-SUM(Y$176:Y196,Y198:Y$330)-Y$331</f>
        <v>5.5057141571529522E-21</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1.8119017437832564E-5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8.3998126150793069E-12</v>
      </c>
      <c r="Y198" s="190">
        <f t="shared" ref="Y198:Y229" si="145">Y31*Y$168</f>
        <v>0</v>
      </c>
      <c r="Z198" s="189">
        <f>$C198+SUM($D198:Y198,AA198:$FB198)-SUM(Z$176:Z197,Z199:Z$330)-Z$331</f>
        <v>-5.2939559203393771E-22</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46.208005781848186</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5.1718963484725885E-12</v>
      </c>
      <c r="AC199" s="184">
        <f t="shared" si="151"/>
        <v>0.1467130965916979</v>
      </c>
      <c r="AD199" s="184">
        <f t="shared" si="151"/>
        <v>0.57042898831653699</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3.5749177644937839E-7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1.3633914579370956E-24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0.17940159665437183</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8.8325741699947535E-8</v>
      </c>
      <c r="AC201" s="189">
        <f>$C201+SUM($D201:AB201,AD201:$FB201)-SUM(AC$176:AC200,AC202:AC$330)-AC$331</f>
        <v>3.2092384305570931E-17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0.69752383770505522</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2.6915971052248033E-7</v>
      </c>
      <c r="AC202" s="190">
        <f t="shared" ref="AC202:AC233" si="165">AC35*AC$168</f>
        <v>0</v>
      </c>
      <c r="AD202" s="189">
        <f>$C202+SUM($D202:AC202,AE202:$FB202)-SUM(AD$176:AD201,AD203:AD$330)-AD$331</f>
        <v>-1.7347234759768071E-16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0.79341847429849854</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2.1855699899026564E-14</v>
      </c>
      <c r="AG203" s="184">
        <f t="shared" si="171"/>
        <v>2.9760133312721352E-4</v>
      </c>
      <c r="AH203" s="184">
        <f t="shared" si="171"/>
        <v>9.5327597639713172E-4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2.5147225453339132E-11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-9.5388498287780986E-27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2.9784857016061547E-4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1.0987794454050896E-11</v>
      </c>
      <c r="AG205" s="189">
        <f>$C205+SUM($D205:AF205,AH205:$FB205)-SUM(AG$176:AG204,AG206:AG$330)-AG$331</f>
        <v>-4.6964006458310699E-20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9.540679466110612E-4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1.4137557141612522E-11</v>
      </c>
      <c r="AG206" s="190">
        <f t="shared" ref="AG206:AG237" si="185">AG39*AG$168</f>
        <v>0</v>
      </c>
      <c r="AH206" s="189">
        <f>$C206+SUM($D206:AG206,AI206:$FB206)-SUM(AH$176:AH205,AH207:AH$330)-AH$331</f>
        <v>5.4263048183478615E-20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1.5313198111548147E-19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-2.4746914586981639E-17</v>
      </c>
      <c r="AJ207" s="184">
        <f t="shared" ref="AJ207:BO207" si="191">AJ40*AJ$168</f>
        <v>1.0176638338434342E-5</v>
      </c>
      <c r="AK207" s="184">
        <f t="shared" si="191"/>
        <v>7.786418018826842E-2</v>
      </c>
      <c r="AL207" s="184">
        <f t="shared" si="191"/>
        <v>1.70715274371946E-2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5.0095895924947342E-2</v>
      </c>
      <c r="F208" s="190">
        <f t="shared" si="32"/>
        <v>0</v>
      </c>
      <c r="G208" s="190">
        <f t="shared" si="38"/>
        <v>0</v>
      </c>
      <c r="H208" s="190">
        <f t="shared" si="44"/>
        <v>1.4525245780126976E-2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-2.9324148285045869E-18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1.8663892005713573E-2</v>
      </c>
      <c r="G209" s="190">
        <f t="shared" si="38"/>
        <v>0</v>
      </c>
      <c r="H209" s="190">
        <f t="shared" si="44"/>
        <v>0</v>
      </c>
      <c r="I209" s="184">
        <f t="shared" si="50"/>
        <v>1.1884227043961021E-2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4.9586469249002445E-2</v>
      </c>
      <c r="AK209" s="189">
        <f>$C209+SUM($D209:AJ209,AL209:$FB209)-SUM(AK$176:AK208,AK210:AK$330)-AK$331</f>
        <v>4.5384025313885412E-18</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2.7302666556817066E-5</v>
      </c>
      <c r="H210" s="190">
        <f t="shared" si="44"/>
        <v>0</v>
      </c>
      <c r="I210" s="184">
        <f t="shared" si="50"/>
        <v>0</v>
      </c>
      <c r="J210" s="190">
        <f t="shared" si="56"/>
        <v>2.0201104405771146E-3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1.5024199081517069E-2</v>
      </c>
      <c r="AK210" s="190">
        <f t="shared" ref="AK210:AK241" si="207">AK43*AK$168</f>
        <v>0</v>
      </c>
      <c r="AL210" s="189">
        <f>$C210+SUM($D210:AK210,AM210:$FB210)-SUM(AL$176:AL209,AL211:AL$330)-AL$331</f>
        <v>6.5788922998404947E-18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3.402932913677365E-19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-3.5041414214731503E-16</v>
      </c>
      <c r="AN211" s="184">
        <f t="shared" ref="AN211:BS211" si="214">AN44*AN$168</f>
        <v>7.7681128602376281E-4</v>
      </c>
      <c r="AO211" s="184">
        <f t="shared" si="214"/>
        <v>2.4016904847067311</v>
      </c>
      <c r="AP211" s="184">
        <f t="shared" si="214"/>
        <v>0.72132265519990901</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2.9396302942212462</v>
      </c>
      <c r="D212" s="190">
        <f t="shared" si="200"/>
        <v>0</v>
      </c>
      <c r="E212" s="190">
        <f t="shared" si="206"/>
        <v>0.1113242131665496</v>
      </c>
      <c r="F212" s="190">
        <f t="shared" si="212"/>
        <v>0</v>
      </c>
      <c r="G212" s="190">
        <f t="shared" ref="G212:G243" si="218">G45*G$168</f>
        <v>0</v>
      </c>
      <c r="H212" s="190">
        <f t="shared" si="44"/>
        <v>3.2278323955837719E-2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-4.0965698967193029E-16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4.1475315568252374E-2</v>
      </c>
      <c r="G213" s="190">
        <f t="shared" si="218"/>
        <v>0</v>
      </c>
      <c r="H213" s="190">
        <f t="shared" ref="H213:H244" si="224">H46*H$168</f>
        <v>0</v>
      </c>
      <c r="I213" s="184">
        <f t="shared" si="50"/>
        <v>2.640939343102449E-2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2.3656712355357641</v>
      </c>
      <c r="AO213" s="189">
        <f>$C213+SUM($D213:AN213,AP213:$FB213)-SUM(AO$176:AO212,AO214:AO$330)-AO$331</f>
        <v>4.710316338363274E-16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6.0672592348482369E-5</v>
      </c>
      <c r="H214" s="190">
        <f t="shared" si="224"/>
        <v>0</v>
      </c>
      <c r="I214" s="184">
        <f t="shared" ref="I214:I245" si="230">I47*I$168</f>
        <v>0</v>
      </c>
      <c r="J214" s="190">
        <f t="shared" si="56"/>
        <v>4.4891343123935872E-3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0.7167744778445343</v>
      </c>
      <c r="AO214" s="190">
        <f t="shared" ref="AO214:AO245" si="231">AO47*AO$168</f>
        <v>0</v>
      </c>
      <c r="AP214" s="189">
        <f>$C214+SUM($D214:AO214,AQ214:$FB214)-SUM(AP$176:AP213,AP215:AP$330)-AP$331</f>
        <v>7.3156884988753169E-17</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5.6715548561289416E-20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-2.0667603913004928E-18</v>
      </c>
      <c r="AR215" s="184">
        <f t="shared" ref="AR215:BW215" si="238">AR48*AR$168</f>
        <v>6.6998226580652161E-6</v>
      </c>
      <c r="AS215" s="184">
        <f t="shared" si="238"/>
        <v>2.8836336045338518E-2</v>
      </c>
      <c r="AT215" s="184">
        <f t="shared" si="238"/>
        <v>6.3220865842031808E-3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1.8554035527758271E-2</v>
      </c>
      <c r="F216" s="190">
        <f t="shared" si="212"/>
        <v>0</v>
      </c>
      <c r="G216" s="190">
        <f t="shared" si="218"/>
        <v>0</v>
      </c>
      <c r="H216" s="190">
        <f t="shared" si="224"/>
        <v>5.3797206593062877E-3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3.5791867290743398E-18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6.9125525947087308E-3</v>
      </c>
      <c r="G217" s="190">
        <f t="shared" si="218"/>
        <v>0</v>
      </c>
      <c r="H217" s="190">
        <f t="shared" si="224"/>
        <v>0</v>
      </c>
      <c r="I217" s="184">
        <f t="shared" si="230"/>
        <v>4.4015655718374147E-3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1.8363044187802546E-2</v>
      </c>
      <c r="AS217" s="189">
        <f>$C217+SUM($D217:AR217,AT217:$FB217)-SUM(AS$176:AS216,AS218:AS$330)-AS$331</f>
        <v>3.8624702394796095E-18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1.0112098724747062E-5</v>
      </c>
      <c r="H218" s="190">
        <f t="shared" si="224"/>
        <v>0</v>
      </c>
      <c r="I218" s="184">
        <f t="shared" si="230"/>
        <v>0</v>
      </c>
      <c r="J218" s="190">
        <f t="shared" si="236"/>
        <v>7.4818905206559794E-4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5.5638168193592585E-3</v>
      </c>
      <c r="AS218" s="190">
        <f t="shared" ref="AS218:AS249" si="255">AS51*AS$168</f>
        <v>0</v>
      </c>
      <c r="AT218" s="189">
        <f>$C218+SUM($D218:AS218,AU218:$FB218)-SUM(AT$176:AT217,AT219:AT$330)-AT$331</f>
        <v>8.9609050965597507E-19</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7.8156174375519501E-19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-1.0624823239342328E-33</v>
      </c>
      <c r="AV219" s="184">
        <f t="shared" ref="AV219:CA219" si="262">AV52*AV$168</f>
        <v>0</v>
      </c>
      <c r="AW219" s="184">
        <f t="shared" si="262"/>
        <v>0</v>
      </c>
      <c r="AX219" s="184">
        <f t="shared" si="262"/>
        <v>0</v>
      </c>
      <c r="AY219" s="184">
        <f t="shared" si="262"/>
        <v>0</v>
      </c>
      <c r="AZ219" s="184">
        <f t="shared" si="262"/>
        <v>0</v>
      </c>
      <c r="BA219" s="184">
        <f t="shared" si="262"/>
        <v>0</v>
      </c>
      <c r="BB219" s="184">
        <f t="shared" si="262"/>
        <v>8.0742259797222978E-22</v>
      </c>
      <c r="BC219" s="184">
        <f t="shared" si="262"/>
        <v>0</v>
      </c>
      <c r="BD219" s="184">
        <f t="shared" si="262"/>
        <v>0</v>
      </c>
      <c r="BE219" s="184">
        <f t="shared" si="262"/>
        <v>0</v>
      </c>
      <c r="BF219" s="184">
        <f t="shared" si="262"/>
        <v>3.1203809866268882E-21</v>
      </c>
      <c r="BG219" s="184">
        <f t="shared" si="262"/>
        <v>0</v>
      </c>
      <c r="BH219" s="184">
        <f t="shared" si="262"/>
        <v>0</v>
      </c>
      <c r="BI219" s="184">
        <f t="shared" si="262"/>
        <v>0</v>
      </c>
      <c r="BJ219" s="184">
        <f t="shared" si="262"/>
        <v>1.3611377782992802E-19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2.5819584588807781E-20</v>
      </c>
      <c r="CA219" s="184">
        <f t="shared" si="262"/>
        <v>0</v>
      </c>
      <c r="CB219" s="184">
        <f t="shared" ref="CB219:DG219" si="263">CB52*CB$168</f>
        <v>0</v>
      </c>
      <c r="CC219" s="184">
        <f t="shared" si="263"/>
        <v>0</v>
      </c>
      <c r="CD219" s="184">
        <f t="shared" si="263"/>
        <v>5.8253220406387443E-20</v>
      </c>
      <c r="CE219" s="184">
        <f t="shared" si="263"/>
        <v>0</v>
      </c>
      <c r="CF219" s="184">
        <f t="shared" si="263"/>
        <v>0</v>
      </c>
      <c r="CG219" s="184">
        <f t="shared" si="263"/>
        <v>0</v>
      </c>
      <c r="CH219" s="184">
        <f t="shared" si="263"/>
        <v>9.5628083840090894E-21</v>
      </c>
      <c r="CI219" s="184">
        <f t="shared" si="263"/>
        <v>0</v>
      </c>
      <c r="CJ219" s="184">
        <f t="shared" si="263"/>
        <v>0</v>
      </c>
      <c r="CK219" s="184">
        <f t="shared" si="263"/>
        <v>0</v>
      </c>
      <c r="CL219" s="184">
        <f t="shared" si="263"/>
        <v>2.0746281037172327E-18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0.52478358516900636</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-1.2662803748272888E-16</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4.5247718534010329E-5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2.3818660218076388</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0.44684745463339559</v>
      </c>
      <c r="AW221" s="189">
        <f>$C221+SUM($D221:AV221,AX221:$FB221)-SUM(AW$176:AW220,AW222:AW$330)-AW$331</f>
        <v>8.2090367489739968E-16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0.11723154821176318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9.5674138470559723E-4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1.7677517565258375E-3</v>
      </c>
      <c r="AW222" s="190">
        <f t="shared" ref="AW222:AW253" si="279">AW55*AW$168</f>
        <v>0</v>
      </c>
      <c r="AX222" s="189">
        <f>$C222+SUM($D222:AW222,AY222:$FB222)-SUM(AX$176:AX221,AX223:AX$330)-AX$331</f>
        <v>-1.1153124353236238E-18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1.7405884114042614E-7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0.19767593765311084</v>
      </c>
      <c r="AX224" s="190">
        <f t="shared" si="285"/>
        <v>0</v>
      </c>
      <c r="AY224" s="190">
        <f t="shared" ref="AY224:AY255" si="291">AY57*AY$168</f>
        <v>0</v>
      </c>
      <c r="AZ224" s="189">
        <f>$C224+SUM($D224:AY224,BA224:$FB224)-SUM(AZ$176:AZ223,AZ225:AZ$330)-AZ$331</f>
        <v>2.7755575615628914E-17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2.6293386531206909E-3</v>
      </c>
      <c r="AY225" s="190">
        <f t="shared" si="291"/>
        <v>0</v>
      </c>
      <c r="AZ225" s="190">
        <f t="shared" ref="AZ225:AZ256" si="297">AZ58*AZ$168</f>
        <v>0</v>
      </c>
      <c r="BA225" s="189">
        <f>$C225+SUM($D225:AZ225,BB225:$FB225)-SUM(BA$176:BA224,BA226:BA$330)-BA$331</f>
        <v>-4.3368086899420177E-19</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3.0763898119463375E-21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1.6416221568240756E-18</v>
      </c>
      <c r="BC226" s="184">
        <f t="shared" ref="BC226:CH226" si="304">BC59*BC$168</f>
        <v>2.4812528009074972E-8</v>
      </c>
      <c r="BD226" s="184">
        <f t="shared" si="304"/>
        <v>2.403406528844668E-3</v>
      </c>
      <c r="BE226" s="184">
        <f t="shared" si="304"/>
        <v>1.2197424897662891E-6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5.9299954209378189E-3</v>
      </c>
      <c r="CA226" s="184">
        <f t="shared" si="304"/>
        <v>0</v>
      </c>
      <c r="CB226" s="184">
        <f t="shared" si="304"/>
        <v>0</v>
      </c>
      <c r="CC226" s="184">
        <f t="shared" si="304"/>
        <v>0</v>
      </c>
      <c r="CD226" s="184">
        <f t="shared" si="304"/>
        <v>1.3379042915140478E-2</v>
      </c>
      <c r="CE226" s="184">
        <f t="shared" si="304"/>
        <v>0</v>
      </c>
      <c r="CF226" s="184">
        <f t="shared" si="304"/>
        <v>0</v>
      </c>
      <c r="CG226" s="184">
        <f t="shared" si="304"/>
        <v>0</v>
      </c>
      <c r="CH226" s="184">
        <f t="shared" si="304"/>
        <v>2.1962944343055422E-3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8.594030125778633E-5</v>
      </c>
      <c r="AW227" s="190">
        <f t="shared" si="279"/>
        <v>0</v>
      </c>
      <c r="AX227" s="190">
        <f t="shared" si="285"/>
        <v>0</v>
      </c>
      <c r="AY227" s="190">
        <f t="shared" si="291"/>
        <v>1.3503524018255623E-5</v>
      </c>
      <c r="AZ227" s="190">
        <f t="shared" si="297"/>
        <v>0</v>
      </c>
      <c r="BA227" s="190">
        <f t="shared" si="303"/>
        <v>0</v>
      </c>
      <c r="BB227" s="190">
        <f t="shared" ref="BB227:BB258" si="309">BB60*BB$168</f>
        <v>0</v>
      </c>
      <c r="BC227" s="189">
        <f>$C227+SUM($D227:BB227,BD227:$FB227)-SUM(BC$176:BC226,BC228:BC$330)-BC$331</f>
        <v>2.5225317341753143E-20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2.4661565902784633E-9</v>
      </c>
      <c r="CB227" s="184">
        <f t="shared" si="310"/>
        <v>0</v>
      </c>
      <c r="CC227" s="184">
        <f t="shared" si="310"/>
        <v>0</v>
      </c>
      <c r="CD227" s="184">
        <f t="shared" si="310"/>
        <v>0</v>
      </c>
      <c r="CE227" s="184">
        <f t="shared" si="310"/>
        <v>3.9895543666804179E-9</v>
      </c>
      <c r="CF227" s="184">
        <f t="shared" si="310"/>
        <v>0</v>
      </c>
      <c r="CG227" s="184">
        <f t="shared" si="310"/>
        <v>0</v>
      </c>
      <c r="CH227" s="184">
        <f t="shared" si="310"/>
        <v>0</v>
      </c>
      <c r="CI227" s="184">
        <f t="shared" si="310"/>
        <v>1.6236021417291037E-9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1.716530089875054E-3</v>
      </c>
      <c r="AX228" s="190">
        <f t="shared" si="285"/>
        <v>0</v>
      </c>
      <c r="AY228" s="190">
        <f t="shared" si="291"/>
        <v>0</v>
      </c>
      <c r="AZ228" s="190">
        <f t="shared" si="297"/>
        <v>2.392841929745181E-4</v>
      </c>
      <c r="BA228" s="190">
        <f t="shared" si="303"/>
        <v>0</v>
      </c>
      <c r="BB228" s="190">
        <f t="shared" si="309"/>
        <v>0</v>
      </c>
      <c r="BC228" s="190">
        <f t="shared" ref="BC228:BC259" si="315">BC61*BC$168</f>
        <v>9.8694711022017604E-5</v>
      </c>
      <c r="BD228" s="189">
        <f>$C228+SUM($D228:BC228,BE228:$FB228)-SUM(BD$176:BD227,BD229:BD$330)-BD$331</f>
        <v>5.0339366135682282E-19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1.6746549155934593E-4</v>
      </c>
      <c r="CC228" s="184">
        <f t="shared" si="316"/>
        <v>0</v>
      </c>
      <c r="CD228" s="184">
        <f t="shared" si="316"/>
        <v>0</v>
      </c>
      <c r="CE228" s="184">
        <f t="shared" si="316"/>
        <v>0</v>
      </c>
      <c r="CF228" s="184">
        <f t="shared" si="316"/>
        <v>1.7199061556012478E-4</v>
      </c>
      <c r="CG228" s="184">
        <f t="shared" si="316"/>
        <v>0</v>
      </c>
      <c r="CH228" s="184">
        <f t="shared" si="316"/>
        <v>0</v>
      </c>
      <c r="CI228" s="184">
        <f t="shared" si="316"/>
        <v>0</v>
      </c>
      <c r="CJ228" s="184">
        <f t="shared" si="316"/>
        <v>6.2023711070681122E-5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4.3016659375960511E-8</v>
      </c>
      <c r="AY229" s="190">
        <f t="shared" si="291"/>
        <v>0</v>
      </c>
      <c r="AZ229" s="190">
        <f t="shared" si="297"/>
        <v>0</v>
      </c>
      <c r="BA229" s="190">
        <f t="shared" si="303"/>
        <v>3.1827807933445255E-6</v>
      </c>
      <c r="BB229" s="190">
        <f t="shared" si="309"/>
        <v>0</v>
      </c>
      <c r="BC229" s="190">
        <f t="shared" si="315"/>
        <v>7.3192944574176233E-7</v>
      </c>
      <c r="BD229" s="190">
        <f t="shared" ref="BD229:BD260" si="321">BD62*BD$168</f>
        <v>0</v>
      </c>
      <c r="BE229" s="189">
        <f>$C229+SUM($D229:BD229,BF229:$FB229)-SUM(BE$176:BE228,BE230:BE$330)-BE$331</f>
        <v>-7.8142822484981185E-23</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7.6819468567460208E-10</v>
      </c>
      <c r="CD229" s="184">
        <f t="shared" si="322"/>
        <v>0</v>
      </c>
      <c r="CE229" s="184">
        <f t="shared" si="322"/>
        <v>0</v>
      </c>
      <c r="CF229" s="184">
        <f t="shared" si="322"/>
        <v>0</v>
      </c>
      <c r="CG229" s="184">
        <f t="shared" si="322"/>
        <v>7.7676603031414944E-10</v>
      </c>
      <c r="CH229" s="184">
        <f t="shared" si="322"/>
        <v>0</v>
      </c>
      <c r="CI229" s="184">
        <f t="shared" si="322"/>
        <v>0</v>
      </c>
      <c r="CJ229" s="184">
        <f t="shared" si="322"/>
        <v>0</v>
      </c>
      <c r="CK229" s="184">
        <f t="shared" si="322"/>
        <v>2.8448741765719212E-10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3.3840287931409712E-20</v>
      </c>
      <c r="AV230" s="190">
        <f t="shared" si="273"/>
        <v>0</v>
      </c>
      <c r="AW230" s="190">
        <f t="shared" si="279"/>
        <v>0</v>
      </c>
      <c r="AX230" s="190">
        <f t="shared" si="285"/>
        <v>0</v>
      </c>
      <c r="AY230" s="190">
        <f t="shared" si="291"/>
        <v>0</v>
      </c>
      <c r="AZ230" s="190">
        <f t="shared" si="297"/>
        <v>0</v>
      </c>
      <c r="BA230" s="190">
        <f t="shared" si="303"/>
        <v>0</v>
      </c>
      <c r="BB230" s="190">
        <f t="shared" si="309"/>
        <v>3.6294311356854926E-3</v>
      </c>
      <c r="BC230" s="190">
        <f t="shared" si="315"/>
        <v>0</v>
      </c>
      <c r="BD230" s="190">
        <f t="shared" si="321"/>
        <v>0</v>
      </c>
      <c r="BE230" s="190">
        <f t="shared" ref="BE230:BE261" si="326">BE63*BE$168</f>
        <v>0</v>
      </c>
      <c r="BF230" s="189">
        <f>$C230+SUM($D230:BE230,BG230:$FB230)-SUM(BF$176:BF229,BF231:BF$330)-BF$331</f>
        <v>6.5186321787983625E-16</v>
      </c>
      <c r="BG230" s="184">
        <f t="shared" ref="BG230:CL230" si="327">BG63*BG$168</f>
        <v>1.0155998520025199E-7</v>
      </c>
      <c r="BH230" s="184">
        <f t="shared" si="327"/>
        <v>1.6232370747971223E-2</v>
      </c>
      <c r="BI230" s="184">
        <f t="shared" si="327"/>
        <v>4.0400481867229201E-6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2.1154472830185371</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6.5229949630316003E-2</v>
      </c>
      <c r="CA230" s="184">
        <f t="shared" si="327"/>
        <v>0</v>
      </c>
      <c r="CB230" s="184">
        <f t="shared" si="327"/>
        <v>0</v>
      </c>
      <c r="CC230" s="184">
        <f t="shared" si="327"/>
        <v>0</v>
      </c>
      <c r="CD230" s="184">
        <f t="shared" si="327"/>
        <v>0.14716947206654526</v>
      </c>
      <c r="CE230" s="184">
        <f t="shared" si="327"/>
        <v>0</v>
      </c>
      <c r="CF230" s="184">
        <f t="shared" si="327"/>
        <v>0</v>
      </c>
      <c r="CG230" s="184">
        <f t="shared" si="327"/>
        <v>0</v>
      </c>
      <c r="CH230" s="184">
        <f t="shared" si="327"/>
        <v>2.415923877736096E-2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9.4534331383564949E-4</v>
      </c>
      <c r="AW231" s="190">
        <f t="shared" si="279"/>
        <v>0</v>
      </c>
      <c r="AX231" s="190">
        <f t="shared" si="285"/>
        <v>0</v>
      </c>
      <c r="AY231" s="190">
        <f t="shared" si="291"/>
        <v>1.485387642008118E-4</v>
      </c>
      <c r="AZ231" s="190">
        <f t="shared" si="297"/>
        <v>0</v>
      </c>
      <c r="BA231" s="190">
        <f t="shared" si="303"/>
        <v>0</v>
      </c>
      <c r="BB231" s="190">
        <f t="shared" si="309"/>
        <v>0</v>
      </c>
      <c r="BC231" s="190">
        <f t="shared" si="315"/>
        <v>4.5062187646202997E-10</v>
      </c>
      <c r="BD231" s="190">
        <f t="shared" si="321"/>
        <v>0</v>
      </c>
      <c r="BE231" s="190">
        <f t="shared" si="326"/>
        <v>0</v>
      </c>
      <c r="BF231" s="190">
        <f t="shared" ref="BF231:BF262" si="331">BF64*BF$168</f>
        <v>0</v>
      </c>
      <c r="BG231" s="189">
        <f>$C231+SUM($D231:BF231,BH231:$FB231)-SUM(BG$176:BG230,BG232:BG$330)-BG$331</f>
        <v>-2.2453437276984724E-19</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3.8549580442990089E-16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2.712772249306309E-8</v>
      </c>
      <c r="CB231" s="184">
        <f t="shared" si="332"/>
        <v>0</v>
      </c>
      <c r="CC231" s="184">
        <f t="shared" si="332"/>
        <v>0</v>
      </c>
      <c r="CD231" s="184">
        <f t="shared" si="332"/>
        <v>0</v>
      </c>
      <c r="CE231" s="184">
        <f t="shared" si="332"/>
        <v>4.3885098033484593E-8</v>
      </c>
      <c r="CF231" s="184">
        <f t="shared" si="332"/>
        <v>0</v>
      </c>
      <c r="CG231" s="184">
        <f t="shared" si="332"/>
        <v>0</v>
      </c>
      <c r="CH231" s="184">
        <f t="shared" si="332"/>
        <v>0</v>
      </c>
      <c r="CI231" s="184">
        <f t="shared" si="332"/>
        <v>1.7859623559020134E-8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1.888183098862559E-2</v>
      </c>
      <c r="AX232" s="190">
        <f t="shared" si="285"/>
        <v>0</v>
      </c>
      <c r="AY232" s="190">
        <f t="shared" si="291"/>
        <v>0</v>
      </c>
      <c r="AZ232" s="190">
        <f t="shared" si="297"/>
        <v>2.6321261227196984E-3</v>
      </c>
      <c r="BA232" s="190">
        <f t="shared" si="303"/>
        <v>0</v>
      </c>
      <c r="BB232" s="190">
        <f t="shared" si="309"/>
        <v>0</v>
      </c>
      <c r="BC232" s="190">
        <f t="shared" si="315"/>
        <v>0</v>
      </c>
      <c r="BD232" s="190">
        <f t="shared" si="321"/>
        <v>4.3648416619740246E-5</v>
      </c>
      <c r="BE232" s="190">
        <f t="shared" si="326"/>
        <v>0</v>
      </c>
      <c r="BF232" s="190">
        <f t="shared" si="331"/>
        <v>0</v>
      </c>
      <c r="BG232" s="190">
        <f t="shared" ref="BG232:BG263" si="336">BG65*BG$168</f>
        <v>8.7235586618867873E-4</v>
      </c>
      <c r="BH232" s="189">
        <f>$C232+SUM($D232:BG232,BI232:$FB232)-SUM(BH$176:BH231,BH233:BH$330)-BH$331</f>
        <v>-1.1949176528768137E-17</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3.3065869522388991E-4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1.8421204071528048E-3</v>
      </c>
      <c r="CC232" s="184">
        <f t="shared" si="337"/>
        <v>0</v>
      </c>
      <c r="CD232" s="184">
        <f t="shared" si="337"/>
        <v>0</v>
      </c>
      <c r="CE232" s="184">
        <f t="shared" si="337"/>
        <v>0</v>
      </c>
      <c r="CF232" s="184">
        <f t="shared" si="337"/>
        <v>1.8918967711613725E-3</v>
      </c>
      <c r="CG232" s="184">
        <f t="shared" si="337"/>
        <v>0</v>
      </c>
      <c r="CH232" s="184">
        <f t="shared" si="337"/>
        <v>0</v>
      </c>
      <c r="CI232" s="184">
        <f t="shared" si="337"/>
        <v>0</v>
      </c>
      <c r="CJ232" s="184">
        <f t="shared" si="337"/>
        <v>6.8226082177749205E-4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4.7318325313556551E-7</v>
      </c>
      <c r="AY233" s="190">
        <f t="shared" si="291"/>
        <v>0</v>
      </c>
      <c r="AZ233" s="190">
        <f t="shared" si="297"/>
        <v>0</v>
      </c>
      <c r="BA233" s="190">
        <f t="shared" si="303"/>
        <v>3.501058872678977E-5</v>
      </c>
      <c r="BB233" s="190">
        <f t="shared" si="309"/>
        <v>0</v>
      </c>
      <c r="BC233" s="190">
        <f t="shared" si="315"/>
        <v>0</v>
      </c>
      <c r="BD233" s="190">
        <f t="shared" si="321"/>
        <v>0</v>
      </c>
      <c r="BE233" s="190">
        <f t="shared" si="326"/>
        <v>2.215181981206939E-8</v>
      </c>
      <c r="BF233" s="190">
        <f t="shared" si="331"/>
        <v>0</v>
      </c>
      <c r="BG233" s="190">
        <f t="shared" si="336"/>
        <v>2.2145795034342298E-4</v>
      </c>
      <c r="BH233" s="190">
        <f t="shared" ref="BH233:BH264" si="341">BH66*BH$168</f>
        <v>0</v>
      </c>
      <c r="BI233" s="189">
        <f>$C233+SUM($D233:BH233,BJ233:$FB233)-SUM(BI$176:BI232,BI234:BI$330)-BI$331</f>
        <v>1.2761661242428353E-19</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4.9328708502471053E-5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8.450141542420621E-9</v>
      </c>
      <c r="CD233" s="184">
        <f t="shared" si="342"/>
        <v>0</v>
      </c>
      <c r="CE233" s="184">
        <f t="shared" si="342"/>
        <v>0</v>
      </c>
      <c r="CF233" s="184">
        <f t="shared" si="342"/>
        <v>0</v>
      </c>
      <c r="CG233" s="184">
        <f t="shared" si="342"/>
        <v>8.5444263334556413E-9</v>
      </c>
      <c r="CH233" s="184">
        <f t="shared" si="342"/>
        <v>0</v>
      </c>
      <c r="CI233" s="184">
        <f t="shared" si="342"/>
        <v>0</v>
      </c>
      <c r="CJ233" s="184">
        <f t="shared" si="342"/>
        <v>0</v>
      </c>
      <c r="CK233" s="184">
        <f t="shared" si="342"/>
        <v>3.129361594229113E-9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1.1449427458938277</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1.3108916865466743E-18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2.9516068188163332E-2</v>
      </c>
      <c r="BG234" s="190">
        <f t="shared" si="336"/>
        <v>0</v>
      </c>
      <c r="BH234" s="190">
        <f t="shared" si="341"/>
        <v>0</v>
      </c>
      <c r="BI234" s="190">
        <f t="shared" ref="BI234:BI265" si="346">BI67*BI$168</f>
        <v>0</v>
      </c>
      <c r="BJ234" s="189">
        <f>$C234+SUM($D234:BI234,BK234:$FB234)-SUM(BJ$176:BJ233,BJ235:BJ$330)-BJ$331</f>
        <v>3.7580938459140622E-15</v>
      </c>
      <c r="BK234" s="184">
        <f t="shared" ref="BK234:CP234" si="347">BK67*BK$168</f>
        <v>1.260724651364085E-4</v>
      </c>
      <c r="BL234" s="184">
        <f t="shared" si="347"/>
        <v>0.90320076377903125</v>
      </c>
      <c r="BM234" s="184">
        <f t="shared" si="347"/>
        <v>2.3099830088651632E-3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30.948048935644437</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23.875046455818683</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6.665315234758954E-7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2.660518371184948E-2</v>
      </c>
      <c r="AW235" s="190">
        <f t="shared" si="279"/>
        <v>0</v>
      </c>
      <c r="AX235" s="190">
        <f t="shared" si="285"/>
        <v>0</v>
      </c>
      <c r="AY235" s="190">
        <f t="shared" si="291"/>
        <v>5.7540358851388028E-3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5.5892038095915887E-8</v>
      </c>
      <c r="BH235" s="190">
        <f t="shared" si="341"/>
        <v>0</v>
      </c>
      <c r="BI235" s="190">
        <f t="shared" si="346"/>
        <v>0</v>
      </c>
      <c r="BJ235" s="190">
        <f t="shared" ref="BJ235:BJ266" si="351">BJ68*BJ$168</f>
        <v>0</v>
      </c>
      <c r="BK235" s="189">
        <f>$C235+SUM($D235:BJ235,BL235:$FB235)-SUM(BK$176:BK234,BK236:BK$330)-BK$331</f>
        <v>-7.0457349760567273E-18</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1.8078120266479508E-17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1.9284921320131252E-9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8.3154122955929985E-2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0.67957490791880659</v>
      </c>
      <c r="AX236" s="190">
        <f t="shared" si="285"/>
        <v>0</v>
      </c>
      <c r="AY236" s="190">
        <f t="shared" si="291"/>
        <v>0</v>
      </c>
      <c r="AZ236" s="190">
        <f t="shared" si="297"/>
        <v>0.10196226046330356</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8.9332455340923704E-3</v>
      </c>
      <c r="BI236" s="190">
        <f t="shared" si="346"/>
        <v>0</v>
      </c>
      <c r="BJ236" s="190">
        <f t="shared" si="351"/>
        <v>0</v>
      </c>
      <c r="BK236" s="190">
        <f t="shared" ref="BK236:BK267" si="356">BK69*BK$168</f>
        <v>3.1709770310922689E-2</v>
      </c>
      <c r="BL236" s="189">
        <f>$C236+SUM($D236:BK236,BM236:$FB236)-SUM(BL$176:BL235,BL237:BL$330)-BL$331</f>
        <v>-9.9290561308830761E-17</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1.4135938464372296E-8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3.1222444849614154E-4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4.443779535349786E-4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1.8329985666959528E-5</v>
      </c>
      <c r="AY237" s="190">
        <f t="shared" si="291"/>
        <v>0</v>
      </c>
      <c r="AZ237" s="190">
        <f t="shared" si="297"/>
        <v>0</v>
      </c>
      <c r="BA237" s="190">
        <f t="shared" si="303"/>
        <v>1.356226335782881E-3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2.2233808592667369E-6</v>
      </c>
      <c r="BJ237" s="190">
        <f t="shared" si="351"/>
        <v>0</v>
      </c>
      <c r="BK237" s="190">
        <f t="shared" si="356"/>
        <v>5.2376237426301087E-4</v>
      </c>
      <c r="BL237" s="190">
        <f t="shared" ref="BL237:BL268" si="361">BL70*BL$168</f>
        <v>0</v>
      </c>
      <c r="BM237" s="189">
        <f>$C237+SUM($D237:BL237,BN237:$FB237)-SUM(BM$176:BM236,BM238:BM$330)-BM$331</f>
        <v>6.4447249458795376E-19</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2.1670261836975452E-8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3.5602747370939769E-8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2.0280552718554917E-2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1.6191991059795334E-17</v>
      </c>
      <c r="BP238" s="184">
        <f t="shared" si="367"/>
        <v>8.7434821452388719E-6</v>
      </c>
      <c r="BQ238" s="184">
        <f t="shared" si="367"/>
        <v>2.659748303200414E-6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9.7149571631370288E-13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-3.5264918395222338E-28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8.9338665971509887E-6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1.2880342328493922E-13</v>
      </c>
      <c r="BP240" s="189">
        <f>$C240+SUM($D240:BO240,BQ240:$FB240)-SUM(BP$176:BP239,BP241:BP$330)-BP$331</f>
        <v>7.6762360844920968E-22</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2.7176620370174439E-6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8.4267574846588235E-13</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2.3423558187964235</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1.9175866887775684E-15</v>
      </c>
      <c r="BT242" s="184">
        <f t="shared" si="389"/>
        <v>1.6448083356642336E-3</v>
      </c>
      <c r="BU242" s="184">
        <f t="shared" si="389"/>
        <v>2.4537770245986715E-4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1.3254741117718429E-10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-7.7283716808371E-30</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2.0112818074044516E-3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3.2748581013276829E-11</v>
      </c>
      <c r="BT244" s="189">
        <f>$C244+SUM($D244:BS244,BU244:$FB244)-SUM(BT$176:BT243,BT245:BT$330)-BT$331</f>
        <v>1.3213713977167085E-18</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3.0004927752911149E-4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9.9796485327004323E-11</v>
      </c>
      <c r="BT245" s="190">
        <f t="shared" ref="BT245:BT276" si="406">BT78*BT$168</f>
        <v>0</v>
      </c>
      <c r="BU245" s="189">
        <f>$C245+SUM($D245:BT245,BV245:$FB245)-SUM(BU$176:BU244,BU246:BU$330)-BU$331</f>
        <v>-8.0468129989158532E-20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34.113720067308115</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2.3995328065670434E-14</v>
      </c>
      <c r="BX246" s="184">
        <f t="shared" si="413"/>
        <v>1.8762818034664903E-5</v>
      </c>
      <c r="BY246" s="184">
        <f t="shared" si="413"/>
        <v>2.8763225068889574E-5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2.7609087216700232E-11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5.6138720096649655E-27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1.8778394172969118E-5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1.2063476981345653E-11</v>
      </c>
      <c r="BX248" s="189">
        <f>$C248+SUM($D248:BW248,BY248:$FB248)-SUM(BX$176:BX247,BX249:BX$330)-BX$331</f>
        <v>-7.2812573419980261E-22</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2.8787106115252745E-5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1.5521594971903132E-11</v>
      </c>
      <c r="BX249" s="190">
        <f t="shared" ref="BX249:BX280" si="430">BX82*BX$168</f>
        <v>0</v>
      </c>
      <c r="BY249" s="189">
        <f>$C249+SUM($D249:BX249,BZ249:$FB249)-SUM(BY$176:BY248,BY250:BY$330)-BY$331</f>
        <v>-6.7183609351556908E-21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3.3225009969013437E-19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-1.5531196120854851E-17</v>
      </c>
      <c r="CA250" s="184">
        <f t="shared" ref="CA250:DF250" si="437">CA83*CA$168</f>
        <v>1.0217666598761241E-6</v>
      </c>
      <c r="CB250" s="184">
        <f t="shared" si="437"/>
        <v>6.9383532509501106E-2</v>
      </c>
      <c r="CC250" s="184">
        <f t="shared" si="437"/>
        <v>1.8568539892950401E-3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5.0297863155280712E-3</v>
      </c>
      <c r="AW251" s="190">
        <f t="shared" si="279"/>
        <v>0</v>
      </c>
      <c r="AX251" s="190">
        <f t="shared" si="285"/>
        <v>0</v>
      </c>
      <c r="AY251" s="190">
        <f t="shared" si="291"/>
        <v>1.4583805939716071E-3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5.1355358403868698E-19</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4.0585325956976996E-2</v>
      </c>
      <c r="AX252" s="190">
        <f t="shared" si="285"/>
        <v>0</v>
      </c>
      <c r="AY252" s="190">
        <f t="shared" si="291"/>
        <v>0</v>
      </c>
      <c r="AZ252" s="190">
        <f t="shared" si="297"/>
        <v>2.5842692841247954E-2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4.9786382668481673E-3</v>
      </c>
      <c r="CB252" s="189">
        <f>$C252+SUM($D252:CA252,CC252:$FB252)-SUM(CB$176:CB251,CB253:CB$330)-CB$331</f>
        <v>-2.0074680849926918E-17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4.6457992126037343E-6</v>
      </c>
      <c r="AY253" s="190">
        <f t="shared" si="291"/>
        <v>0</v>
      </c>
      <c r="AZ253" s="190">
        <f t="shared" si="297"/>
        <v>0</v>
      </c>
      <c r="BA253" s="190">
        <f t="shared" si="303"/>
        <v>3.4374032568120877E-4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1.5084770827374597E-3</v>
      </c>
      <c r="CB253" s="190">
        <f t="shared" ref="CB253:CB284" si="454">CB86*CB$168</f>
        <v>0</v>
      </c>
      <c r="CC253" s="189">
        <f>$C253+SUM($D253:CB253,CD253:$FB253)-SUM(CC$176:CC252,CC254:CC$330)-CC$331</f>
        <v>3.0712638830931117E-19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7.3833355486696507E-19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-4.9331198848090452E-18</v>
      </c>
      <c r="CE254" s="184">
        <f t="shared" ref="CE254:DJ254" si="461">CE87*CE$168</f>
        <v>3.6326094190405442E-6</v>
      </c>
      <c r="CF254" s="184">
        <f t="shared" si="461"/>
        <v>0.15660263594556445</v>
      </c>
      <c r="CG254" s="184">
        <f t="shared" si="461"/>
        <v>4.1260408346956452E-3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1.1177302923395712E-2</v>
      </c>
      <c r="AW255" s="190">
        <f t="shared" si="459"/>
        <v>0</v>
      </c>
      <c r="AX255" s="190">
        <f t="shared" ref="AX255:AX286" si="465">AX88*AX$168</f>
        <v>0</v>
      </c>
      <c r="AY255" s="190">
        <f t="shared" si="291"/>
        <v>3.240845764381349E-3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-2.9800945529879091E-18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9.0189613237726646E-2</v>
      </c>
      <c r="AX256" s="190">
        <f t="shared" si="465"/>
        <v>0</v>
      </c>
      <c r="AY256" s="190">
        <f t="shared" ref="AY256:AY287" si="471">AY89*AY$168</f>
        <v>0</v>
      </c>
      <c r="AZ256" s="190">
        <f t="shared" si="297"/>
        <v>5.7428206313884345E-2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1.1062609113917559E-2</v>
      </c>
      <c r="CF256" s="189">
        <f>$C256+SUM($D256:CE256,CG256:$FB256)-SUM(CF$176:CF255,CF257:CF$330)-CF$331</f>
        <v>-6.5407884186977072E-18</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1.032399825023052E-5</v>
      </c>
      <c r="AY257" s="190">
        <f t="shared" si="471"/>
        <v>0</v>
      </c>
      <c r="AZ257" s="190">
        <f t="shared" ref="AZ257:AZ288" si="477">AZ90*AZ$168</f>
        <v>0</v>
      </c>
      <c r="BA257" s="190">
        <f t="shared" si="303"/>
        <v>7.6386739040268609E-4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3.3518587672351006E-3</v>
      </c>
      <c r="CF257" s="190">
        <f t="shared" ref="CF257:CF288" si="478">CF90*CF$168</f>
        <v>0</v>
      </c>
      <c r="CG257" s="189">
        <f>$C257+SUM($D257:CF257,CH257:$FB257)-SUM(CG$176:CG256,CG258:CG$330)-CG$331</f>
        <v>-6.6610746836236676E-19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1.2305559247782749E-19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-1.8126505071242027E-18</v>
      </c>
      <c r="CI258" s="184">
        <f t="shared" ref="CI258:DN258" si="485">CI91*CI$168</f>
        <v>6.7268337455203929E-7</v>
      </c>
      <c r="CJ258" s="184">
        <f t="shared" si="485"/>
        <v>2.5697378805396881E-2</v>
      </c>
      <c r="CK258" s="184">
        <f t="shared" si="485"/>
        <v>6.876532814297057E-4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1.8628838205659516E-3</v>
      </c>
      <c r="AW259" s="190">
        <f t="shared" si="459"/>
        <v>0</v>
      </c>
      <c r="AX259" s="190">
        <f t="shared" si="465"/>
        <v>0</v>
      </c>
      <c r="AY259" s="190">
        <f t="shared" si="471"/>
        <v>5.4014096073022469E-4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3.9946025195651817E-20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1.5031602206287773E-2</v>
      </c>
      <c r="AX260" s="190">
        <f t="shared" si="465"/>
        <v>0</v>
      </c>
      <c r="AY260" s="190">
        <f t="shared" si="471"/>
        <v>0</v>
      </c>
      <c r="AZ260" s="190">
        <f t="shared" si="477"/>
        <v>9.5713677189807212E-3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1.843707686266789E-3</v>
      </c>
      <c r="CJ260" s="189">
        <f>$C260+SUM($D260:CI260,CK260:$FB260)-SUM(CJ$176:CJ259,CJ261:CJ$330)-CJ$331</f>
        <v>-1.2468324983583301E-18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1.7206663750384199E-6</v>
      </c>
      <c r="AY261" s="190">
        <f t="shared" si="471"/>
        <v>0</v>
      </c>
      <c r="AZ261" s="190">
        <f t="shared" si="477"/>
        <v>0</v>
      </c>
      <c r="BA261" s="190">
        <f t="shared" si="483"/>
        <v>1.27311231733781E-4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5.5862479716989972E-4</v>
      </c>
      <c r="CJ261" s="190">
        <f t="shared" ref="CJ261:CJ292" si="502">CJ94*CJ$168</f>
        <v>0</v>
      </c>
      <c r="CK261" s="189">
        <f>$C261+SUM($D261:CJ261,CL261:$FB261)-SUM(CK$176:CK260,CK262:CK$330)-CK$331</f>
        <v>2.1428420035103757E-19</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4.5038886548119175E-19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1.969188136497496E-32</v>
      </c>
      <c r="CM262" s="184">
        <f t="shared" ref="CM262:DR262" si="508">CM95*CM$168</f>
        <v>0</v>
      </c>
      <c r="CN262" s="184">
        <f t="shared" si="508"/>
        <v>0</v>
      </c>
      <c r="CO262" s="184">
        <f t="shared" si="508"/>
        <v>0</v>
      </c>
      <c r="CP262" s="184">
        <f t="shared" si="508"/>
        <v>0</v>
      </c>
      <c r="CQ262" s="184">
        <f t="shared" si="508"/>
        <v>0</v>
      </c>
      <c r="CR262" s="184">
        <f t="shared" si="508"/>
        <v>0</v>
      </c>
      <c r="CS262" s="184">
        <f t="shared" si="508"/>
        <v>1.4901740540456581E-18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7.2628265719935886E-20</v>
      </c>
      <c r="DF262" s="184">
        <f t="shared" si="508"/>
        <v>0</v>
      </c>
      <c r="DG262" s="184">
        <f t="shared" si="508"/>
        <v>0</v>
      </c>
      <c r="DH262" s="184">
        <f t="shared" si="508"/>
        <v>0</v>
      </c>
      <c r="DI262" s="184">
        <f t="shared" si="508"/>
        <v>4.8780324601386213E-19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1.4428444264227889E-16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1.5892596087277135E-2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3.8467207206165999E-18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2.1381065576944636E-6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2.0430802813730332E-6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1.5622530143309006</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1.3708005551009428E-2</v>
      </c>
      <c r="CN264" s="189">
        <f>$C264+SUM($D264:CM264,CO264:$FB264)-SUM(CN$176:CN263,CN265:CN$330)-CN$331</f>
        <v>3.6917083973131426E-17</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0.15184725736910754</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0.15508608772393029</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4.9104031287390318E-5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5.4230136684894625E-5</v>
      </c>
      <c r="CN265" s="190">
        <f t="shared" ref="CN265:CN296" si="522">CN98*CN$168</f>
        <v>0</v>
      </c>
      <c r="CO265" s="189">
        <f>$C265+SUM($D265:CN265,CP265:$FB265)-SUM(CO$176:CO264,CO266:CO$330)-CO$331</f>
        <v>-6.6366768496660793E-21</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2.3586583487939081E-8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4.9175105077905318E-9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3.4221725367065893E-4</v>
      </c>
      <c r="CN266" s="190">
        <f t="shared" si="522"/>
        <v>0</v>
      </c>
      <c r="CO266" s="190">
        <f t="shared" ref="CO266:CO297" si="527">CO99*CO$168</f>
        <v>0</v>
      </c>
      <c r="CP266" s="189">
        <f>$C266+SUM($D266:CO266,CQ266:$FB266)-SUM(CP$176:CP265,CP267:CP$330)-CP$331</f>
        <v>-5.4210108624275222E-20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0.15983065511621944</v>
      </c>
      <c r="CO267" s="190">
        <f t="shared" si="527"/>
        <v>0</v>
      </c>
      <c r="CP267" s="190">
        <f t="shared" ref="CP267:CP298" si="532">CP100*CP$168</f>
        <v>0</v>
      </c>
      <c r="CQ267" s="189">
        <f>$C267+SUM($D267:CP267,CR267:$FB267)-SUM(CQ$176:CQ266,CQ268:CQ$330)-CQ$331</f>
        <v>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1.0042425270360239E-4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22.777539866725441</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6.3969807581214295E-17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7.6489073137423199E-13</v>
      </c>
      <c r="CT269" s="184">
        <f t="shared" ref="CT269:DY269" si="543">CT102*CT$168</f>
        <v>3.7499603864378569E-6</v>
      </c>
      <c r="CU269" s="184">
        <f t="shared" si="543"/>
        <v>0.60712164395284618</v>
      </c>
      <c r="CV269" s="184">
        <f t="shared" si="543"/>
        <v>6.9229679537251052E-5</v>
      </c>
      <c r="CW269" s="184">
        <f t="shared" si="543"/>
        <v>980.12670543560489</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0.20016679122090947</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152.40926127123262</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3.3859375219709448E-7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7.9116233240634777E-4</v>
      </c>
      <c r="CN270" s="190">
        <f t="shared" si="522"/>
        <v>0</v>
      </c>
      <c r="CO270" s="190">
        <f t="shared" si="527"/>
        <v>0</v>
      </c>
      <c r="CP270" s="190">
        <f t="shared" si="532"/>
        <v>1.7110862683532949E-4</v>
      </c>
      <c r="CQ270" s="190">
        <f t="shared" si="537"/>
        <v>0</v>
      </c>
      <c r="CR270" s="190">
        <f t="shared" si="542"/>
        <v>0</v>
      </c>
      <c r="CS270" s="190">
        <f t="shared" ref="CS270:CS301" si="547">CS103*CS$168</f>
        <v>0</v>
      </c>
      <c r="CT270" s="189">
        <f>$C270+SUM($D270:CS270,CU270:$FB270)-SUM(CT$176:CT269,CT271:CT$330)-CT$331</f>
        <v>-1.1159814977942999E-19</v>
      </c>
      <c r="CU270" s="184">
        <f t="shared" ref="CU270:DZ270" si="548">CU103*CU$168</f>
        <v>0</v>
      </c>
      <c r="CV270" s="184">
        <f t="shared" si="548"/>
        <v>0</v>
      </c>
      <c r="CW270" s="184">
        <f t="shared" si="548"/>
        <v>0</v>
      </c>
      <c r="CX270" s="184">
        <f t="shared" si="548"/>
        <v>2.1704756340353389E-13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3.4721855416981337E-9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1.0968400735046996E-10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2.4257329724165634E-3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0.53263286945417798</v>
      </c>
      <c r="CO271" s="190">
        <f t="shared" si="527"/>
        <v>0</v>
      </c>
      <c r="CP271" s="190">
        <f t="shared" si="532"/>
        <v>0</v>
      </c>
      <c r="CQ271" s="190">
        <f t="shared" si="537"/>
        <v>7.9915327558109719E-2</v>
      </c>
      <c r="CR271" s="190">
        <f t="shared" si="542"/>
        <v>0</v>
      </c>
      <c r="CS271" s="190">
        <f t="shared" si="547"/>
        <v>0</v>
      </c>
      <c r="CT271" s="190">
        <f t="shared" ref="CT271:CT302" si="552">CT104*CT$168</f>
        <v>9.4319074668956543E-4</v>
      </c>
      <c r="CU271" s="189">
        <f>$C271+SUM($D271:CT271,CV271:$FB271)-SUM(CU$176:CU270,CU272:CU$330)-CU$331</f>
        <v>-5.1450986775664927E-16</v>
      </c>
      <c r="CV271" s="184">
        <f t="shared" ref="CV271:EA271" si="553">CV104*CV$168</f>
        <v>0</v>
      </c>
      <c r="CW271" s="184">
        <f t="shared" si="553"/>
        <v>0</v>
      </c>
      <c r="CX271" s="184">
        <f t="shared" si="553"/>
        <v>0</v>
      </c>
      <c r="CY271" s="184">
        <f t="shared" si="553"/>
        <v>9.0303306004499649E-6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5.7975525866522971E-3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5.4228495929933265E-4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6.2039384542605702E-6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6.786386107188985E-7</v>
      </c>
      <c r="CP272" s="190">
        <f t="shared" si="532"/>
        <v>0</v>
      </c>
      <c r="CQ272" s="190">
        <f t="shared" si="537"/>
        <v>0</v>
      </c>
      <c r="CR272" s="190">
        <f t="shared" si="542"/>
        <v>5.0212126351801194E-5</v>
      </c>
      <c r="CS272" s="190">
        <f t="shared" si="547"/>
        <v>0</v>
      </c>
      <c r="CT272" s="190">
        <f t="shared" si="552"/>
        <v>1.5579041412951005E-5</v>
      </c>
      <c r="CU272" s="190">
        <f t="shared" ref="CU272:CU303" si="557">CU105*CU$168</f>
        <v>0</v>
      </c>
      <c r="CV272" s="189">
        <f>$C272+SUM($D272:CU272,CW272:$FB272)-SUM(CV$176:CV271,CV273:CV$330)-CV$331</f>
        <v>-4.5116692790754104E-20</v>
      </c>
      <c r="CW272" s="184">
        <f t="shared" ref="CW272:EB272" si="558">CW105*CW$168</f>
        <v>0</v>
      </c>
      <c r="CX272" s="184">
        <f t="shared" si="558"/>
        <v>0</v>
      </c>
      <c r="CY272" s="184">
        <f t="shared" si="558"/>
        <v>0</v>
      </c>
      <c r="CZ272" s="184">
        <f t="shared" si="558"/>
        <v>2.2399413050592327E-9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1.1312883763632359E-9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2.0707810511362489E-9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980.08884026776923</v>
      </c>
      <c r="CT273" s="190">
        <f t="shared" si="552"/>
        <v>0</v>
      </c>
      <c r="CU273" s="190">
        <f t="shared" si="557"/>
        <v>0</v>
      </c>
      <c r="CV273" s="190">
        <f t="shared" ref="CV273:CV304" si="563">CV106*CV$168</f>
        <v>0</v>
      </c>
      <c r="CW273" s="189">
        <f>$C273+SUM($D273:CV273,CX273:$FB273)-SUM(CW$176:CW272,CW274:CW$330)-CW$331</f>
        <v>-7.126939814967009E-13</v>
      </c>
      <c r="CX273" s="184">
        <f t="shared" ref="CX273:EC273" si="564">CX106*CX$168</f>
        <v>3.0843507461637695E-10</v>
      </c>
      <c r="CY273" s="184">
        <f t="shared" si="564"/>
        <v>1.2832536098928572E-2</v>
      </c>
      <c r="CZ273" s="184">
        <f t="shared" si="564"/>
        <v>3.1830648210400526E-6</v>
      </c>
      <c r="DA273" s="184">
        <f t="shared" si="564"/>
        <v>373.37830454588357</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152.30112488537958</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7.9167713196535681E-8</v>
      </c>
      <c r="CU274" s="190">
        <f t="shared" si="557"/>
        <v>0</v>
      </c>
      <c r="CV274" s="190">
        <f t="shared" si="563"/>
        <v>0</v>
      </c>
      <c r="CW274" s="190">
        <f t="shared" ref="CW274:CW305" si="569">CW107*CW$168</f>
        <v>0</v>
      </c>
      <c r="CX274" s="189">
        <f>$C274+SUM($D274:CW274,CY274:$FB274)-SUM(CX$176:CX273,CX275:CX$330)-CX$331</f>
        <v>-2.6138565645455669E-25</v>
      </c>
      <c r="CY274" s="184">
        <f t="shared" ref="CY274:ED274" si="570">CY107*CY$168</f>
        <v>0</v>
      </c>
      <c r="CZ274" s="184">
        <f t="shared" si="570"/>
        <v>0</v>
      </c>
      <c r="DA274" s="184">
        <f t="shared" si="570"/>
        <v>0</v>
      </c>
      <c r="DB274" s="184">
        <f t="shared" si="570"/>
        <v>3.2504589893658636E-24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6.3180264164198957E-16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1.2842296662253783E-2</v>
      </c>
      <c r="CV275" s="190">
        <f t="shared" si="563"/>
        <v>0</v>
      </c>
      <c r="CW275" s="190">
        <f t="shared" si="569"/>
        <v>0</v>
      </c>
      <c r="CX275" s="190">
        <f t="shared" ref="CX275:CX306" si="575">CX108*CX$168</f>
        <v>7.7577648389244742E-8</v>
      </c>
      <c r="CY275" s="189">
        <f>$C275+SUM($D275:CX275,CZ275:$FB275)-SUM(CY$176:CY274,CY276:CY$330)-CY$331</f>
        <v>-5.670860164381927E-18</v>
      </c>
      <c r="CZ275" s="184">
        <f t="shared" ref="CZ275:EE275" si="576">CZ108*CZ$168</f>
        <v>0</v>
      </c>
      <c r="DA275" s="184">
        <f t="shared" si="576"/>
        <v>0</v>
      </c>
      <c r="DB275" s="184">
        <f t="shared" si="576"/>
        <v>0</v>
      </c>
      <c r="DC275" s="184">
        <f t="shared" si="576"/>
        <v>1.4760479662825833E-11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6.1190370463014329E-7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3.1870062930589454E-6</v>
      </c>
      <c r="CW276" s="190">
        <f t="shared" si="569"/>
        <v>0</v>
      </c>
      <c r="CX276" s="190">
        <f t="shared" si="575"/>
        <v>1.2813796161776597E-9</v>
      </c>
      <c r="CY276" s="190">
        <f t="shared" ref="CY276:CY307" si="581">CY109*CY$168</f>
        <v>0</v>
      </c>
      <c r="CZ276" s="189">
        <f>$C276+SUM($D276:CY276,DA276:$FB276)-SUM(CZ$176:CZ275,CZ277:CZ$330)-CZ$331</f>
        <v>-5.7993019206768331E-22</v>
      </c>
      <c r="DA276" s="184">
        <f t="shared" ref="DA276:EF276" si="582">DA109*DA$168</f>
        <v>0</v>
      </c>
      <c r="DB276" s="184">
        <f t="shared" si="582"/>
        <v>0</v>
      </c>
      <c r="DC276" s="184">
        <f t="shared" si="582"/>
        <v>0</v>
      </c>
      <c r="DD276" s="184">
        <f t="shared" si="582"/>
        <v>2.1945653999999117E-12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7.1410958502780619E-12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373.49154022046577</v>
      </c>
      <c r="CX277" s="190">
        <f t="shared" si="575"/>
        <v>0</v>
      </c>
      <c r="CY277" s="190">
        <f t="shared" si="581"/>
        <v>0</v>
      </c>
      <c r="CZ277" s="190">
        <f t="shared" ref="CZ277:CZ308" si="587">CZ110*CZ$168</f>
        <v>0</v>
      </c>
      <c r="DA277" s="189">
        <f>$C277+SUM($D277:CZ277,DB277:$FB277)-SUM(DA$176:DA276,DA278:DA$330)-DA$331</f>
        <v>3.6859404417555197E-14</v>
      </c>
      <c r="DB277" s="184">
        <f t="shared" ref="DB277:EG277" si="588">DB110*DB$168</f>
        <v>3.9136226372516451E-21</v>
      </c>
      <c r="DC277" s="184">
        <f t="shared" si="588"/>
        <v>1.7771935450998429E-8</v>
      </c>
      <c r="DD277" s="184">
        <f t="shared" si="588"/>
        <v>2.6423040119772277E-9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4.503024439983377E-18</v>
      </c>
      <c r="CY278" s="190">
        <f t="shared" si="581"/>
        <v>0</v>
      </c>
      <c r="CZ278" s="190">
        <f t="shared" si="587"/>
        <v>0</v>
      </c>
      <c r="DA278" s="190">
        <f t="shared" ref="DA278:DA309" si="593">DA111*DA$168</f>
        <v>0</v>
      </c>
      <c r="DB278" s="189">
        <f>$C278+SUM($D278:DA278,DC278:$FB278)-SUM(DB$176:DB277,DB279:DB$330)-DB$331</f>
        <v>2.5530091597006961E-34</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1.7786700422785937E-8</v>
      </c>
      <c r="CZ279" s="190">
        <f t="shared" si="587"/>
        <v>0</v>
      </c>
      <c r="DA279" s="190">
        <f t="shared" si="593"/>
        <v>0</v>
      </c>
      <c r="DB279" s="190">
        <f t="shared" ref="DB279:DB310" si="599">DB112*DB$168</f>
        <v>1.9675453683712482E-18</v>
      </c>
      <c r="DC279" s="189">
        <f>$C279+SUM($D279:DB279,DD279:$FB279)-SUM(DC$176:DC278,DC280:DC$330)-DC$331</f>
        <v>5.2137560608657209E-24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2.6444992430203806E-9</v>
      </c>
      <c r="DA280" s="190">
        <f t="shared" si="593"/>
        <v>0</v>
      </c>
      <c r="DB280" s="190">
        <f t="shared" si="599"/>
        <v>2.5315621975262271E-18</v>
      </c>
      <c r="DC280" s="190">
        <f t="shared" ref="DC280:DC311" si="605">DC113*DC$168</f>
        <v>0</v>
      </c>
      <c r="DD280" s="189">
        <f>$C280+SUM($D280:DC280,DE280:$FB280)-SUM(DD$176:DD279,DD281:DD$330)-DD$331</f>
        <v>-2.4784431920233749E-26</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6.3969807581200971E-17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-8.8362477057568611E-18</v>
      </c>
      <c r="DF281" s="184">
        <f t="shared" ref="DF281:EK281" si="612">DF114*DF$168</f>
        <v>1.1988166246878107E-7</v>
      </c>
      <c r="DG281" s="184">
        <f t="shared" si="612"/>
        <v>0.20016794436571131</v>
      </c>
      <c r="DH281" s="184">
        <f t="shared" si="612"/>
        <v>2.2787597270437551E-4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5.9013390145391288E-4</v>
      </c>
      <c r="CN282" s="190">
        <f t="shared" si="522"/>
        <v>0</v>
      </c>
      <c r="CO282" s="190">
        <f t="shared" si="527"/>
        <v>0</v>
      </c>
      <c r="CP282" s="190">
        <f t="shared" si="532"/>
        <v>1.7110862683532949E-4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2.4115142456522496E-19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0.12550509491517231</v>
      </c>
      <c r="CO283" s="190">
        <f t="shared" si="527"/>
        <v>0</v>
      </c>
      <c r="CP283" s="190">
        <f t="shared" si="532"/>
        <v>0</v>
      </c>
      <c r="CQ283" s="190">
        <f t="shared" si="537"/>
        <v>7.9915327558109719E-2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5.8413281201875303E-4</v>
      </c>
      <c r="DG283" s="189">
        <f>$C283+SUM($D283:DF283,DH283:$FB283)-SUM(DG$176:DG282,DG284:DG$330)-DG$331</f>
        <v>-1.4501204056993622E-17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6.786386107188985E-7</v>
      </c>
      <c r="CP284" s="190">
        <f t="shared" si="532"/>
        <v>0</v>
      </c>
      <c r="CQ284" s="190">
        <f t="shared" si="537"/>
        <v>0</v>
      </c>
      <c r="CR284" s="190">
        <f t="shared" si="542"/>
        <v>5.0212126351801194E-5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1.7698633903023224E-4</v>
      </c>
      <c r="DG284" s="190">
        <f t="shared" ref="DG284:DG330" si="627">DG117*DG$168</f>
        <v>0</v>
      </c>
      <c r="DH284" s="189">
        <f>$C284+SUM($D284:DG284,DI284:$FB284)-SUM(DH$176:DH283,DH285:DH$330)-DH$331</f>
        <v>-3.4236939433673967E-20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6.136513826081832E-18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3.379781357484241E-34</v>
      </c>
      <c r="DJ285" s="184">
        <f t="shared" ref="DJ285:FB285" si="633">DJ118*DJ$168</f>
        <v>0</v>
      </c>
      <c r="DK285" s="184">
        <f t="shared" si="633"/>
        <v>0</v>
      </c>
      <c r="DL285" s="184">
        <f t="shared" si="633"/>
        <v>0</v>
      </c>
      <c r="DM285" s="184">
        <f t="shared" si="633"/>
        <v>0</v>
      </c>
      <c r="DN285" s="184">
        <f t="shared" si="633"/>
        <v>0</v>
      </c>
      <c r="DO285" s="184">
        <f t="shared" si="633"/>
        <v>0</v>
      </c>
      <c r="DP285" s="184">
        <f t="shared" si="633"/>
        <v>2.6613380362068095E-24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2.9045494122759118E-26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1.3383760197073781E-4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1.3699558509950106E-20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0.34675757798011364</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1.1714802317914432E-4</v>
      </c>
      <c r="DK287" s="189">
        <f>$C287+SUM($D287:DJ287,DL287:$FB287)-SUM(DK$176:DK286,DK288:DK$330)-DK$331</f>
        <v>-6.8033686323465403E-17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5.1484624318749123E-7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4.4305712159907436E-7</v>
      </c>
      <c r="DK288" s="190">
        <f t="shared" ref="DK288:DK330" si="647">DK121*DK$168</f>
        <v>0</v>
      </c>
      <c r="DL288" s="189">
        <f>$C288+SUM($D288:DK288,DM288:$FB288)-SUM(DL$176:DL287,DL289:DL$330)-DL$331</f>
        <v>-1.7198248157713848E-22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1.9620353228999992E-6</v>
      </c>
      <c r="DK289" s="190">
        <f t="shared" si="647"/>
        <v>0</v>
      </c>
      <c r="DL289" s="190">
        <f t="shared" ref="DL289:DL330" si="652">DL122*DL$168</f>
        <v>0</v>
      </c>
      <c r="DM289" s="189">
        <f>$C289+SUM($D289:DL289,DN289:$FB289)-SUM(DM$176:DM288,DM290:DM$330)-DM$331</f>
        <v>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2.3919989746892793E-2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9.0023646264768723E-7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152.15698126477716</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3.3890731009517338E-18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1.5607676037957423E-13</v>
      </c>
      <c r="DQ292" s="184">
        <f t="shared" ref="DQ292:FB292" si="668">DQ125*DQ$168</f>
        <v>3.9504509167987016E-8</v>
      </c>
      <c r="DR292" s="184">
        <f t="shared" si="668"/>
        <v>0.1612336044028651</v>
      </c>
      <c r="DS292" s="184">
        <f t="shared" si="668"/>
        <v>9.014026148502591E-7</v>
      </c>
      <c r="DT292" s="184">
        <f t="shared" si="668"/>
        <v>697.14942519082001</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3.2017659213765169E-2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1.2290386188064459E-8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8.1774686276589813E-6</v>
      </c>
      <c r="DK293" s="190">
        <f t="shared" si="647"/>
        <v>0</v>
      </c>
      <c r="DL293" s="190">
        <f t="shared" si="652"/>
        <v>0</v>
      </c>
      <c r="DM293" s="190">
        <f t="shared" si="657"/>
        <v>1.1772211937399996E-6</v>
      </c>
      <c r="DN293" s="190">
        <f t="shared" si="662"/>
        <v>0</v>
      </c>
      <c r="DO293" s="190">
        <f t="shared" si="667"/>
        <v>0</v>
      </c>
      <c r="DP293" s="190">
        <f t="shared" ref="DP293:DP330" si="672">DP126*DP$168</f>
        <v>0</v>
      </c>
      <c r="DQ293" s="189">
        <f>$C293+SUM($D293:DP293,DR293:$FB293)-SUM(DQ$176:DQ292,DQ294:DQ$330)-DQ$331</f>
        <v>3.3546533914172123E-21</v>
      </c>
      <c r="DR293" s="184">
        <f t="shared" ref="DR293:FB293" si="673">DR126*DR$168</f>
        <v>0</v>
      </c>
      <c r="DS293" s="184">
        <f t="shared" si="673"/>
        <v>0</v>
      </c>
      <c r="DT293" s="184">
        <f t="shared" si="673"/>
        <v>0</v>
      </c>
      <c r="DU293" s="184">
        <f t="shared" si="673"/>
        <v>2.8920393646878277E-15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8.3381693256658523E-12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1.98982354434978E-3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0.14823425961557615</v>
      </c>
      <c r="DL294" s="190">
        <f t="shared" si="652"/>
        <v>0</v>
      </c>
      <c r="DM294" s="190">
        <f t="shared" si="657"/>
        <v>0</v>
      </c>
      <c r="DN294" s="190">
        <f t="shared" si="662"/>
        <v>1.4351993848135677E-2</v>
      </c>
      <c r="DO294" s="190">
        <f t="shared" si="667"/>
        <v>0</v>
      </c>
      <c r="DP294" s="190">
        <f t="shared" si="672"/>
        <v>0</v>
      </c>
      <c r="DQ294" s="190">
        <f t="shared" ref="DQ294:DQ330" si="677">DQ127*DQ$168</f>
        <v>9.169665436072584E-6</v>
      </c>
      <c r="DR294" s="189">
        <f>$C294+SUM($D294:DQ294,DS294:$FB294)-SUM(DR$176:DR293,DR295:DR$330)-DR$331</f>
        <v>5.7650381510364173E-17</v>
      </c>
      <c r="DS294" s="184">
        <f t="shared" ref="DS294:FB294" si="678">DS127*DS$168</f>
        <v>0</v>
      </c>
      <c r="DT294" s="184">
        <f t="shared" si="678"/>
        <v>0</v>
      </c>
      <c r="DU294" s="184">
        <f t="shared" si="678"/>
        <v>0</v>
      </c>
      <c r="DV294" s="184">
        <f t="shared" si="678"/>
        <v>2.8009531530123901E-6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3.3141034483618811E-4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2.2689826278325115E-7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2.0440703234172339E-8</v>
      </c>
      <c r="DM295" s="190">
        <f t="shared" si="657"/>
        <v>0</v>
      </c>
      <c r="DN295" s="190">
        <f t="shared" si="662"/>
        <v>0</v>
      </c>
      <c r="DO295" s="190">
        <f t="shared" si="667"/>
        <v>5.401418775886124E-7</v>
      </c>
      <c r="DP295" s="190">
        <f t="shared" si="672"/>
        <v>0</v>
      </c>
      <c r="DQ295" s="190">
        <f t="shared" si="677"/>
        <v>1.5691714262075608E-7</v>
      </c>
      <c r="DR295" s="190">
        <f t="shared" ref="DR295:DR330" si="682">DR128*DR$168</f>
        <v>0</v>
      </c>
      <c r="DS295" s="189">
        <f>$C295+SUM($D295:DR295,DT295:$FB295)-SUM(DS$176:DS294,DS296:DS$330)-DS$331</f>
        <v>1.890115446015463E-22</v>
      </c>
      <c r="DT295" s="184">
        <f t="shared" ref="DT295:FB295" si="683">DT128*DT$168</f>
        <v>0</v>
      </c>
      <c r="DU295" s="184">
        <f t="shared" si="683"/>
        <v>0</v>
      </c>
      <c r="DV295" s="184">
        <f t="shared" si="683"/>
        <v>0</v>
      </c>
      <c r="DW295" s="184">
        <f t="shared" si="683"/>
        <v>3.268794548300682E-11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7.4559657190346862E-12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849.49965866011894</v>
      </c>
      <c r="DQ296" s="190">
        <f t="shared" si="677"/>
        <v>0</v>
      </c>
      <c r="DR296" s="190">
        <f t="shared" si="682"/>
        <v>0</v>
      </c>
      <c r="DS296" s="190">
        <f t="shared" ref="DS296:DS330" si="687">DS129*DS$168</f>
        <v>0</v>
      </c>
      <c r="DT296" s="189">
        <f>$C296+SUM($D296:DS296,DU296:$FB296)-SUM(DT$176:DT295,DT297:DT$330)-DT$331</f>
        <v>-1.5417691865073034E-13</v>
      </c>
      <c r="DU296" s="184">
        <f t="shared" ref="DU296:FB296" si="688">DU129*DU$168</f>
        <v>3.8021882974014927E-12</v>
      </c>
      <c r="DV296" s="184">
        <f t="shared" si="688"/>
        <v>3.6824364944642025E-3</v>
      </c>
      <c r="DW296" s="184">
        <f t="shared" si="688"/>
        <v>4.2975114826973377E-8</v>
      </c>
      <c r="DX296" s="184">
        <f t="shared" si="688"/>
        <v>245.72633556270907</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9.0146078707920666E-10</v>
      </c>
      <c r="DR297" s="190">
        <f t="shared" si="682"/>
        <v>0</v>
      </c>
      <c r="DS297" s="190">
        <f t="shared" si="687"/>
        <v>0</v>
      </c>
      <c r="DT297" s="190">
        <f t="shared" ref="DT297:DT330" si="692">DT130*DT$168</f>
        <v>0</v>
      </c>
      <c r="DU297" s="189">
        <f>$C297+SUM($D297:DT297,DV297:$FB297)-SUM(DU$176:DU296,DU298:DU$330)-DU$331</f>
        <v>-3.1341492317975952E-25</v>
      </c>
      <c r="DV297" s="184">
        <f t="shared" ref="DV297:FB297" si="693">DV130*DV$168</f>
        <v>0</v>
      </c>
      <c r="DW297" s="184">
        <f t="shared" si="693"/>
        <v>0</v>
      </c>
      <c r="DX297" s="184">
        <f t="shared" si="693"/>
        <v>0</v>
      </c>
      <c r="DY297" s="184">
        <f t="shared" si="693"/>
        <v>4.2760230637783275E-26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3.6858535686216079E-3</v>
      </c>
      <c r="DS298" s="190">
        <f t="shared" si="687"/>
        <v>0</v>
      </c>
      <c r="DT298" s="190">
        <f t="shared" si="692"/>
        <v>0</v>
      </c>
      <c r="DU298" s="190">
        <f t="shared" ref="DU298:DU330" si="697">DU131*DU$168</f>
        <v>8.8255227938321706E-10</v>
      </c>
      <c r="DV298" s="189">
        <f>$C298+SUM($D298:DU298,DW298:$FB298)-SUM(DV$176:DV297,DV299:DV$330)-DV$331</f>
        <v>-5.1862367964851977E-19</v>
      </c>
      <c r="DW298" s="184">
        <f t="shared" ref="DW298:FB298" si="698">DW131*DW$168</f>
        <v>0</v>
      </c>
      <c r="DX298" s="184">
        <f t="shared" si="698"/>
        <v>0</v>
      </c>
      <c r="DY298" s="184">
        <f t="shared" si="698"/>
        <v>0</v>
      </c>
      <c r="DZ298" s="184">
        <f t="shared" si="698"/>
        <v>4.2360569558655861E-12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4.3035515287734058E-8</v>
      </c>
      <c r="DT299" s="190">
        <f t="shared" si="692"/>
        <v>0</v>
      </c>
      <c r="DU299" s="190">
        <f t="shared" si="697"/>
        <v>1.5102795501071693E-11</v>
      </c>
      <c r="DV299" s="190">
        <f t="shared" ref="DV299:DV330" si="702">DV132*DV$168</f>
        <v>0</v>
      </c>
      <c r="DW299" s="189">
        <f>$C299+SUM($D299:DV299,DX299:$FB299)-SUM(DW$176:DW298,DW300:DW$330)-DW$331</f>
        <v>-3.3323643342970041E-24</v>
      </c>
      <c r="DX299" s="184">
        <f t="shared" ref="DX299:FB299" si="703">DX132*DX$168</f>
        <v>0</v>
      </c>
      <c r="DY299" s="184">
        <f t="shared" si="703"/>
        <v>0</v>
      </c>
      <c r="DZ299" s="184">
        <f t="shared" si="703"/>
        <v>0</v>
      </c>
      <c r="EA299" s="184">
        <f t="shared" si="703"/>
        <v>2.9631841325615565E-14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245.77912662605536</v>
      </c>
      <c r="DU300" s="190">
        <f t="shared" si="697"/>
        <v>0</v>
      </c>
      <c r="DV300" s="190">
        <f t="shared" si="702"/>
        <v>0</v>
      </c>
      <c r="DW300" s="190">
        <f t="shared" ref="DW300:DW330" si="707">DW133*DW$168</f>
        <v>0</v>
      </c>
      <c r="DX300" s="189">
        <f>$C300+SUM($D300:DW300,DY300:$FB300)-SUM(DX$176:DX299,DX301:DX$330)-DX$331</f>
        <v>-7.4003303485170591E-14</v>
      </c>
      <c r="DY300" s="184">
        <f t="shared" ref="DY300:FB300" si="708">DY133*DY$168</f>
        <v>5.1479669098701708E-23</v>
      </c>
      <c r="DZ300" s="184">
        <f t="shared" si="708"/>
        <v>5.0998511261191599E-9</v>
      </c>
      <c r="EA300" s="184">
        <f t="shared" si="708"/>
        <v>3.5674208568932167E-11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5.5510375562548348E-20</v>
      </c>
      <c r="DV301" s="190">
        <f t="shared" si="702"/>
        <v>0</v>
      </c>
      <c r="DW301" s="190">
        <f t="shared" si="707"/>
        <v>0</v>
      </c>
      <c r="DX301" s="190">
        <f t="shared" ref="DX301:DX330" si="712">DX134*DX$168</f>
        <v>0</v>
      </c>
      <c r="DY301" s="189">
        <f>$C301+SUM($D301:DX301,DZ301:$FB301)-SUM(DY$176:DY300,DY302:DY$330)-DY$331</f>
        <v>1.1470931219345761E-35</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5.104088096696448E-9</v>
      </c>
      <c r="DW302" s="190">
        <f t="shared" si="707"/>
        <v>0</v>
      </c>
      <c r="DX302" s="190">
        <f t="shared" si="712"/>
        <v>0</v>
      </c>
      <c r="DY302" s="190">
        <f t="shared" ref="DY302:DY330" si="717">DY135*DY$168</f>
        <v>2.3883283276157454E-20</v>
      </c>
      <c r="DZ302" s="189">
        <f>$C302+SUM($D302:DY302,EA302:$FB302)-SUM(DZ$176:DZ301,DZ303:DZ$330)-DZ$331</f>
        <v>-1.013418050501225E-25</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3.5703846769765477E-11</v>
      </c>
      <c r="DX303" s="190">
        <f t="shared" si="712"/>
        <v>0</v>
      </c>
      <c r="DY303" s="190">
        <f t="shared" si="717"/>
        <v>3.1575569847838886E-20</v>
      </c>
      <c r="DZ303" s="190">
        <f t="shared" ref="DZ303:DZ330" si="722">DZ136*DZ$168</f>
        <v>0</v>
      </c>
      <c r="EA303" s="189">
        <f>$C303+SUM($D303:DZ303,EB303:$FB303)-SUM(EA$176:EA302,EA304:EA$330)-EA$331</f>
        <v>1.1189082901626302E-27</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2.2593820673011558E-18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1.3542362760701754E-17</v>
      </c>
      <c r="EC304" s="184">
        <f t="shared" ref="EC304:FB304" si="728">EC137*EC$168</f>
        <v>8.0588513093441798E-10</v>
      </c>
      <c r="ED304" s="184">
        <f t="shared" si="728"/>
        <v>3.2030852182292936E-2</v>
      </c>
      <c r="EE304" s="184">
        <f t="shared" si="728"/>
        <v>1.5018588329683136E-6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3.9677798654490101E-6</v>
      </c>
      <c r="DK305" s="190">
        <f t="shared" si="647"/>
        <v>0</v>
      </c>
      <c r="DL305" s="190">
        <f t="shared" si="652"/>
        <v>0</v>
      </c>
      <c r="DM305" s="190">
        <f t="shared" si="657"/>
        <v>7.8481412915999975E-7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-4.4792579272062046E-22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2.279287517540033E-2</v>
      </c>
      <c r="DL306" s="190">
        <f t="shared" si="652"/>
        <v>0</v>
      </c>
      <c r="DM306" s="190">
        <f t="shared" si="657"/>
        <v>0</v>
      </c>
      <c r="DN306" s="190">
        <f t="shared" si="662"/>
        <v>9.5679958987571184E-3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3.6236351467623078E-6</v>
      </c>
      <c r="ED306" s="189">
        <f>$C306+SUM($D306:EC306,EE306:$FB306)-SUM(ED$176:ED305,ED307:ED$330)-ED$331</f>
        <v>9.5490259308713549E-18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1.3627135489448228E-8</v>
      </c>
      <c r="DM307" s="190">
        <f t="shared" si="657"/>
        <v>0</v>
      </c>
      <c r="DN307" s="190">
        <f t="shared" si="662"/>
        <v>0</v>
      </c>
      <c r="DO307" s="190">
        <f t="shared" si="667"/>
        <v>3.6009458505907488E-7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1.128144568385513E-6</v>
      </c>
      <c r="ED307" s="190">
        <f t="shared" ref="ED307:ED330" si="745">ED140*ED$168</f>
        <v>0</v>
      </c>
      <c r="EE307" s="189">
        <f>$C307+SUM($D307:ED307,EF307:$FB307)-SUM(EE$176:EE306,EE308:EE$330)-EE$331</f>
        <v>3.0423274801450438E-22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1.062875372812262E-17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-7.960590683881591E-31</v>
      </c>
      <c r="EG308" s="190">
        <f t="shared" ref="EG308:FB308" si="752">EG141*EG$168</f>
        <v>0</v>
      </c>
      <c r="EH308" s="190">
        <f t="shared" si="752"/>
        <v>0</v>
      </c>
      <c r="EI308" s="190">
        <f t="shared" si="752"/>
        <v>0</v>
      </c>
      <c r="EJ308" s="190">
        <f t="shared" si="752"/>
        <v>0</v>
      </c>
      <c r="EK308" s="190">
        <f t="shared" si="752"/>
        <v>0</v>
      </c>
      <c r="EL308" s="190">
        <f t="shared" si="752"/>
        <v>0</v>
      </c>
      <c r="EM308" s="190">
        <f t="shared" si="752"/>
        <v>3.036746946364912E-15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1.5919629641841409E-17</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-5.2597106429796818E-20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0.60060174297108382</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2.0113152223263757E-4</v>
      </c>
      <c r="EH310" s="189">
        <f>$C310+SUM($D310:EG310,EI310:$FB310)-SUM(EH$176:EH309,EH311:EH$330)-EH$331</f>
        <v>-1.5561011680598202E-16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8.9173985128669684E-7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8.1592860032424832E-7</v>
      </c>
      <c r="EH311" s="190">
        <f t="shared" ref="EH311:EH330" si="769">EH144*EH$168</f>
        <v>0</v>
      </c>
      <c r="EI311" s="189">
        <f>$C311+SUM($D311:EH311,EJ311:$FB311)-SUM(EI$176:EI310,EI312:EI$330)-EI$331</f>
        <v>4.2283711923734832E-22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6.3897466484125057E-6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9.0098518440158509E-2</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1.6904441583919131E-6</v>
      </c>
      <c r="EJ314" s="190">
        <f t="shared" si="781"/>
        <v>0</v>
      </c>
      <c r="EK314" s="190">
        <f t="shared" ref="EK314:EK330" si="787">EK147*EK$168</f>
        <v>0</v>
      </c>
      <c r="EL314" s="189">
        <f>$C314+SUM($D314:EK314,EM314:$FB314)-SUM(EL$176:EL313,EL315:EL$330)-EL$331</f>
        <v>-4.2351647362715017E-22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2.0432150605719457E-15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-8.028512004642594E-14</v>
      </c>
      <c r="EN315" s="190">
        <f t="shared" ref="EN315:FB315" si="793">EN148*EN$168</f>
        <v>7.7009141560764948E-8</v>
      </c>
      <c r="EO315" s="190">
        <f t="shared" si="793"/>
        <v>0.3807382699240614</v>
      </c>
      <c r="EP315" s="190">
        <f t="shared" si="793"/>
        <v>1.4538953760027602E-6</v>
      </c>
      <c r="EQ315" s="190">
        <f t="shared" si="793"/>
        <v>2212.7039617236624</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5.6852507585697813E-2</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1.6186255623217689E-5</v>
      </c>
      <c r="EH316" s="190">
        <f t="shared" si="769"/>
        <v>0</v>
      </c>
      <c r="EI316" s="190">
        <f t="shared" si="775"/>
        <v>0</v>
      </c>
      <c r="EJ316" s="190">
        <f t="shared" si="781"/>
        <v>4.4728226538887524E-6</v>
      </c>
      <c r="EK316" s="190">
        <f t="shared" si="787"/>
        <v>0</v>
      </c>
      <c r="EL316" s="190">
        <f t="shared" si="792"/>
        <v>0</v>
      </c>
      <c r="EM316" s="190">
        <f t="shared" ref="EM316:EM330" si="797">EM149*EM$168</f>
        <v>0</v>
      </c>
      <c r="EN316" s="189">
        <f>$C316+SUM($D316:EM316,EO316:$FB316)-SUM(EN$176:EN315,EN317:EN$330)-EN$331</f>
        <v>-6.5261984373529613E-23</v>
      </c>
      <c r="EO316" s="190">
        <f t="shared" ref="EO316:FB316" si="798">EO149*EO$168</f>
        <v>0</v>
      </c>
      <c r="EP316" s="190">
        <f t="shared" si="798"/>
        <v>0</v>
      </c>
      <c r="EQ316" s="190">
        <f t="shared" si="798"/>
        <v>0</v>
      </c>
      <c r="ER316" s="190">
        <f t="shared" si="798"/>
        <v>3.5491620176453661E-15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5.8220979632864846E-11</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0.32247129333718644</v>
      </c>
      <c r="EI317" s="190">
        <f t="shared" si="775"/>
        <v>0</v>
      </c>
      <c r="EJ317" s="190">
        <f t="shared" si="781"/>
        <v>0</v>
      </c>
      <c r="EK317" s="190">
        <f t="shared" si="787"/>
        <v>6.3068962908110954E-2</v>
      </c>
      <c r="EL317" s="190">
        <f t="shared" si="792"/>
        <v>0</v>
      </c>
      <c r="EM317" s="190">
        <f t="shared" si="797"/>
        <v>0</v>
      </c>
      <c r="EN317" s="190">
        <f t="shared" ref="EN317:EN330" si="802">EN150*EN$168</f>
        <v>2.0252306934412669E-5</v>
      </c>
      <c r="EO317" s="189">
        <f>$C317+SUM($D317:EN317,EP317:$FB317)-SUM(EO$176:EO316,EO318:EO$330)-EO$331</f>
        <v>1.0407356604444117E-17</v>
      </c>
      <c r="EP317" s="190">
        <f t="shared" ref="EP317:FB317" si="803">EP150*EP$168</f>
        <v>0</v>
      </c>
      <c r="EQ317" s="190">
        <f t="shared" si="803"/>
        <v>0</v>
      </c>
      <c r="ER317" s="190">
        <f t="shared" si="803"/>
        <v>0</v>
      </c>
      <c r="ES317" s="190">
        <f t="shared" si="803"/>
        <v>4.7148526421505452E-6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3.0634219636870509E-3</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8.611593249324089E-9</v>
      </c>
      <c r="EJ318" s="190">
        <f t="shared" si="781"/>
        <v>0</v>
      </c>
      <c r="EK318" s="190">
        <f t="shared" si="787"/>
        <v>0</v>
      </c>
      <c r="EL318" s="190">
        <f t="shared" si="792"/>
        <v>1.1833109108743393E-6</v>
      </c>
      <c r="EM318" s="190">
        <f t="shared" si="797"/>
        <v>0</v>
      </c>
      <c r="EN318" s="190">
        <f t="shared" si="802"/>
        <v>3.2822766566103671E-7</v>
      </c>
      <c r="EO318" s="190">
        <f t="shared" ref="EO318:EO330" si="807">EO151*EO$168</f>
        <v>0</v>
      </c>
      <c r="EP318" s="189">
        <f>$C318+SUM($D318:EO318,EQ318:$FB318)-SUM(EP$176:EP317,EP319:EP$330)-EP$331</f>
        <v>3.8434695455382729E-23</v>
      </c>
      <c r="EQ318" s="190">
        <f t="shared" ref="EQ318:FB318" si="808">EQ151*EQ$168</f>
        <v>0</v>
      </c>
      <c r="ER318" s="190">
        <f t="shared" si="808"/>
        <v>0</v>
      </c>
      <c r="ES318" s="190">
        <f t="shared" si="808"/>
        <v>0</v>
      </c>
      <c r="ET318" s="190">
        <f t="shared" si="808"/>
        <v>4.1412716852579361E-11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1.0707320453156984E-11</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152.16285976210946</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2060.7322927607825</v>
      </c>
      <c r="EN319" s="190">
        <f t="shared" si="802"/>
        <v>0</v>
      </c>
      <c r="EO319" s="190">
        <f t="shared" si="807"/>
        <v>0</v>
      </c>
      <c r="EP319" s="190">
        <f t="shared" ref="EP319:EP330" si="812">EP152*EP$168</f>
        <v>0</v>
      </c>
      <c r="EQ319" s="189">
        <f>$C319+SUM($D319:EP319,ER319:$FB319)-SUM(EQ$176:EQ318,EQ320:EQ$330)-EQ$331</f>
        <v>-1.6377273427422804E-13</v>
      </c>
      <c r="ER319" s="190">
        <f t="shared" ref="ER319:FB319" si="813">ER152*ER$168</f>
        <v>5.5288630703022625E-12</v>
      </c>
      <c r="ES319" s="190">
        <f t="shared" si="813"/>
        <v>7.3447688568462248E-3</v>
      </c>
      <c r="ET319" s="190">
        <f t="shared" si="813"/>
        <v>6.4512479201784496E-8</v>
      </c>
      <c r="EU319" s="190">
        <f t="shared" si="813"/>
        <v>924.12289989854253</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3.369623311835101E-14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1.4830759934170607E-9</v>
      </c>
      <c r="EO320" s="190">
        <f t="shared" si="807"/>
        <v>0</v>
      </c>
      <c r="EP320" s="190">
        <f t="shared" si="812"/>
        <v>0</v>
      </c>
      <c r="EQ320" s="190">
        <f t="shared" ref="EQ320:EQ330" si="817">EQ153*EQ$168</f>
        <v>0</v>
      </c>
      <c r="ER320" s="189">
        <f>$C320+SUM($D320:EQ320,ES320:$FB320)-SUM(ER$176:ER319,ER321:ER$330)-ER$331</f>
        <v>4.0890482909829156E-25</v>
      </c>
      <c r="ES320" s="190">
        <f t="shared" ref="ES320:FB320" si="818">ES153*ES$168</f>
        <v>0</v>
      </c>
      <c r="ET320" s="190">
        <f t="shared" si="818"/>
        <v>0</v>
      </c>
      <c r="EU320" s="190">
        <f t="shared" si="818"/>
        <v>0</v>
      </c>
      <c r="EV320" s="190">
        <f t="shared" si="818"/>
        <v>5.6204412928944951E-26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1.4019421378290686E-6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7.3480904851999616E-3</v>
      </c>
      <c r="EP321" s="190">
        <f t="shared" si="812"/>
        <v>0</v>
      </c>
      <c r="EQ321" s="190">
        <f t="shared" si="817"/>
        <v>0</v>
      </c>
      <c r="ER321" s="190">
        <f t="shared" ref="ER321:ER330" si="822">ER154*ER$168</f>
        <v>1.4540122072357817E-9</v>
      </c>
      <c r="ES321" s="189">
        <f>$C321+SUM($D321:ER321,ET321:$FB321)-SUM(ES$176:ES320,ES322:ES$330)-ES$331</f>
        <v>-1.5284822123899229E-19</v>
      </c>
      <c r="ET321" s="190">
        <f t="shared" ref="ET321:FB321" si="823">ET154*ET$168</f>
        <v>0</v>
      </c>
      <c r="EU321" s="190">
        <f t="shared" si="823"/>
        <v>0</v>
      </c>
      <c r="EV321" s="190">
        <f t="shared" si="823"/>
        <v>0</v>
      </c>
      <c r="EW321" s="190">
        <f t="shared" si="823"/>
        <v>8.4489879132246465E-12</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3.4774674823864153E-10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6.423613276810824E-8</v>
      </c>
      <c r="EQ322" s="190">
        <f t="shared" si="817"/>
        <v>0</v>
      </c>
      <c r="ER322" s="190">
        <f t="shared" si="822"/>
        <v>2.3565070101357949E-11</v>
      </c>
      <c r="ES322" s="190">
        <f t="shared" ref="ES322:ES330" si="827">ES155*ES$168</f>
        <v>0</v>
      </c>
      <c r="ET322" s="189">
        <f>$C322+SUM($D322:ES322,EU322:$FB322)-SUM(ET$176:ET321,ET323:ET$330)-ET$331</f>
        <v>-2.820181294218827E-23</v>
      </c>
      <c r="EU322" s="190">
        <f t="shared" ref="EU322:FB322" si="828">EU155*EU$168</f>
        <v>0</v>
      </c>
      <c r="EV322" s="190">
        <f t="shared" si="828"/>
        <v>0</v>
      </c>
      <c r="EW322" s="190">
        <f t="shared" si="828"/>
        <v>0</v>
      </c>
      <c r="EX322" s="190">
        <f t="shared" si="828"/>
        <v>4.4482107650381696E-14</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924.32143552916682</v>
      </c>
      <c r="ER323" s="190">
        <f t="shared" si="822"/>
        <v>0</v>
      </c>
      <c r="ES323" s="190">
        <f t="shared" si="827"/>
        <v>0</v>
      </c>
      <c r="ET323" s="190">
        <f t="shared" ref="ET323:ET330" si="832">ET156*ET$168</f>
        <v>0</v>
      </c>
      <c r="EU323" s="189">
        <f>$C323+SUM($D323:ET323,EV323:$FB323)-SUM(EU$176:EU322,EU324:EU$330)-EU$331</f>
        <v>1.0241807402167069E-14</v>
      </c>
      <c r="EV323" s="190">
        <f t="shared" ref="EV323:FB323" si="833">EV156*EV$168</f>
        <v>6.7665317429608558E-23</v>
      </c>
      <c r="EW323" s="190">
        <f t="shared" si="833"/>
        <v>1.0171860523301503E-8</v>
      </c>
      <c r="EX323" s="190">
        <f t="shared" si="833"/>
        <v>5.3552662099794252E-11</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8.0719112642614771E-20</v>
      </c>
      <c r="ES324" s="190">
        <f t="shared" si="827"/>
        <v>0</v>
      </c>
      <c r="ET324" s="190">
        <f t="shared" si="832"/>
        <v>0</v>
      </c>
      <c r="EU324" s="190">
        <f t="shared" ref="EU324:EU330" si="837">EU157*EU$168</f>
        <v>0</v>
      </c>
      <c r="EV324" s="189">
        <f>$C324+SUM($D324:EU324,EW324:$FB324)-SUM(EV$176:EV323,EV325:EV$330)-EV$331</f>
        <v>6.3100362186785499E-36</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1.0180310604560797E-8</v>
      </c>
      <c r="ET325" s="190">
        <f t="shared" si="832"/>
        <v>0</v>
      </c>
      <c r="EU325" s="190">
        <f t="shared" si="837"/>
        <v>0</v>
      </c>
      <c r="EV325" s="190">
        <f t="shared" ref="EV325:EV330" si="842">EV158*EV$168</f>
        <v>3.5569888835499356E-20</v>
      </c>
      <c r="EW325" s="189">
        <f>$C325+SUM($D325:EV325,EX325:$FB325)-SUM(EW$176:EW324,EW326:EW$330)-EW$331</f>
        <v>-1.1497050131460542E-24</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5.3597149918782771E-11</v>
      </c>
      <c r="EU326" s="190">
        <f t="shared" si="837"/>
        <v>0</v>
      </c>
      <c r="EV326" s="190">
        <f t="shared" si="842"/>
        <v>4.5081502277999474E-20</v>
      </c>
      <c r="EW326" s="190">
        <f>EW159*EW$168</f>
        <v>0</v>
      </c>
      <c r="EX326" s="189">
        <f>$C326+SUM($D326:EW326,EY326:$FB326)-SUM(EX$176:EX325,EX327:EX$330)-EX$331</f>
        <v>2.0929357269196106E-26</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8.7566359738726966E-16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-4.2554935270056049E-18</v>
      </c>
      <c r="EZ327" s="190">
        <f>EZ160*EZ$168</f>
        <v>1.0824580305971445E-9</v>
      </c>
      <c r="FA327" s="190">
        <f>FA160*FA$168</f>
        <v>5.6955855545736588E-2</v>
      </c>
      <c r="FB327" s="191">
        <f>FB160*FB$168</f>
        <v>2.1567808123020813E-6</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5.2451208144816275E-6</v>
      </c>
      <c r="EH328" s="190">
        <f t="shared" si="769"/>
        <v>0</v>
      </c>
      <c r="EI328" s="190">
        <f t="shared" si="775"/>
        <v>0</v>
      </c>
      <c r="EJ328" s="190">
        <f t="shared" si="781"/>
        <v>1.9169239945237516E-6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-4.0006491371415233E-22</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3.3004846716778689E-2</v>
      </c>
      <c r="EI329" s="190">
        <f t="shared" si="775"/>
        <v>0</v>
      </c>
      <c r="EJ329" s="190">
        <f t="shared" si="781"/>
        <v>0</v>
      </c>
      <c r="EK329" s="190">
        <f t="shared" si="787"/>
        <v>2.7029555532047556E-2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5.514936148449942E-6</v>
      </c>
      <c r="FA329" s="189">
        <f>$C329+SUM($D329:EZ329,FB329:$FB329)-SUM(FA$176:FA328,FA330:FA$330)-FA$331</f>
        <v>4.0996394647108136E-19</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3.6906828211388954E-9</v>
      </c>
      <c r="EJ330" s="190">
        <f t="shared" si="781"/>
        <v>0</v>
      </c>
      <c r="EK330" s="190">
        <f t="shared" si="787"/>
        <v>0</v>
      </c>
      <c r="EL330" s="190">
        <f t="shared" si="792"/>
        <v>5.0713324751757407E-7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1.6459675892838262E-6</v>
      </c>
      <c r="FA330" s="190">
        <f>FA163*FA$168</f>
        <v>0</v>
      </c>
      <c r="FB330" s="404">
        <f>$C330+SUM($D330:FA330)-SUM(FB$176:FB329)-FB$331</f>
        <v>2.2997317642415243E-22</v>
      </c>
    </row>
    <row r="331" spans="2:158" ht="12.75" customHeight="1" x14ac:dyDescent="0.3">
      <c r="B331" s="186" t="s">
        <v>4117</v>
      </c>
      <c r="C331" s="203"/>
      <c r="D331" s="684">
        <f t="shared" ref="D331:J331" si="858">D338</f>
        <v>3.0392989033935733E-23</v>
      </c>
      <c r="E331" s="684">
        <f>E338</f>
        <v>2.0407526183449364E-5</v>
      </c>
      <c r="F331" s="684">
        <f t="shared" si="858"/>
        <v>9.2624835416400418E-5</v>
      </c>
      <c r="G331" s="684">
        <f t="shared" si="858"/>
        <v>3.7205288829453666E-8</v>
      </c>
      <c r="H331" s="684">
        <f t="shared" si="858"/>
        <v>0</v>
      </c>
      <c r="I331" s="684">
        <f t="shared" si="858"/>
        <v>0</v>
      </c>
      <c r="J331" s="684">
        <f t="shared" si="858"/>
        <v>0</v>
      </c>
      <c r="K331" s="684">
        <f>K338</f>
        <v>6.7629043167633447E-14</v>
      </c>
      <c r="L331" s="204">
        <f t="shared" ref="L331:BN331" si="859">L338</f>
        <v>1.87372644670947E-20</v>
      </c>
      <c r="M331" s="204">
        <f t="shared" si="859"/>
        <v>3.5425156662527326E-16</v>
      </c>
      <c r="N331" s="204">
        <f t="shared" si="859"/>
        <v>6.1607476029217255E-19</v>
      </c>
      <c r="O331" s="204">
        <f t="shared" si="859"/>
        <v>1.3422440235665628E-14</v>
      </c>
      <c r="P331" s="204">
        <f t="shared" si="859"/>
        <v>2.07512137475033E-17</v>
      </c>
      <c r="Q331" s="204">
        <f t="shared" si="859"/>
        <v>1.0968857660786919E-13</v>
      </c>
      <c r="R331" s="204">
        <f t="shared" si="859"/>
        <v>7.1150684509240655E-16</v>
      </c>
      <c r="S331" s="204">
        <f t="shared" si="859"/>
        <v>2.3009837857166378E-15</v>
      </c>
      <c r="T331" s="204">
        <f t="shared" si="859"/>
        <v>4.8657105320648679E-21</v>
      </c>
      <c r="U331" s="204">
        <f t="shared" si="859"/>
        <v>6.0702889150886148E-16</v>
      </c>
      <c r="V331" s="204">
        <f t="shared" si="859"/>
        <v>3.2439793356761957E-18</v>
      </c>
      <c r="W331" s="204">
        <f t="shared" si="859"/>
        <v>0.23374290451674942</v>
      </c>
      <c r="X331" s="204">
        <f t="shared" si="859"/>
        <v>3.5402932349955846E-18</v>
      </c>
      <c r="Y331" s="204">
        <f t="shared" si="859"/>
        <v>3.7308238121004788E-7</v>
      </c>
      <c r="Z331" s="204">
        <f t="shared" si="859"/>
        <v>3.8890328797199578E-7</v>
      </c>
      <c r="AA331" s="204">
        <f t="shared" si="859"/>
        <v>4.6135857002680059</v>
      </c>
      <c r="AB331" s="204">
        <f t="shared" si="859"/>
        <v>1.1344351903582437E-13</v>
      </c>
      <c r="AC331" s="204">
        <f t="shared" si="859"/>
        <v>3.2180942626432131E-3</v>
      </c>
      <c r="AD331" s="204">
        <f t="shared" si="859"/>
        <v>1.2512136252263502E-2</v>
      </c>
      <c r="AE331" s="204">
        <f t="shared" si="859"/>
        <v>0.17063487088023357</v>
      </c>
      <c r="AF331" s="204">
        <f t="shared" si="859"/>
        <v>3.9142694169628266E-18</v>
      </c>
      <c r="AG331" s="204">
        <f t="shared" si="859"/>
        <v>5.329922180891135E-8</v>
      </c>
      <c r="AH331" s="204">
        <f t="shared" si="859"/>
        <v>1.7072795735554837E-7</v>
      </c>
      <c r="AI331" s="204">
        <f t="shared" si="859"/>
        <v>1.0856883792331439E-4</v>
      </c>
      <c r="AJ331" s="204">
        <f t="shared" si="859"/>
        <v>1.9857451684549382E-9</v>
      </c>
      <c r="AK331" s="204">
        <f t="shared" si="859"/>
        <v>1.5193467082406556E-5</v>
      </c>
      <c r="AL331" s="204">
        <f t="shared" si="859"/>
        <v>3.5054471123602876E-17</v>
      </c>
      <c r="AM331" s="204">
        <f t="shared" si="859"/>
        <v>3.5719957422081401E-3</v>
      </c>
      <c r="AN331" s="204">
        <f t="shared" si="859"/>
        <v>6.8975976895686812E-8</v>
      </c>
      <c r="AO331" s="204">
        <f t="shared" si="859"/>
        <v>2.1325507283973059E-4</v>
      </c>
      <c r="AP331" s="204">
        <f t="shared" si="859"/>
        <v>1.481155349486466E-15</v>
      </c>
      <c r="AQ331" s="204">
        <f t="shared" si="859"/>
        <v>4.0210657993965794E-5</v>
      </c>
      <c r="AR331" s="204">
        <f t="shared" si="859"/>
        <v>1.3073217333971545E-9</v>
      </c>
      <c r="AS331" s="204">
        <f t="shared" si="859"/>
        <v>5.6267711471786008E-6</v>
      </c>
      <c r="AT331" s="204">
        <f t="shared" si="859"/>
        <v>1.2981697298158482E-17</v>
      </c>
      <c r="AU331" s="204">
        <f t="shared" si="859"/>
        <v>1.1940278286254657E-22</v>
      </c>
      <c r="AV331" s="204">
        <f t="shared" si="859"/>
        <v>4.2132928791561235E-6</v>
      </c>
      <c r="AW331" s="204">
        <f t="shared" si="859"/>
        <v>4.1416955823787637E-4</v>
      </c>
      <c r="AX331" s="204">
        <f t="shared" si="859"/>
        <v>1.3017990529983158E-8</v>
      </c>
      <c r="AY331" s="204">
        <f t="shared" si="859"/>
        <v>0</v>
      </c>
      <c r="AZ331" s="204">
        <f t="shared" si="859"/>
        <v>0</v>
      </c>
      <c r="BA331" s="204">
        <f t="shared" si="859"/>
        <v>0</v>
      </c>
      <c r="BB331" s="204">
        <f t="shared" si="859"/>
        <v>5.8686626205486911E-15</v>
      </c>
      <c r="BC331" s="204">
        <f t="shared" si="859"/>
        <v>1.8797369703844675E-21</v>
      </c>
      <c r="BD331" s="204">
        <f t="shared" si="859"/>
        <v>1.8207625218520212E-16</v>
      </c>
      <c r="BE331" s="204">
        <f t="shared" si="859"/>
        <v>9.2404734073203718E-20</v>
      </c>
      <c r="BF331" s="204">
        <f t="shared" si="859"/>
        <v>6.804044116703516E-16</v>
      </c>
      <c r="BG331" s="204">
        <f t="shared" si="859"/>
        <v>7.6939382727463634E-21</v>
      </c>
      <c r="BH331" s="204">
        <f t="shared" si="859"/>
        <v>1.2297250566644867E-15</v>
      </c>
      <c r="BI331" s="204">
        <f t="shared" si="859"/>
        <v>3.0606425656991825E-19</v>
      </c>
      <c r="BJ331" s="204">
        <f t="shared" si="859"/>
        <v>1.9786561389247655E-12</v>
      </c>
      <c r="BK331" s="204">
        <f t="shared" si="859"/>
        <v>1.0684107214949872E-19</v>
      </c>
      <c r="BL331" s="204">
        <f t="shared" si="859"/>
        <v>7.6542437608392469E-16</v>
      </c>
      <c r="BM331" s="204">
        <f t="shared" si="859"/>
        <v>1.9576127193772569E-18</v>
      </c>
      <c r="BN331" s="204">
        <f t="shared" si="859"/>
        <v>2.0291955949003369E-2</v>
      </c>
      <c r="BO331" s="204">
        <f t="shared" ref="BO331:DX331" si="860">BO338</f>
        <v>3.525718218052898E-19</v>
      </c>
      <c r="BP331" s="204">
        <f t="shared" si="860"/>
        <v>1.9038458071553908E-7</v>
      </c>
      <c r="BQ331" s="204">
        <f t="shared" si="860"/>
        <v>5.7914576492778235E-8</v>
      </c>
      <c r="BR331" s="204">
        <f t="shared" si="860"/>
        <v>0.22879872181601257</v>
      </c>
      <c r="BS331" s="204">
        <f t="shared" si="860"/>
        <v>4.1754409932364812E-17</v>
      </c>
      <c r="BT331" s="204">
        <f t="shared" si="860"/>
        <v>3.5814809264908002E-5</v>
      </c>
      <c r="BU331" s="204">
        <f t="shared" si="860"/>
        <v>5.3429663632586775E-6</v>
      </c>
      <c r="BV331" s="204">
        <f t="shared" si="860"/>
        <v>3.1657186577068059</v>
      </c>
      <c r="BW331" s="204">
        <f t="shared" si="860"/>
        <v>1.8572655056682726E-18</v>
      </c>
      <c r="BX331" s="204">
        <f t="shared" si="860"/>
        <v>1.452263316823297E-9</v>
      </c>
      <c r="BY331" s="204">
        <f t="shared" si="860"/>
        <v>2.2263061211757157E-9</v>
      </c>
      <c r="BZ331" s="204">
        <f t="shared" si="860"/>
        <v>8.1463214202217015E-5</v>
      </c>
      <c r="CA331" s="204">
        <f t="shared" si="860"/>
        <v>1.9937509231064083E-10</v>
      </c>
      <c r="CB331" s="204">
        <f t="shared" si="860"/>
        <v>1.3538656859871747E-5</v>
      </c>
      <c r="CC331" s="204">
        <f t="shared" si="860"/>
        <v>3.8128418671356057E-18</v>
      </c>
      <c r="CD331" s="204">
        <f t="shared" si="860"/>
        <v>1.837944079934089E-4</v>
      </c>
      <c r="CE331" s="204">
        <f t="shared" si="860"/>
        <v>3.2255296475073363E-10</v>
      </c>
      <c r="CF331" s="204">
        <f t="shared" si="860"/>
        <v>1.3905333242615216E-5</v>
      </c>
      <c r="CG331" s="204">
        <f t="shared" si="860"/>
        <v>8.4723631102579987E-18</v>
      </c>
      <c r="CH331" s="204">
        <f t="shared" si="860"/>
        <v>3.0171558534639467E-5</v>
      </c>
      <c r="CI331" s="204">
        <f t="shared" si="860"/>
        <v>1.3125923477813031E-10</v>
      </c>
      <c r="CJ331" s="204">
        <f t="shared" si="860"/>
        <v>5.0142732902330712E-6</v>
      </c>
      <c r="CK331" s="204">
        <f t="shared" si="860"/>
        <v>1.4120190583772191E-18</v>
      </c>
      <c r="CL331" s="204">
        <f t="shared" si="860"/>
        <v>5.9262532026007343E-21</v>
      </c>
      <c r="CM331" s="204">
        <f t="shared" si="860"/>
        <v>1.2925180970961312E-7</v>
      </c>
      <c r="CN331" s="204">
        <f t="shared" si="860"/>
        <v>3.3487632641722914E-4</v>
      </c>
      <c r="CO331" s="204">
        <f t="shared" si="860"/>
        <v>4.9720562588029743E-10</v>
      </c>
      <c r="CP331" s="204">
        <f t="shared" si="860"/>
        <v>0</v>
      </c>
      <c r="CQ331" s="204">
        <f t="shared" si="860"/>
        <v>0</v>
      </c>
      <c r="CR331" s="204">
        <f t="shared" si="860"/>
        <v>0</v>
      </c>
      <c r="CS331" s="204">
        <f t="shared" si="860"/>
        <v>1.0831166716230603E-11</v>
      </c>
      <c r="CT331" s="204">
        <f t="shared" si="860"/>
        <v>3.1779325308795395E-21</v>
      </c>
      <c r="CU331" s="204">
        <f t="shared" si="860"/>
        <v>5.1450986775664927E-16</v>
      </c>
      <c r="CV331" s="204">
        <f t="shared" si="860"/>
        <v>5.8669219946822909E-20</v>
      </c>
      <c r="CW331" s="204">
        <f t="shared" si="860"/>
        <v>3.2494755516354562E-10</v>
      </c>
      <c r="CX331" s="204">
        <f t="shared" si="860"/>
        <v>2.6138565645455669E-25</v>
      </c>
      <c r="CY331" s="204">
        <f t="shared" si="860"/>
        <v>1.0875030592312348E-17</v>
      </c>
      <c r="CZ331" s="204">
        <f t="shared" si="860"/>
        <v>2.6975125602034342E-21</v>
      </c>
      <c r="DA331" s="204">
        <f t="shared" si="860"/>
        <v>0.11323569499639641</v>
      </c>
      <c r="DB331" s="204">
        <f t="shared" si="860"/>
        <v>9.8966041703784231E-28</v>
      </c>
      <c r="DC331" s="204">
        <f t="shared" si="860"/>
        <v>4.494092221000663E-15</v>
      </c>
      <c r="DD331" s="204">
        <f t="shared" si="860"/>
        <v>6.681747150436886E-16</v>
      </c>
      <c r="DE331" s="204">
        <f t="shared" si="860"/>
        <v>2.2914899916876892E-4</v>
      </c>
      <c r="DF331" s="204">
        <f t="shared" si="860"/>
        <v>2.3392246448875172E-11</v>
      </c>
      <c r="DG331" s="204">
        <f t="shared" si="860"/>
        <v>3.9058332937173048E-5</v>
      </c>
      <c r="DH331" s="204">
        <f t="shared" si="860"/>
        <v>4.6791780842787574E-19</v>
      </c>
      <c r="DI331" s="204">
        <f t="shared" si="860"/>
        <v>2.5810219861050266E-22</v>
      </c>
      <c r="DJ331" s="204">
        <f t="shared" si="860"/>
        <v>1.1312962919559108E-9</v>
      </c>
      <c r="DK331" s="204">
        <f t="shared" si="860"/>
        <v>8.0344096316033208E-5</v>
      </c>
      <c r="DL331" s="204">
        <f t="shared" si="860"/>
        <v>1.2479927318770736E-11</v>
      </c>
      <c r="DM331" s="204">
        <f t="shared" si="860"/>
        <v>0</v>
      </c>
      <c r="DN331" s="204">
        <f t="shared" si="860"/>
        <v>0</v>
      </c>
      <c r="DO331" s="204">
        <f t="shared" si="860"/>
        <v>0</v>
      </c>
      <c r="DP331" s="204">
        <f t="shared" si="860"/>
        <v>1.8902863186095143E-12</v>
      </c>
      <c r="DQ331" s="204">
        <f t="shared" si="860"/>
        <v>3.3478397599988998E-23</v>
      </c>
      <c r="DR331" s="204">
        <f t="shared" si="860"/>
        <v>1.3663864779903822E-16</v>
      </c>
      <c r="DS331" s="204">
        <f t="shared" si="860"/>
        <v>7.6390052105954158E-22</v>
      </c>
      <c r="DT331" s="204">
        <f t="shared" si="860"/>
        <v>4.653840670907007E-11</v>
      </c>
      <c r="DU331" s="204">
        <f t="shared" si="860"/>
        <v>3.2221934723741462E-27</v>
      </c>
      <c r="DV331" s="204">
        <f t="shared" si="860"/>
        <v>3.1207088936137304E-18</v>
      </c>
      <c r="DW331" s="204">
        <f t="shared" si="860"/>
        <v>3.6419588836418111E-23</v>
      </c>
      <c r="DX331" s="204">
        <f t="shared" si="860"/>
        <v>5.2791068481883592E-2</v>
      </c>
      <c r="DY331" s="204">
        <f t="shared" ref="DY331:FB331" si="861">DY338</f>
        <v>9.2226531425694797E-30</v>
      </c>
      <c r="DZ331" s="204">
        <f t="shared" si="861"/>
        <v>9.1364530577616993E-16</v>
      </c>
      <c r="EA331" s="204">
        <f t="shared" si="861"/>
        <v>6.391083266990906E-18</v>
      </c>
      <c r="EB331" s="204">
        <f t="shared" si="861"/>
        <v>1.4695633245860931E-5</v>
      </c>
      <c r="EC331" s="204">
        <f t="shared" si="861"/>
        <v>5.6160929287747233E-14</v>
      </c>
      <c r="ED331" s="204">
        <f t="shared" si="861"/>
        <v>2.232182175082752E-6</v>
      </c>
      <c r="EE331" s="204">
        <f t="shared" si="861"/>
        <v>3.083899041002697E-21</v>
      </c>
      <c r="EF331" s="204">
        <f t="shared" si="861"/>
        <v>1.3222913338251924E-19</v>
      </c>
      <c r="EG331" s="204">
        <f t="shared" si="861"/>
        <v>1.8723760517551632E-9</v>
      </c>
      <c r="EH331" s="204">
        <f t="shared" si="861"/>
        <v>1.4212827526265421E-4</v>
      </c>
      <c r="EI331" s="204">
        <f t="shared" si="861"/>
        <v>4.5066407781360391E-12</v>
      </c>
      <c r="EJ331" s="204">
        <f t="shared" si="861"/>
        <v>0</v>
      </c>
      <c r="EK331" s="204">
        <f t="shared" si="861"/>
        <v>0</v>
      </c>
      <c r="EL331" s="204">
        <f t="shared" si="861"/>
        <v>0</v>
      </c>
      <c r="EM331" s="204">
        <f t="shared" si="861"/>
        <v>6.1471177489719082E-11</v>
      </c>
      <c r="EN331" s="204">
        <f t="shared" si="861"/>
        <v>6.5261984373529613E-23</v>
      </c>
      <c r="EO331" s="204">
        <f t="shared" si="861"/>
        <v>3.2265955078310285E-16</v>
      </c>
      <c r="EP331" s="204">
        <f t="shared" si="861"/>
        <v>1.2321147254260678E-21</v>
      </c>
      <c r="EQ331" s="204">
        <f t="shared" si="861"/>
        <v>1.980133738493939E-9</v>
      </c>
      <c r="ER331" s="204">
        <f t="shared" si="861"/>
        <v>4.6854771782222558E-27</v>
      </c>
      <c r="ES331" s="204">
        <f t="shared" si="861"/>
        <v>6.2243803871578171E-18</v>
      </c>
      <c r="ET331" s="204">
        <f t="shared" si="861"/>
        <v>5.4671592543885156E-23</v>
      </c>
      <c r="EU331" s="204">
        <f t="shared" si="861"/>
        <v>0.19853564084973072</v>
      </c>
      <c r="EV331" s="204">
        <f t="shared" si="861"/>
        <v>7.2734005326258541E-30</v>
      </c>
      <c r="EW331" s="204">
        <f t="shared" si="861"/>
        <v>1.0933816400838105E-15</v>
      </c>
      <c r="EX331" s="204">
        <f t="shared" si="861"/>
        <v>5.7564196228796038E-18</v>
      </c>
      <c r="EY331" s="204">
        <f t="shared" si="861"/>
        <v>1.0550582330997186E-4</v>
      </c>
      <c r="EZ331" s="204">
        <f t="shared" si="861"/>
        <v>3.9226138094297208E-13</v>
      </c>
      <c r="FA331" s="204">
        <f t="shared" si="861"/>
        <v>2.0639675551055038E-5</v>
      </c>
      <c r="FB331" s="205">
        <f t="shared" si="861"/>
        <v>4.4287080334744994E-21</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11717.413280239685</v>
      </c>
      <c r="D336" s="185">
        <f>SUM($D$176:$FB$176)</f>
        <v>1.3512289431149394E-18</v>
      </c>
      <c r="E336" s="185">
        <f>SUM($D$177:$FB$177)</f>
        <v>3.4549312385886463E-3</v>
      </c>
      <c r="F336" s="185">
        <f>SUM($D$178:$FB$178)</f>
        <v>2.5039746293118808</v>
      </c>
      <c r="G336" s="185">
        <f>SUM($D$179:$FB$179)</f>
        <v>8.5729659805942257E-3</v>
      </c>
      <c r="H336" s="185">
        <f>SUM($D$180:$FB$180)</f>
        <v>5.4032570842934106E-2</v>
      </c>
      <c r="I336" s="185">
        <f>SUM($D$181:$FB$181)</f>
        <v>4.4208225415702671E-2</v>
      </c>
      <c r="J336" s="185">
        <f>SUM($D$182:$FB$182)</f>
        <v>7.5146239962680765E-3</v>
      </c>
      <c r="K336" s="185">
        <f>SUM($D$183:$FB$183)</f>
        <v>0.2755328487540587</v>
      </c>
      <c r="L336" s="185">
        <f>SUM($D$184:$FB$184)</f>
        <v>9.9133903700466121E-4</v>
      </c>
      <c r="M336" s="185">
        <f>SUM($D$185:$FB$185)</f>
        <v>4.7784259278472003E-3</v>
      </c>
      <c r="N336" s="185">
        <f>SUM($D$186:$FB$186)</f>
        <v>2.6398893428554405E-5</v>
      </c>
      <c r="O336" s="185">
        <f>SUM($D$187:$FB$187)</f>
        <v>46.790273701415138</v>
      </c>
      <c r="P336" s="185">
        <f>SUM($D$188:$FB$188)</f>
        <v>1.0904733899899224E-2</v>
      </c>
      <c r="Q336" s="185">
        <f>SUM($D$189:$FB$189)</f>
        <v>2.4241152539712183</v>
      </c>
      <c r="R336" s="185">
        <f>SUM($D$190:$FB$190)</f>
        <v>0.71208441622512342</v>
      </c>
      <c r="S336" s="185">
        <f>SUM($D$191:$FB$191)</f>
        <v>1.9383612201923288</v>
      </c>
      <c r="T336" s="185">
        <f>SUM($D$192:$FB$192)</f>
        <v>1.4743738906168231E-3</v>
      </c>
      <c r="U336" s="185">
        <f>SUM($D$193:$FB$193)</f>
        <v>0.79974606350654776</v>
      </c>
      <c r="V336" s="185">
        <f>SUM($D$194:$FB$194)</f>
        <v>5.2263415162439597E-3</v>
      </c>
      <c r="W336" s="185">
        <f>SUM($D$195:$FB$195)</f>
        <v>0.23374290451674945</v>
      </c>
      <c r="X336" s="185">
        <f>SUM($D$196:$FB$196)</f>
        <v>9.6838932531588793E-12</v>
      </c>
      <c r="Y336" s="185">
        <f>SUM($D$197:$FB$197)</f>
        <v>1.7381928910824269E-5</v>
      </c>
      <c r="Z336" s="185">
        <f>SUM($D$198:$FB$198)</f>
        <v>1.8119025837645178E-5</v>
      </c>
      <c r="AA336" s="185">
        <f>SUM($D$199:$FB$199)</f>
        <v>46.925147866761591</v>
      </c>
      <c r="AB336" s="185">
        <f>SUM($D$200:$FB$200)</f>
        <v>3.5749177644937839E-7</v>
      </c>
      <c r="AC336" s="185">
        <f>SUM($D$201:$FB$201)</f>
        <v>0.17940168498011355</v>
      </c>
      <c r="AD336" s="185">
        <f>SUM($D$202:$FB$202)</f>
        <v>0.69752410686476551</v>
      </c>
      <c r="AE336" s="185">
        <f>SUM($D$203:$FB$203)</f>
        <v>0.79466935160804475</v>
      </c>
      <c r="AF336" s="185">
        <f>SUM($D$204:$FB$204)</f>
        <v>2.5147225453339122E-11</v>
      </c>
      <c r="AG336" s="185">
        <f>SUM($D$205:$FB$205)</f>
        <v>2.9784858114840986E-4</v>
      </c>
      <c r="AH336" s="185">
        <f>SUM($D$206:$FB$206)</f>
        <v>9.5406796074861842E-4</v>
      </c>
      <c r="AI336" s="185">
        <f>SUM($D$207:$FB$207)</f>
        <v>9.4945884263801433E-2</v>
      </c>
      <c r="AJ336" s="185">
        <f>SUM($D$208:$FB$208)</f>
        <v>6.4621141705074325E-2</v>
      </c>
      <c r="AK336" s="185">
        <f>SUM($D$209:$FB$209)</f>
        <v>8.0134588298677034E-2</v>
      </c>
      <c r="AL336" s="185">
        <f>SUM($D$210:$FB$210)</f>
        <v>1.7071612188651008E-2</v>
      </c>
      <c r="AM336" s="185">
        <f>SUM($D$211:$FB$211)</f>
        <v>3.1237899511926637</v>
      </c>
      <c r="AN336" s="185">
        <f>SUM($D$212:$FB$212)</f>
        <v>0.14360253712238691</v>
      </c>
      <c r="AO336" s="185">
        <f>SUM($D$213:$FB$213)</f>
        <v>2.4335559445350414</v>
      </c>
      <c r="AP336" s="185">
        <f>SUM($D$214:$FB$214)</f>
        <v>0.72132428474927646</v>
      </c>
      <c r="AQ336" s="185">
        <f>SUM($D$215:$FB$215)</f>
        <v>3.5165122452199764E-2</v>
      </c>
      <c r="AR336" s="185">
        <f>SUM($D$216:$FB$216)</f>
        <v>2.3933756187064562E-2</v>
      </c>
      <c r="AS336" s="185">
        <f>SUM($D$217:$FB$217)</f>
        <v>2.9677162354348696E-2</v>
      </c>
      <c r="AT336" s="185">
        <f>SUM($D$218:$FB$218)</f>
        <v>6.3221179701496042E-3</v>
      </c>
      <c r="AU336" s="185">
        <f>SUM($D$219:$FB$219)</f>
        <v>3.0898670422661581E-18</v>
      </c>
      <c r="AV336" s="185">
        <f>SUM($D$220:$FB$220)</f>
        <v>0.52482883288754023</v>
      </c>
      <c r="AW336" s="185">
        <f>SUM($D$221:$FB$221)</f>
        <v>2.9459450246527989</v>
      </c>
      <c r="AX336" s="185">
        <f>SUM($D$222:$FB$222)</f>
        <v>2.7246672000725736E-3</v>
      </c>
      <c r="AY336" s="185">
        <f>SUM($D$223:$FB$223)</f>
        <v>1.1155445492441048E-2</v>
      </c>
      <c r="AZ336" s="185">
        <f>SUM($D$224:$FB$224)</f>
        <v>0.19767593765311087</v>
      </c>
      <c r="BA336" s="185">
        <f>SUM($D$225:$FB$225)</f>
        <v>2.6293386531206905E-3</v>
      </c>
      <c r="BB336" s="185">
        <f>SUM($D$226:$FB$226)</f>
        <v>2.3909983854246284E-2</v>
      </c>
      <c r="BC336" s="185">
        <f>SUM($D$227:$FB$227)</f>
        <v>9.9451904589140661E-5</v>
      </c>
      <c r="BD336" s="185">
        <f>SUM($D$228:$FB$228)</f>
        <v>2.4559888120617422E-3</v>
      </c>
      <c r="BE336" s="185">
        <f>SUM($D$229:$FB$229)</f>
        <v>3.9595563465958945E-6</v>
      </c>
      <c r="BF336" s="185">
        <f>SUM($D$230:$FB$230)</f>
        <v>2.371871886984589</v>
      </c>
      <c r="BG336" s="185">
        <f>SUM($D$231:$FB$231)</f>
        <v>1.0939714011028085E-3</v>
      </c>
      <c r="BH336" s="185">
        <f>SUM($D$232:$FB$232)</f>
        <v>2.7176898089469249E-2</v>
      </c>
      <c r="BI336" s="185">
        <f>SUM($D$233:$FB$233)</f>
        <v>3.063127065751017E-4</v>
      </c>
      <c r="BJ336" s="185">
        <f>SUM($D$234:$FB$234)</f>
        <v>56.903191024798147</v>
      </c>
      <c r="BK336" s="185">
        <f>SUM($D$235:$FB$235)</f>
        <v>3.2359943949041993E-2</v>
      </c>
      <c r="BL336" s="185">
        <f>SUM($D$236:$FB$236)</f>
        <v>0.9056465457674896</v>
      </c>
      <c r="BM336" s="185">
        <f>SUM($D$237:$FB$237)</f>
        <v>2.3449773031163053E-3</v>
      </c>
      <c r="BN336" s="185">
        <f>SUM($D$238:$FB$238)</f>
        <v>2.0291955949003373E-2</v>
      </c>
      <c r="BO336" s="185">
        <f>SUM($D$239:$FB$239)</f>
        <v>9.7149571631370248E-13</v>
      </c>
      <c r="BP336" s="185">
        <f>SUM($D$240:$FB$240)</f>
        <v>8.9338667259544118E-6</v>
      </c>
      <c r="BQ336" s="185">
        <f>SUM($D$241:$FB$241)</f>
        <v>2.7176628796931922E-6</v>
      </c>
      <c r="BR336" s="185">
        <f>SUM($D$242:$FB$242)</f>
        <v>2.3442460048345497</v>
      </c>
      <c r="BS336" s="185">
        <f>SUM($D$243:$FB$243)</f>
        <v>1.3254741117718429E-10</v>
      </c>
      <c r="BT336" s="185">
        <f>SUM($D$244:$FB$244)</f>
        <v>2.0112818401530341E-3</v>
      </c>
      <c r="BU336" s="185">
        <f>SUM($D$245:$FB$245)</f>
        <v>3.0004937732559675E-4</v>
      </c>
      <c r="BV336" s="185">
        <f>SUM($D$246:$FB$246)</f>
        <v>34.113767593351241</v>
      </c>
      <c r="BW336" s="185">
        <f>SUM($D$247:$FB$247)</f>
        <v>2.7609087216700239E-11</v>
      </c>
      <c r="BX336" s="185">
        <f>SUM($D$248:$FB$248)</f>
        <v>1.8778406236446099E-5</v>
      </c>
      <c r="BY336" s="185">
        <f>SUM($D$249:$FB$249)</f>
        <v>2.878712163684771E-5</v>
      </c>
      <c r="BZ336" s="185">
        <f>SUM($D$250:$FB$250)</f>
        <v>7.124140826545601E-2</v>
      </c>
      <c r="CA336" s="185">
        <f>SUM($D$251:$FB$251)</f>
        <v>6.4881669094996796E-3</v>
      </c>
      <c r="CB336" s="185">
        <f>SUM($D$252:$FB$252)</f>
        <v>7.1406657065073098E-2</v>
      </c>
      <c r="CC336" s="185">
        <f>SUM($D$253:$FB$253)</f>
        <v>1.8568632076312725E-3</v>
      </c>
      <c r="CD336" s="185">
        <f>SUM($D$254:$FB$254)</f>
        <v>0.16073230938967914</v>
      </c>
      <c r="CE336" s="185">
        <f>SUM($D$255:$FB$255)</f>
        <v>1.4418148687777058E-2</v>
      </c>
      <c r="CF336" s="185">
        <f>SUM($D$256:$FB$256)</f>
        <v>0.15868042866552856</v>
      </c>
      <c r="CG336" s="185">
        <f>SUM($D$257:$FB$257)</f>
        <v>4.1260501558880161E-3</v>
      </c>
      <c r="CH336" s="185">
        <f>SUM($D$258:$FB$258)</f>
        <v>2.6385704770201138E-2</v>
      </c>
      <c r="CI336" s="185">
        <f>SUM($D$259:$FB$259)</f>
        <v>2.4030247812961763E-3</v>
      </c>
      <c r="CJ336" s="185">
        <f>SUM($D$260:$FB$260)</f>
        <v>2.6446677611535286E-2</v>
      </c>
      <c r="CK336" s="185">
        <f>SUM($D$261:$FB$261)</f>
        <v>6.8765669527871939E-4</v>
      </c>
      <c r="CL336" s="185">
        <f>SUM($D$262:$FB$262)</f>
        <v>1.4678543707353955E-16</v>
      </c>
      <c r="CM336" s="185">
        <f>SUM($D$263:$FB$263)</f>
        <v>1.5896777274116206E-2</v>
      </c>
      <c r="CN336" s="185">
        <f>SUM($D$264:$FB$264)</f>
        <v>1.8828943649749479</v>
      </c>
      <c r="CO336" s="185">
        <f>SUM($D$265:$FB$265)</f>
        <v>1.0336267206628067E-4</v>
      </c>
      <c r="CP336" s="185">
        <f>SUM($D$266:$FB$266)</f>
        <v>3.4221725367065888E-4</v>
      </c>
      <c r="CQ336" s="185">
        <f>SUM($D$267:$FB$267)</f>
        <v>0.15983065511621944</v>
      </c>
      <c r="CR336" s="185">
        <f>SUM($D$268:$FB$268)</f>
        <v>1.0042425270360239E-4</v>
      </c>
      <c r="CS336" s="185">
        <f>SUM($D$269:$FB$269)</f>
        <v>1156.1208679883773</v>
      </c>
      <c r="CT336" s="185">
        <f>SUM($D$270:$FB$270)</f>
        <v>9.6261313508047076E-4</v>
      </c>
      <c r="CU336" s="185">
        <f>SUM($D$271:$FB$271)</f>
        <v>0.62226598860794524</v>
      </c>
      <c r="CV336" s="185">
        <f>SUM($D$272:$FB$272)</f>
        <v>7.2679186840464175E-5</v>
      </c>
      <c r="CW336" s="185">
        <f>SUM($D$273:$FB$273)</f>
        <v>1505.7811054185038</v>
      </c>
      <c r="CX336" s="185">
        <f>SUM($D$274:$FB$274)</f>
        <v>7.9167713828338324E-8</v>
      </c>
      <c r="CY336" s="185">
        <f>SUM($D$275:$FB$275)</f>
        <v>1.2842986158367275E-2</v>
      </c>
      <c r="CZ336" s="185">
        <f>SUM($D$276:$FB$276)</f>
        <v>3.1882970083363731E-6</v>
      </c>
      <c r="DA336" s="185">
        <f>SUM($D$277:$FB$277)</f>
        <v>373.49154024088006</v>
      </c>
      <c r="DB336" s="185">
        <f>SUM($D$278:$FB$278)</f>
        <v>4.503024439983377E-18</v>
      </c>
      <c r="DC336" s="185">
        <f>SUM($D$279:$FB$279)</f>
        <v>1.7786700424753489E-8</v>
      </c>
      <c r="DD336" s="185">
        <f>SUM($D$280:$FB$280)</f>
        <v>2.6444992455519428E-9</v>
      </c>
      <c r="DE336" s="185">
        <f>SUM($D$281:$FB$281)</f>
        <v>0.2003959402200782</v>
      </c>
      <c r="DF336" s="185">
        <f>SUM($D$282:$FB$282)</f>
        <v>7.6124252828924262E-4</v>
      </c>
      <c r="DG336" s="185">
        <f>SUM($D$283:$FB$283)</f>
        <v>0.20600455528530073</v>
      </c>
      <c r="DH336" s="185">
        <f>SUM($D$284:$FB$284)</f>
        <v>2.2787710399275229E-4</v>
      </c>
      <c r="DI336" s="185">
        <f>SUM($D$285:$FB$285)</f>
        <v>6.1365165164653622E-18</v>
      </c>
      <c r="DJ336" s="185">
        <f>SUM($D$286:$FB$286)</f>
        <v>1.3383760197073784E-4</v>
      </c>
      <c r="DK336" s="185">
        <f>SUM($D$287:$FB$287)</f>
        <v>0.34687472600329272</v>
      </c>
      <c r="DL336" s="185">
        <f>SUM($D$288:$FB$288)</f>
        <v>9.5790336478656527E-7</v>
      </c>
      <c r="DM336" s="185">
        <f>SUM($D$289:$FB$289)</f>
        <v>1.9620353228999992E-6</v>
      </c>
      <c r="DN336" s="185">
        <f>SUM($D$290:$FB$290)</f>
        <v>2.3919989746892793E-2</v>
      </c>
      <c r="DO336" s="185">
        <f>SUM($D$291:$FB$291)</f>
        <v>9.0023646264768713E-7</v>
      </c>
      <c r="DP336" s="185">
        <f>SUM($D$292:$FB$292)</f>
        <v>849.4996586601211</v>
      </c>
      <c r="DQ336" s="185">
        <f>SUM($D$293:$FB$293)</f>
        <v>9.3669885486484145E-6</v>
      </c>
      <c r="DR336" s="185">
        <f>SUM($D$294:$FB$294)</f>
        <v>0.16491945797148697</v>
      </c>
      <c r="DS336" s="185">
        <f>SUM($D$295:$FB$295)</f>
        <v>9.4443813013799432E-7</v>
      </c>
      <c r="DT336" s="185">
        <f>SUM($D$296:$FB$296)</f>
        <v>1095.2296767023013</v>
      </c>
      <c r="DU336" s="185">
        <f>SUM($D$297:$FB$297)</f>
        <v>9.0146078707920635E-10</v>
      </c>
      <c r="DV336" s="185">
        <f>SUM($D$298:$FB$298)</f>
        <v>3.6858544554099438E-3</v>
      </c>
      <c r="DW336" s="185">
        <f>SUM($D$299:$FB$299)</f>
        <v>4.3050647715076453E-8</v>
      </c>
      <c r="DX336" s="185">
        <f>SUM($D$300:$FB$300)</f>
        <v>245.77912663119079</v>
      </c>
      <c r="DY336" s="185">
        <f>SUM($D$301:$FB$301)</f>
        <v>5.551037556254836E-20</v>
      </c>
      <c r="DZ336" s="185">
        <f>SUM($D$302:$FB$302)</f>
        <v>5.1040880967203311E-9</v>
      </c>
      <c r="EA336" s="185">
        <f>SUM($D$303:$FB$303)</f>
        <v>3.5703846801341048E-11</v>
      </c>
      <c r="EB336" s="185">
        <f>SUM($D$304:$FB$304)</f>
        <v>3.2032354847011051E-2</v>
      </c>
      <c r="EC336" s="185">
        <f>SUM($D$305:$FB$305)</f>
        <v>4.7525939946090091E-6</v>
      </c>
      <c r="ED336" s="185">
        <f>SUM($D$306:$FB$306)</f>
        <v>3.236449470930422E-2</v>
      </c>
      <c r="EE336" s="185">
        <f>SUM($D$307:$FB$307)</f>
        <v>1.5018662889340362E-6</v>
      </c>
      <c r="EF336" s="185">
        <f>SUM($D$308:$FB$308)</f>
        <v>3.0632953297348752E-15</v>
      </c>
      <c r="EG336" s="185">
        <f>SUM($D$309:$FB$309)</f>
        <v>2.3181352657649835E-4</v>
      </c>
      <c r="EH336" s="185">
        <f>SUM($D$310:$FB$310)</f>
        <v>0.60080287449331637</v>
      </c>
      <c r="EI336" s="185">
        <f>SUM($D$311:$FB$311)</f>
        <v>1.7076684516109456E-6</v>
      </c>
      <c r="EJ336" s="185">
        <f>SUM($D$312:$FB$312)</f>
        <v>6.3897466484125074E-6</v>
      </c>
      <c r="EK336" s="185">
        <f>SUM($D$313:$FB$313)</f>
        <v>9.0098518440158509E-2</v>
      </c>
      <c r="EL336" s="185">
        <f>SUM($D$314:$FB$314)</f>
        <v>1.6904441583919127E-6</v>
      </c>
      <c r="EM336" s="185">
        <f>SUM($D$315:$FB$315)</f>
        <v>2213.1415540320763</v>
      </c>
      <c r="EN336" s="185">
        <f>SUM($D$316:$FB$316)</f>
        <v>2.0659136501635238E-5</v>
      </c>
      <c r="EO336" s="185">
        <f>SUM($D$317:$FB$317)</f>
        <v>0.38862864536856101</v>
      </c>
      <c r="EP336" s="185">
        <f>SUM($D$318:$FB$318)</f>
        <v>1.5202022898220059E-6</v>
      </c>
      <c r="EQ336" s="185">
        <f>SUM($D$319:$FB$319)</f>
        <v>3137.0253972548089</v>
      </c>
      <c r="ER336" s="185">
        <f>SUM($D$320:$FB$320)</f>
        <v>1.4831096896501795E-9</v>
      </c>
      <c r="ES336" s="185">
        <f>SUM($D$321:$FB$321)</f>
        <v>7.3494938897989866E-3</v>
      </c>
      <c r="ET336" s="185">
        <f>SUM($D$322:$FB$322)</f>
        <v>6.460748906855586E-8</v>
      </c>
      <c r="EU336" s="185">
        <f>SUM($D$323:$FB$323)</f>
        <v>924.32143553939227</v>
      </c>
      <c r="EV336" s="185">
        <f>SUM($D$324:$FB$324)</f>
        <v>8.0719112642614783E-20</v>
      </c>
      <c r="EW336" s="185">
        <f>SUM($D$325:$FB$325)</f>
        <v>1.0180310604596365E-8</v>
      </c>
      <c r="EX336" s="190">
        <f>SUM($D$326:$FB$326)</f>
        <v>5.3597149963864296E-11</v>
      </c>
      <c r="EY336" s="185">
        <f>SUM($D$327:$FB$327)</f>
        <v>5.6958013409007788E-2</v>
      </c>
      <c r="EZ336" s="185">
        <f>SUM($D$328:$FB$328)</f>
        <v>7.1620448090053791E-6</v>
      </c>
      <c r="FA336" s="185">
        <f>SUM($D$329:$FB$329)</f>
        <v>6.0039917184974693E-2</v>
      </c>
      <c r="FB336" s="192">
        <f>SUM($D$330:$FB$330)</f>
        <v>2.1567915196225397E-6</v>
      </c>
    </row>
    <row r="337" spans="2:158" ht="12.75" customHeight="1" x14ac:dyDescent="0.3">
      <c r="B337" s="188" t="s">
        <v>4120</v>
      </c>
      <c r="C337" s="176">
        <f>SUM(D337:EY337)</f>
        <v>11717.41330087936</v>
      </c>
      <c r="D337" s="176">
        <f t="shared" ref="D337:AI337" si="867">SUM(D176:D330)</f>
        <v>1.3511985501259053E-18</v>
      </c>
      <c r="E337" s="176">
        <f t="shared" si="867"/>
        <v>2.9430648179336516</v>
      </c>
      <c r="F337" s="176">
        <f t="shared" si="867"/>
        <v>2.5038820044764645</v>
      </c>
      <c r="G337" s="176">
        <f t="shared" si="867"/>
        <v>8.572928775305395E-3</v>
      </c>
      <c r="H337" s="176">
        <f t="shared" si="867"/>
        <v>5.4032570842934093E-2</v>
      </c>
      <c r="I337" s="176">
        <f t="shared" si="867"/>
        <v>4.4208225415702657E-2</v>
      </c>
      <c r="J337" s="176">
        <f t="shared" si="867"/>
        <v>7.5146239962680748E-3</v>
      </c>
      <c r="K337" s="176">
        <f t="shared" si="867"/>
        <v>0.27553284875399109</v>
      </c>
      <c r="L337" s="176">
        <f t="shared" si="867"/>
        <v>9.9133903700466099E-4</v>
      </c>
      <c r="M337" s="176">
        <f t="shared" si="867"/>
        <v>4.7784259278468473E-3</v>
      </c>
      <c r="N337" s="176">
        <f>SUM(N176:N330)</f>
        <v>2.6398893428553795E-5</v>
      </c>
      <c r="O337" s="176">
        <f t="shared" si="867"/>
        <v>46.790273701415117</v>
      </c>
      <c r="P337" s="176">
        <f t="shared" si="867"/>
        <v>2.9505350281211462</v>
      </c>
      <c r="Q337" s="176">
        <f t="shared" si="867"/>
        <v>2.4241152539711095</v>
      </c>
      <c r="R337" s="176">
        <f t="shared" si="867"/>
        <v>0.71208441622512242</v>
      </c>
      <c r="S337" s="176">
        <f t="shared" si="867"/>
        <v>1.9383612201923266</v>
      </c>
      <c r="T337" s="176">
        <f t="shared" si="867"/>
        <v>1.4743738906168222E-3</v>
      </c>
      <c r="U337" s="176">
        <f t="shared" si="867"/>
        <v>0.7997460635065472</v>
      </c>
      <c r="V337" s="176">
        <f t="shared" si="867"/>
        <v>5.2263415162439545E-3</v>
      </c>
      <c r="W337" s="176">
        <f t="shared" si="867"/>
        <v>0</v>
      </c>
      <c r="X337" s="176">
        <f t="shared" si="867"/>
        <v>9.683889712865643E-12</v>
      </c>
      <c r="Y337" s="176">
        <f t="shared" si="867"/>
        <v>1.7008846529614216E-5</v>
      </c>
      <c r="Z337" s="176">
        <f t="shared" si="867"/>
        <v>1.7730122549673183E-5</v>
      </c>
      <c r="AA337" s="176">
        <f t="shared" si="867"/>
        <v>42.311562166493587</v>
      </c>
      <c r="AB337" s="176">
        <f t="shared" si="867"/>
        <v>3.5749166300585935E-7</v>
      </c>
      <c r="AC337" s="176">
        <f t="shared" si="867"/>
        <v>0.17618359071747031</v>
      </c>
      <c r="AD337" s="176">
        <f t="shared" si="867"/>
        <v>0.68501197061250219</v>
      </c>
      <c r="AE337" s="176">
        <f t="shared" si="867"/>
        <v>0.62403448072781098</v>
      </c>
      <c r="AF337" s="176">
        <f t="shared" si="867"/>
        <v>2.5147221539069718E-11</v>
      </c>
      <c r="AG337" s="176">
        <f t="shared" si="867"/>
        <v>2.9779528192660099E-4</v>
      </c>
      <c r="AH337" s="176">
        <f t="shared" si="867"/>
        <v>9.5389723279126282E-4</v>
      </c>
      <c r="AI337" s="176">
        <f t="shared" si="867"/>
        <v>9.4837315425878144E-2</v>
      </c>
      <c r="AJ337" s="176">
        <f t="shared" ref="AJ337:BO337" si="868">SUM(AJ176:AJ330)</f>
        <v>6.462113971932916E-2</v>
      </c>
      <c r="AK337" s="176">
        <f t="shared" si="868"/>
        <v>8.0119394831594623E-2</v>
      </c>
      <c r="AL337" s="176">
        <f t="shared" si="868"/>
        <v>1.7071612188650966E-2</v>
      </c>
      <c r="AM337" s="176">
        <f t="shared" si="868"/>
        <v>3.1202179554504554</v>
      </c>
      <c r="AN337" s="176">
        <f t="shared" si="868"/>
        <v>3.0832327623676568</v>
      </c>
      <c r="AO337" s="176">
        <f t="shared" si="868"/>
        <v>2.4333426894622012</v>
      </c>
      <c r="AP337" s="176">
        <f t="shared" si="868"/>
        <v>0.7213242847492749</v>
      </c>
      <c r="AQ337" s="176">
        <f t="shared" si="868"/>
        <v>3.51249117942058E-2</v>
      </c>
      <c r="AR337" s="176">
        <f t="shared" si="868"/>
        <v>2.3933754879742822E-2</v>
      </c>
      <c r="AS337" s="176">
        <f t="shared" si="868"/>
        <v>2.9671535583201514E-2</v>
      </c>
      <c r="AT337" s="176">
        <f t="shared" si="868"/>
        <v>6.3221179701495904E-3</v>
      </c>
      <c r="AU337" s="176">
        <f t="shared" si="868"/>
        <v>3.0897476394832966E-18</v>
      </c>
      <c r="AV337" s="176">
        <f t="shared" si="868"/>
        <v>0.5248246195946612</v>
      </c>
      <c r="AW337" s="176">
        <f t="shared" si="868"/>
        <v>2.9455308550945603</v>
      </c>
      <c r="AX337" s="176">
        <f t="shared" si="868"/>
        <v>2.7246541820820447E-3</v>
      </c>
      <c r="AY337" s="176">
        <f t="shared" si="868"/>
        <v>1.115544549244105E-2</v>
      </c>
      <c r="AZ337" s="176">
        <f t="shared" si="868"/>
        <v>0.19767593765311084</v>
      </c>
      <c r="BA337" s="176">
        <f t="shared" si="868"/>
        <v>2.6293386531206905E-3</v>
      </c>
      <c r="BB337" s="176">
        <f t="shared" si="868"/>
        <v>2.390998385424041E-2</v>
      </c>
      <c r="BC337" s="176">
        <f t="shared" si="868"/>
        <v>9.945190458914062E-5</v>
      </c>
      <c r="BD337" s="176">
        <f t="shared" si="868"/>
        <v>2.4559888120615596E-3</v>
      </c>
      <c r="BE337" s="176">
        <f t="shared" si="868"/>
        <v>3.9595563465958021E-6</v>
      </c>
      <c r="BF337" s="176">
        <f t="shared" si="868"/>
        <v>2.3718718869845876</v>
      </c>
      <c r="BG337" s="176">
        <f t="shared" si="868"/>
        <v>1.0939714011028087E-3</v>
      </c>
      <c r="BH337" s="176">
        <f t="shared" si="868"/>
        <v>2.7176898089468035E-2</v>
      </c>
      <c r="BI337" s="176">
        <f t="shared" si="868"/>
        <v>3.0631270657510126E-4</v>
      </c>
      <c r="BJ337" s="176">
        <f t="shared" si="868"/>
        <v>56.903191024796172</v>
      </c>
      <c r="BK337" s="176">
        <f t="shared" si="868"/>
        <v>3.2359943949042E-2</v>
      </c>
      <c r="BL337" s="176">
        <f t="shared" si="868"/>
        <v>0.90564654576748893</v>
      </c>
      <c r="BM337" s="176">
        <f t="shared" si="868"/>
        <v>2.3449773031163027E-3</v>
      </c>
      <c r="BN337" s="176">
        <f t="shared" si="868"/>
        <v>0</v>
      </c>
      <c r="BO337" s="176">
        <f t="shared" si="868"/>
        <v>9.7149536374188103E-13</v>
      </c>
      <c r="BP337" s="176">
        <f t="shared" ref="BP337:CU337" si="869">SUM(BP176:BP330)</f>
        <v>8.7434821452388719E-6</v>
      </c>
      <c r="BQ337" s="176">
        <f t="shared" si="869"/>
        <v>2.659748303200414E-6</v>
      </c>
      <c r="BR337" s="176">
        <f t="shared" si="869"/>
        <v>2.1154472830185371</v>
      </c>
      <c r="BS337" s="176">
        <f t="shared" si="869"/>
        <v>1.3254736942277436E-10</v>
      </c>
      <c r="BT337" s="176">
        <f t="shared" si="869"/>
        <v>1.9754670308881248E-3</v>
      </c>
      <c r="BU337" s="176">
        <f t="shared" si="869"/>
        <v>2.9470641096233816E-4</v>
      </c>
      <c r="BV337" s="176">
        <f t="shared" si="869"/>
        <v>30.948048935644437</v>
      </c>
      <c r="BW337" s="176">
        <f t="shared" si="869"/>
        <v>2.7609085359434728E-11</v>
      </c>
      <c r="BX337" s="176">
        <f t="shared" si="869"/>
        <v>1.8776953973129276E-5</v>
      </c>
      <c r="BY337" s="176">
        <f t="shared" si="869"/>
        <v>2.8784895330726541E-5</v>
      </c>
      <c r="BZ337" s="176">
        <f t="shared" si="869"/>
        <v>7.1159945051253809E-2</v>
      </c>
      <c r="CA337" s="176">
        <f t="shared" si="869"/>
        <v>6.4881667101245868E-3</v>
      </c>
      <c r="CB337" s="176">
        <f t="shared" si="869"/>
        <v>7.1393118408213246E-2</v>
      </c>
      <c r="CC337" s="176">
        <f t="shared" si="869"/>
        <v>1.8568632076312683E-3</v>
      </c>
      <c r="CD337" s="176">
        <f t="shared" si="869"/>
        <v>0.16054851498168574</v>
      </c>
      <c r="CE337" s="176">
        <f t="shared" si="869"/>
        <v>1.4418148365224098E-2</v>
      </c>
      <c r="CF337" s="176">
        <f t="shared" si="869"/>
        <v>0.15866652333228595</v>
      </c>
      <c r="CG337" s="176">
        <f t="shared" si="869"/>
        <v>4.1260501558880083E-3</v>
      </c>
      <c r="CH337" s="176">
        <f t="shared" si="869"/>
        <v>2.6355533211666497E-2</v>
      </c>
      <c r="CI337" s="176">
        <f t="shared" si="869"/>
        <v>2.4030246500369415E-3</v>
      </c>
      <c r="CJ337" s="176">
        <f t="shared" si="869"/>
        <v>2.6441663338245054E-2</v>
      </c>
      <c r="CK337" s="176">
        <f t="shared" si="869"/>
        <v>6.8765669527871777E-4</v>
      </c>
      <c r="CL337" s="176">
        <f t="shared" si="869"/>
        <v>1.4677951082033698E-16</v>
      </c>
      <c r="CM337" s="176">
        <f t="shared" si="869"/>
        <v>1.5896648022306493E-2</v>
      </c>
      <c r="CN337" s="176">
        <f t="shared" si="869"/>
        <v>1.8825594886485306</v>
      </c>
      <c r="CO337" s="176">
        <f t="shared" si="869"/>
        <v>1.0336217486065478E-4</v>
      </c>
      <c r="CP337" s="176">
        <f t="shared" si="869"/>
        <v>3.4221725367065893E-4</v>
      </c>
      <c r="CQ337" s="176">
        <f t="shared" si="869"/>
        <v>0.15983065511621944</v>
      </c>
      <c r="CR337" s="176">
        <f t="shared" si="869"/>
        <v>1.0042425270360239E-4</v>
      </c>
      <c r="CS337" s="176">
        <f t="shared" si="869"/>
        <v>1156.1208679883657</v>
      </c>
      <c r="CT337" s="176">
        <f t="shared" si="869"/>
        <v>9.6261313508047086E-4</v>
      </c>
      <c r="CU337" s="176">
        <f t="shared" si="869"/>
        <v>0.62226598860794524</v>
      </c>
      <c r="CV337" s="176">
        <f t="shared" ref="CV337:EA337" si="870">SUM(CV176:CV330)</f>
        <v>7.2679186840464161E-5</v>
      </c>
      <c r="CW337" s="176">
        <f t="shared" si="870"/>
        <v>1505.7811054181795</v>
      </c>
      <c r="CX337" s="176">
        <f t="shared" si="870"/>
        <v>7.9167713828338324E-8</v>
      </c>
      <c r="CY337" s="176">
        <f t="shared" si="870"/>
        <v>1.284298615836727E-2</v>
      </c>
      <c r="CZ337" s="176">
        <f t="shared" si="870"/>
        <v>3.188297008336371E-6</v>
      </c>
      <c r="DA337" s="176">
        <f t="shared" si="870"/>
        <v>373.37830454588362</v>
      </c>
      <c r="DB337" s="176">
        <f t="shared" si="870"/>
        <v>4.5030244389937171E-18</v>
      </c>
      <c r="DC337" s="176">
        <f t="shared" si="870"/>
        <v>1.7786695930661262E-8</v>
      </c>
      <c r="DD337" s="176">
        <f t="shared" si="870"/>
        <v>2.6444985773772278E-9</v>
      </c>
      <c r="DE337" s="176">
        <f t="shared" si="870"/>
        <v>0.20016679122090947</v>
      </c>
      <c r="DF337" s="176">
        <f t="shared" si="870"/>
        <v>7.6124250489699604E-4</v>
      </c>
      <c r="DG337" s="176">
        <f t="shared" si="870"/>
        <v>0.20596549695236357</v>
      </c>
      <c r="DH337" s="176">
        <f t="shared" si="870"/>
        <v>2.2787710399275186E-4</v>
      </c>
      <c r="DI337" s="176">
        <f t="shared" si="870"/>
        <v>6.1362584142667521E-18</v>
      </c>
      <c r="DJ337" s="176">
        <f t="shared" si="870"/>
        <v>1.3383647067444587E-4</v>
      </c>
      <c r="DK337" s="176">
        <f t="shared" si="870"/>
        <v>0.34679438190697681</v>
      </c>
      <c r="DL337" s="176">
        <f t="shared" si="870"/>
        <v>9.5789088485924667E-7</v>
      </c>
      <c r="DM337" s="176">
        <f t="shared" si="870"/>
        <v>1.9620353228999992E-6</v>
      </c>
      <c r="DN337" s="176">
        <f t="shared" si="870"/>
        <v>2.3919989746892793E-2</v>
      </c>
      <c r="DO337" s="176">
        <f t="shared" si="870"/>
        <v>9.0023646264768713E-7</v>
      </c>
      <c r="DP337" s="176">
        <f t="shared" si="870"/>
        <v>849.49965866011905</v>
      </c>
      <c r="DQ337" s="176">
        <f t="shared" si="870"/>
        <v>9.3669885486484112E-6</v>
      </c>
      <c r="DR337" s="176">
        <f t="shared" si="870"/>
        <v>0.16491945797148677</v>
      </c>
      <c r="DS337" s="176">
        <f t="shared" si="870"/>
        <v>9.4443813013799336E-7</v>
      </c>
      <c r="DT337" s="176">
        <f t="shared" si="870"/>
        <v>1095.2296767022549</v>
      </c>
      <c r="DU337" s="176">
        <f t="shared" si="870"/>
        <v>9.0146078707920666E-10</v>
      </c>
      <c r="DV337" s="176">
        <f t="shared" si="870"/>
        <v>3.6858544554099412E-3</v>
      </c>
      <c r="DW337" s="176">
        <f t="shared" si="870"/>
        <v>4.305064771507642E-8</v>
      </c>
      <c r="DX337" s="176">
        <f t="shared" si="870"/>
        <v>245.72633556270898</v>
      </c>
      <c r="DY337" s="176">
        <f t="shared" si="870"/>
        <v>5.5510375553325695E-20</v>
      </c>
      <c r="DZ337" s="176">
        <f t="shared" si="870"/>
        <v>5.1040871830750255E-9</v>
      </c>
      <c r="EA337" s="176">
        <f t="shared" si="870"/>
        <v>3.570384041025778E-11</v>
      </c>
      <c r="EB337" s="176">
        <f t="shared" ref="EB337:FB337" si="871">SUM(EB176:EB330)</f>
        <v>3.2017659213765183E-2</v>
      </c>
      <c r="EC337" s="176">
        <f t="shared" si="871"/>
        <v>4.7525939384480803E-6</v>
      </c>
      <c r="ED337" s="176">
        <f t="shared" si="871"/>
        <v>3.2362262527129128E-2</v>
      </c>
      <c r="EE337" s="176">
        <f t="shared" si="871"/>
        <v>1.5018662889340328E-6</v>
      </c>
      <c r="EF337" s="176">
        <f t="shared" si="871"/>
        <v>3.0631631006014935E-15</v>
      </c>
      <c r="EG337" s="176">
        <f t="shared" si="871"/>
        <v>2.3181165420044664E-4</v>
      </c>
      <c r="EH337" s="176">
        <f t="shared" si="871"/>
        <v>0.60066074621805376</v>
      </c>
      <c r="EI337" s="176">
        <f t="shared" si="871"/>
        <v>1.707663944970167E-6</v>
      </c>
      <c r="EJ337" s="176">
        <f t="shared" si="871"/>
        <v>6.3897466484125057E-6</v>
      </c>
      <c r="EK337" s="176">
        <f t="shared" si="871"/>
        <v>9.0098518440158509E-2</v>
      </c>
      <c r="EL337" s="176">
        <f t="shared" si="871"/>
        <v>1.6904441583919131E-6</v>
      </c>
      <c r="EM337" s="176">
        <f t="shared" si="871"/>
        <v>2213.1415540320149</v>
      </c>
      <c r="EN337" s="176">
        <f t="shared" si="871"/>
        <v>2.0659136501635238E-5</v>
      </c>
      <c r="EO337" s="176">
        <f t="shared" si="871"/>
        <v>0.38862864536856068</v>
      </c>
      <c r="EP337" s="176">
        <f t="shared" si="871"/>
        <v>1.5202022898220046E-6</v>
      </c>
      <c r="EQ337" s="176">
        <f t="shared" si="871"/>
        <v>3137.025397252829</v>
      </c>
      <c r="ER337" s="176">
        <f t="shared" si="871"/>
        <v>1.483109689650179E-9</v>
      </c>
      <c r="ES337" s="176">
        <f t="shared" si="871"/>
        <v>7.3494938897989805E-3</v>
      </c>
      <c r="ET337" s="176">
        <f t="shared" si="871"/>
        <v>6.4607489068555834E-8</v>
      </c>
      <c r="EU337" s="176">
        <f t="shared" si="871"/>
        <v>924.12289989854253</v>
      </c>
      <c r="EV337" s="176">
        <f t="shared" si="871"/>
        <v>8.0719112635341376E-20</v>
      </c>
      <c r="EW337" s="176">
        <f t="shared" si="871"/>
        <v>1.0180309511214726E-8</v>
      </c>
      <c r="EX337" s="176">
        <f t="shared" si="871"/>
        <v>5.3597144207444652E-11</v>
      </c>
      <c r="EY337" s="176">
        <f t="shared" si="871"/>
        <v>5.685250758569782E-2</v>
      </c>
      <c r="EZ337" s="176">
        <f t="shared" si="871"/>
        <v>7.1620444167439977E-6</v>
      </c>
      <c r="FA337" s="176">
        <f t="shared" si="871"/>
        <v>6.0019277509423638E-2</v>
      </c>
      <c r="FB337" s="206">
        <f t="shared" si="871"/>
        <v>2.156791519622535E-6</v>
      </c>
    </row>
    <row r="338" spans="2:158" ht="12.75" customHeight="1" x14ac:dyDescent="0.3">
      <c r="B338" s="207" t="s">
        <v>4121</v>
      </c>
      <c r="C338" s="176">
        <f>SUM(D338:EY338)</f>
        <v>8.8188702429875487</v>
      </c>
      <c r="D338" s="176">
        <f>k.aRG*D168</f>
        <v>3.0392989033935733E-23</v>
      </c>
      <c r="E338" s="176">
        <f>k.aRS*E168</f>
        <v>2.0407526183449364E-5</v>
      </c>
      <c r="F338" s="176">
        <f>k.aRA*F168</f>
        <v>9.2624835416400418E-5</v>
      </c>
      <c r="G338" s="176">
        <f>k.aRP*G168</f>
        <v>3.7205288829453666E-8</v>
      </c>
      <c r="H338" s="176">
        <v>0</v>
      </c>
      <c r="I338" s="176">
        <v>0</v>
      </c>
      <c r="J338" s="176">
        <v>0</v>
      </c>
      <c r="K338" s="176">
        <f>k.w0RD*K168</f>
        <v>6.7629043167633447E-14</v>
      </c>
      <c r="L338" s="176">
        <f>k.w0RS*L168</f>
        <v>1.87372644670947E-20</v>
      </c>
      <c r="M338" s="176">
        <f>k.w0RA*M168</f>
        <v>3.5425156662527326E-16</v>
      </c>
      <c r="N338" s="176">
        <f>k.w0RP*N168</f>
        <v>6.1607476029217255E-19</v>
      </c>
      <c r="O338" s="176">
        <f>k.w1RD*O168</f>
        <v>1.3422440235665628E-14</v>
      </c>
      <c r="P338" s="176">
        <f>k.w1RS*P168</f>
        <v>2.07512137475033E-17</v>
      </c>
      <c r="Q338" s="176">
        <f>k.w1RA*Q168</f>
        <v>1.0968857660786919E-13</v>
      </c>
      <c r="R338" s="176">
        <f>k.w1RP*R168</f>
        <v>7.1150684509240655E-16</v>
      </c>
      <c r="S338" s="176">
        <f>k.w2RD*S168</f>
        <v>2.3009837857166378E-15</v>
      </c>
      <c r="T338" s="176">
        <f>k.w2RS*T168</f>
        <v>4.8657105320648679E-21</v>
      </c>
      <c r="U338" s="176">
        <f>k.w2RA*U168</f>
        <v>6.0702889150886148E-16</v>
      </c>
      <c r="V338" s="176">
        <f>k.w2RP*V168</f>
        <v>3.2439793356761957E-18</v>
      </c>
      <c r="W338" s="176">
        <f>k.sd0RD*W168</f>
        <v>0.23374290451674942</v>
      </c>
      <c r="X338" s="176">
        <f>k.sd0RS*X168</f>
        <v>3.5402932349955846E-18</v>
      </c>
      <c r="Y338" s="176">
        <f>k.sd0RA*Y168</f>
        <v>3.7308238121004788E-7</v>
      </c>
      <c r="Z338" s="176">
        <f>k.sd0RP*Z168</f>
        <v>3.8890328797199578E-7</v>
      </c>
      <c r="AA338" s="176">
        <f>k.sd1RD*AA168</f>
        <v>4.6135857002680059</v>
      </c>
      <c r="AB338" s="176">
        <f>k.sd1RS*AB168</f>
        <v>1.1344351903582437E-13</v>
      </c>
      <c r="AC338" s="176">
        <f>k.sd1RA*AC168</f>
        <v>3.2180942626432131E-3</v>
      </c>
      <c r="AD338" s="176">
        <f>k.sd1RP*AD168</f>
        <v>1.2512136252263502E-2</v>
      </c>
      <c r="AE338" s="176">
        <f>k.sd2RD*AE168</f>
        <v>0.17063487088023357</v>
      </c>
      <c r="AF338" s="176">
        <f>k.sd2RS*AF168</f>
        <v>3.9142694169628266E-18</v>
      </c>
      <c r="AG338" s="176">
        <f>k.sd2RA*AG168</f>
        <v>5.329922180891135E-8</v>
      </c>
      <c r="AH338" s="176">
        <f>k.sd2RP*AH168</f>
        <v>1.7072795735554837E-7</v>
      </c>
      <c r="AI338" s="176">
        <f>k.s1RD*AI168</f>
        <v>1.0856883792331439E-4</v>
      </c>
      <c r="AJ338" s="176">
        <f>k.s1RS*AJ168</f>
        <v>1.9857451684549382E-9</v>
      </c>
      <c r="AK338" s="176">
        <f>k.s1RA*AK168</f>
        <v>1.5193467082406556E-5</v>
      </c>
      <c r="AL338" s="176">
        <f>k.s1RP*AL168</f>
        <v>3.5054471123602876E-17</v>
      </c>
      <c r="AM338" s="176">
        <f>k.s2RD*AM168</f>
        <v>3.5719957422081401E-3</v>
      </c>
      <c r="AN338" s="176">
        <f>k.s2RS*AN168</f>
        <v>6.8975976895686812E-8</v>
      </c>
      <c r="AO338" s="176">
        <f>k.s2RA*AO168</f>
        <v>2.1325507283973059E-4</v>
      </c>
      <c r="AP338" s="176">
        <f>k.s2RP*AP168</f>
        <v>1.481155349486466E-15</v>
      </c>
      <c r="AQ338" s="176">
        <f>k.s3RD*AQ168</f>
        <v>4.0210657993965794E-5</v>
      </c>
      <c r="AR338" s="176">
        <f>k.s3RS*AR168</f>
        <v>1.3073217333971545E-9</v>
      </c>
      <c r="AS338" s="176">
        <f>k.s3RA*AS168</f>
        <v>5.6267711471786008E-6</v>
      </c>
      <c r="AT338" s="176">
        <f>k.s3RP*AT168</f>
        <v>1.2981697298158482E-17</v>
      </c>
      <c r="AU338" s="176">
        <f>k.aC*AU168</f>
        <v>1.1940278286254657E-22</v>
      </c>
      <c r="AV338" s="176">
        <f>k.aCS*AV168</f>
        <v>4.2132928791561235E-6</v>
      </c>
      <c r="AW338" s="176">
        <f>k.aCA*AW168</f>
        <v>4.1416955823787637E-4</v>
      </c>
      <c r="AX338" s="176">
        <f>k.aCP*AX168</f>
        <v>1.3017990529983158E-8</v>
      </c>
      <c r="AY338" s="176">
        <v>0</v>
      </c>
      <c r="AZ338" s="176">
        <v>0</v>
      </c>
      <c r="BA338" s="176">
        <v>0</v>
      </c>
      <c r="BB338" s="176">
        <f>k.w0C*BB168</f>
        <v>5.8686626205486911E-15</v>
      </c>
      <c r="BC338" s="176">
        <f>k.w0CS*BC168</f>
        <v>1.8797369703844675E-21</v>
      </c>
      <c r="BD338" s="176">
        <f>k.w0CA*BD168</f>
        <v>1.8207625218520212E-16</v>
      </c>
      <c r="BE338" s="176">
        <f>k.w0CP*BE168</f>
        <v>9.2404734073203718E-20</v>
      </c>
      <c r="BF338" s="176">
        <f>k.w1C*BF168</f>
        <v>6.804044116703516E-16</v>
      </c>
      <c r="BG338" s="176">
        <f>k.w1CS*BG168</f>
        <v>7.6939382727463634E-21</v>
      </c>
      <c r="BH338" s="176">
        <f>k.w1CA*BH168</f>
        <v>1.2297250566644867E-15</v>
      </c>
      <c r="BI338" s="176">
        <f>k.w1CP*BI168</f>
        <v>3.0606425656991825E-19</v>
      </c>
      <c r="BJ338" s="176">
        <f>k.w2C*BJ168</f>
        <v>1.9786561389247655E-12</v>
      </c>
      <c r="BK338" s="176">
        <f>k.w2CS*BK168</f>
        <v>1.0684107214949872E-19</v>
      </c>
      <c r="BL338" s="176">
        <f>k.w2CA*BL168</f>
        <v>7.6542437608392469E-16</v>
      </c>
      <c r="BM338" s="176">
        <f>k.w2CP*BM168</f>
        <v>1.9576127193772569E-18</v>
      </c>
      <c r="BN338" s="176">
        <f>k.sd0CD*BN168</f>
        <v>2.0291955949003369E-2</v>
      </c>
      <c r="BO338" s="176">
        <f>k.sd0CS*BO168</f>
        <v>3.525718218052898E-19</v>
      </c>
      <c r="BP338" s="176">
        <f>k.sd0CA*BP168</f>
        <v>1.9038458071553908E-7</v>
      </c>
      <c r="BQ338" s="176">
        <f>k.sd0CP*BQ168</f>
        <v>5.7914576492778235E-8</v>
      </c>
      <c r="BR338" s="176">
        <f>k.sd1C*BR168</f>
        <v>0.22879872181601257</v>
      </c>
      <c r="BS338" s="176">
        <f>k.sd1CS*BS168</f>
        <v>4.1754409932364812E-17</v>
      </c>
      <c r="BT338" s="176">
        <f>k.sd1CA*BT168</f>
        <v>3.5814809264908002E-5</v>
      </c>
      <c r="BU338" s="176">
        <f>k.sd1CP*BU168</f>
        <v>5.3429663632586775E-6</v>
      </c>
      <c r="BV338" s="176">
        <f>k.sd2C*BV168</f>
        <v>3.1657186577068059</v>
      </c>
      <c r="BW338" s="176">
        <f>k.sd2CS*BW168</f>
        <v>1.8572655056682726E-18</v>
      </c>
      <c r="BX338" s="176">
        <f>k.sd2CA*BX168</f>
        <v>1.452263316823297E-9</v>
      </c>
      <c r="BY338" s="176">
        <f>k.sd2CP*BY168</f>
        <v>2.2263061211757157E-9</v>
      </c>
      <c r="BZ338" s="176">
        <f>k.s1C*BZ168</f>
        <v>8.1463214202217015E-5</v>
      </c>
      <c r="CA338" s="176">
        <f>k.s1CS*CA168</f>
        <v>1.9937509231064083E-10</v>
      </c>
      <c r="CB338" s="176">
        <f>k.s1CA*CB168</f>
        <v>1.3538656859871747E-5</v>
      </c>
      <c r="CC338" s="176">
        <f>k.s1CP*CC168</f>
        <v>3.8128418671356057E-18</v>
      </c>
      <c r="CD338" s="176">
        <f>k.s2C*CD168</f>
        <v>1.837944079934089E-4</v>
      </c>
      <c r="CE338" s="176">
        <f>k.s2CS*CE168</f>
        <v>3.2255296475073363E-10</v>
      </c>
      <c r="CF338" s="176">
        <f>k.s2CA*CF168</f>
        <v>1.3905333242615216E-5</v>
      </c>
      <c r="CG338" s="176">
        <f>k.s2CP*CG168</f>
        <v>8.4723631102579987E-18</v>
      </c>
      <c r="CH338" s="176">
        <f>k.s3C*CH168</f>
        <v>3.0171558534639467E-5</v>
      </c>
      <c r="CI338" s="176">
        <f>k.s3CS*CI168</f>
        <v>1.3125923477813031E-10</v>
      </c>
      <c r="CJ338" s="176">
        <f>k.s3CA*CJ168</f>
        <v>5.0142732902330712E-6</v>
      </c>
      <c r="CK338" s="176">
        <f>k.s3CP*CK168</f>
        <v>1.4120190583772191E-18</v>
      </c>
      <c r="CL338" s="176">
        <f>k.aM*CL168</f>
        <v>5.9262532026007343E-21</v>
      </c>
      <c r="CM338" s="176">
        <f>k.aMS*CM168</f>
        <v>1.2925180970961312E-7</v>
      </c>
      <c r="CN338" s="176">
        <f>k.aMA*CN168</f>
        <v>3.3487632641722914E-4</v>
      </c>
      <c r="CO338" s="176">
        <f>k.aMP*CO168</f>
        <v>4.9720562588029743E-10</v>
      </c>
      <c r="CP338" s="176">
        <v>0</v>
      </c>
      <c r="CQ338" s="176">
        <v>0</v>
      </c>
      <c r="CR338" s="176">
        <v>0</v>
      </c>
      <c r="CS338" s="176">
        <f>k.w2M*CS168</f>
        <v>1.0831166716230603E-11</v>
      </c>
      <c r="CT338" s="176">
        <f>k.w2MS*CT168</f>
        <v>3.1779325308795395E-21</v>
      </c>
      <c r="CU338" s="176">
        <f>k.w2MA*CU168</f>
        <v>5.1450986775664927E-16</v>
      </c>
      <c r="CV338" s="176">
        <f>k.w2MP*CV168</f>
        <v>5.8669219946822909E-20</v>
      </c>
      <c r="CW338" s="176">
        <f>k.w3M*CW168</f>
        <v>3.2494755516354562E-10</v>
      </c>
      <c r="CX338" s="176">
        <f>k.w3MS*CX168</f>
        <v>2.6138565645455669E-25</v>
      </c>
      <c r="CY338" s="176">
        <f>k.w3MA*CY168</f>
        <v>1.0875030592312348E-17</v>
      </c>
      <c r="CZ338" s="176">
        <f>k.w3MP*CZ168</f>
        <v>2.6975125602034342E-21</v>
      </c>
      <c r="DA338" s="176">
        <f>k.sdM*DA168</f>
        <v>0.11323569499639641</v>
      </c>
      <c r="DB338" s="176">
        <f>k.sdMS*DB168</f>
        <v>9.8966041703784231E-28</v>
      </c>
      <c r="DC338" s="176">
        <f>k.sdMA*DC168</f>
        <v>4.494092221000663E-15</v>
      </c>
      <c r="DD338" s="176">
        <f>k.sdMP*DD168</f>
        <v>6.681747150436886E-16</v>
      </c>
      <c r="DE338" s="176">
        <f>k.sM*DE168</f>
        <v>2.2914899916876892E-4</v>
      </c>
      <c r="DF338" s="176">
        <f>k.sMS*DF168</f>
        <v>2.3392246448875172E-11</v>
      </c>
      <c r="DG338" s="176">
        <f>k.sMA*DG168</f>
        <v>3.9058332937173048E-5</v>
      </c>
      <c r="DH338" s="176">
        <f>k.sMP*DH168</f>
        <v>4.6791780842787574E-19</v>
      </c>
      <c r="DI338" s="176">
        <f>k.aA*DI168</f>
        <v>2.5810219861050266E-22</v>
      </c>
      <c r="DJ338" s="176">
        <f>k.aAS*DJ168</f>
        <v>1.1312962919559108E-9</v>
      </c>
      <c r="DK338" s="176">
        <f>k.aAA*DK168</f>
        <v>8.0344096316033208E-5</v>
      </c>
      <c r="DL338" s="176">
        <f>k.aAP*DL168</f>
        <v>1.2479927318770736E-11</v>
      </c>
      <c r="DM338" s="176">
        <v>0</v>
      </c>
      <c r="DN338" s="176">
        <v>0</v>
      </c>
      <c r="DO338" s="176">
        <v>0</v>
      </c>
      <c r="DP338" s="176">
        <f>k.w2A*DP168</f>
        <v>1.8902863186095143E-12</v>
      </c>
      <c r="DQ338" s="176">
        <f>k.w2AS*DQ168</f>
        <v>3.3478397599988998E-23</v>
      </c>
      <c r="DR338" s="176">
        <f>k.w2AA*DR168</f>
        <v>1.3663864779903822E-16</v>
      </c>
      <c r="DS338" s="176">
        <f>k.w2AP*DS168</f>
        <v>7.6390052105954158E-22</v>
      </c>
      <c r="DT338" s="176">
        <f>k.w3A*DT168</f>
        <v>4.653840670907007E-11</v>
      </c>
      <c r="DU338" s="176">
        <f>k.w3AS*DU168</f>
        <v>3.2221934723741462E-27</v>
      </c>
      <c r="DV338" s="176">
        <f>k.w3AA*DV168</f>
        <v>3.1207088936137304E-18</v>
      </c>
      <c r="DW338" s="176">
        <f>k.w3AP*DW168</f>
        <v>3.6419588836418111E-23</v>
      </c>
      <c r="DX338" s="176">
        <f>k.sdA*DX168</f>
        <v>5.2791068481883592E-2</v>
      </c>
      <c r="DY338" s="176">
        <f>k.sdAS*DY168</f>
        <v>9.2226531425694797E-30</v>
      </c>
      <c r="DZ338" s="176">
        <f>k.sdAA*DZ168</f>
        <v>9.1364530577616993E-16</v>
      </c>
      <c r="EA338" s="176">
        <f>k.sdAP*EA168</f>
        <v>6.391083266990906E-18</v>
      </c>
      <c r="EB338" s="176">
        <f>k.sA*EB168</f>
        <v>1.4695633245860931E-5</v>
      </c>
      <c r="EC338" s="176">
        <f>k.sAS*EC168</f>
        <v>5.6160929287747233E-14</v>
      </c>
      <c r="ED338" s="176">
        <f>k.sAA*ED168</f>
        <v>2.232182175082752E-6</v>
      </c>
      <c r="EE338" s="176">
        <f>k.sAP*EE168</f>
        <v>3.083899041002697E-21</v>
      </c>
      <c r="EF338" s="176">
        <f>k.aT*EF168</f>
        <v>1.3222913338251924E-19</v>
      </c>
      <c r="EG338" s="176">
        <f>k.aTS*EG168</f>
        <v>1.8723760517551632E-9</v>
      </c>
      <c r="EH338" s="176">
        <f>k.aTA*EH168</f>
        <v>1.4212827526265421E-4</v>
      </c>
      <c r="EI338" s="176">
        <f>k.aTP*EI168</f>
        <v>4.5066407781360391E-12</v>
      </c>
      <c r="EJ338" s="176">
        <v>0</v>
      </c>
      <c r="EK338" s="176">
        <v>0</v>
      </c>
      <c r="EL338" s="176">
        <v>0</v>
      </c>
      <c r="EM338" s="176">
        <f>k.w2T*EM168</f>
        <v>6.1471177489719082E-11</v>
      </c>
      <c r="EN338" s="176">
        <f>k.w2TS*EN168</f>
        <v>6.5261984373529613E-23</v>
      </c>
      <c r="EO338" s="176">
        <f>k.w2TA*EO168</f>
        <v>3.2265955078310285E-16</v>
      </c>
      <c r="EP338" s="176">
        <f>k.w2TP*EP168</f>
        <v>1.2321147254260678E-21</v>
      </c>
      <c r="EQ338" s="176">
        <f>k.w3T*EQ168</f>
        <v>1.980133738493939E-9</v>
      </c>
      <c r="ER338" s="176">
        <f>k.w3TS*ER168</f>
        <v>4.6854771782222558E-27</v>
      </c>
      <c r="ES338" s="176">
        <f>k.w3TA*ES168</f>
        <v>6.2243803871578171E-18</v>
      </c>
      <c r="ET338" s="176">
        <f>k.w3TP*ET168</f>
        <v>5.4671592543885156E-23</v>
      </c>
      <c r="EU338" s="176">
        <f>k.sdT*EU168</f>
        <v>0.19853564084973072</v>
      </c>
      <c r="EV338" s="176">
        <f>k.sdTS*EV168</f>
        <v>7.2734005326258541E-30</v>
      </c>
      <c r="EW338" s="176">
        <f>k.sdTA*EW168</f>
        <v>1.0933816400838105E-15</v>
      </c>
      <c r="EX338" s="176">
        <f>k.sdTP*EX168</f>
        <v>5.7564196228796038E-18</v>
      </c>
      <c r="EY338" s="176">
        <f>k.sT*EY168</f>
        <v>1.0550582330997186E-4</v>
      </c>
      <c r="EZ338" s="176">
        <f>k.sTS*EZ168</f>
        <v>3.9226138094297208E-13</v>
      </c>
      <c r="FA338" s="176">
        <f>k.sTA*FA168</f>
        <v>2.0639675551055038E-5</v>
      </c>
      <c r="FB338" s="176">
        <f>k.sTP*FB168</f>
        <v>4.4287080334744994E-21</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nAg_10nm</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3351.329430837749</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3351.329430837749</v>
      </c>
      <c r="I10" s="335" t="s">
        <v>4127</v>
      </c>
      <c r="J10" s="493"/>
      <c r="K10" s="897" t="s">
        <v>4132</v>
      </c>
      <c r="AP10" s="494"/>
    </row>
    <row r="11" spans="1:164" ht="12.75" customHeight="1" x14ac:dyDescent="0.3">
      <c r="A11" s="489"/>
      <c r="B11" s="489"/>
      <c r="C11" s="489"/>
      <c r="D11" s="489"/>
      <c r="F11" s="657" t="s">
        <v>4133</v>
      </c>
      <c r="G11" s="689">
        <f>Scale*(M.tot/Emis.tot)/(3600*24*365)</f>
        <v>3351.329430837749</v>
      </c>
      <c r="H11" s="689">
        <f>2*Scale*(M.tot/Emis.tot)/(3600*24*365)</f>
        <v>6702.658861675498</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nAg_10nm</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f>IF(ISBLANK(input!I78),"",input!I78)</f>
        <v>9.9999999999999995E-21</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f>IF(ISBLANK(input!I81),"",input!I81)</f>
        <v>9.9999999999999995E-21</v>
      </c>
      <c r="K82" s="262" t="s">
        <v>4295</v>
      </c>
      <c r="O82" s="262" t="s">
        <v>4295</v>
      </c>
    </row>
    <row r="83" spans="1:15" ht="12.75" customHeight="1" x14ac:dyDescent="0.3">
      <c r="A83" s="566"/>
      <c r="B83" s="566"/>
      <c r="C83" s="566" t="s">
        <v>428</v>
      </c>
      <c r="D83" s="566"/>
      <c r="E83" s="566"/>
      <c r="F83" s="566"/>
      <c r="G83" s="781" t="s">
        <v>429</v>
      </c>
      <c r="H83" s="567" t="s">
        <v>358</v>
      </c>
      <c r="I83" s="239">
        <f>IF(ISBLANK(input!I82),"",input!I82)</f>
        <v>9.9999999999999995E-21</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f>IF(ISBLANK(input!I85),"",input!I85)</f>
        <v>9.9999999999999995E-21</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f>IF(ISBLANK(input!I88),"",input!I88)</f>
        <v>9.9999999999999995E-21</v>
      </c>
      <c r="K89" s="262" t="s">
        <v>4295</v>
      </c>
      <c r="O89" s="262" t="s">
        <v>4295</v>
      </c>
    </row>
    <row r="90" spans="1:15" ht="12.75" customHeight="1" x14ac:dyDescent="0.3">
      <c r="A90" s="566"/>
      <c r="B90" s="566"/>
      <c r="C90" s="566" t="s">
        <v>442</v>
      </c>
      <c r="D90" s="566"/>
      <c r="E90" s="566"/>
      <c r="F90" s="566"/>
      <c r="G90" s="781" t="s">
        <v>443</v>
      </c>
      <c r="H90" s="567" t="s">
        <v>358</v>
      </c>
      <c r="I90" s="239">
        <f>IF(ISBLANK(input!I89),"",input!I89)</f>
        <v>9.9999999999999995E-21</v>
      </c>
      <c r="K90" s="262" t="s">
        <v>4295</v>
      </c>
      <c r="O90" s="262" t="s">
        <v>4295</v>
      </c>
    </row>
    <row r="91" spans="1:15" ht="12.75" customHeight="1" x14ac:dyDescent="0.3">
      <c r="A91" s="566"/>
      <c r="B91" s="566"/>
      <c r="C91" s="566" t="s">
        <v>444</v>
      </c>
      <c r="D91" s="566"/>
      <c r="E91" s="566"/>
      <c r="F91" s="566"/>
      <c r="G91" s="781" t="s">
        <v>445</v>
      </c>
      <c r="H91" s="567" t="s">
        <v>358</v>
      </c>
      <c r="I91" s="239">
        <f>IF(ISBLANK(input!I90),"",input!I90)</f>
        <v>9.9999999999999995E-21</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f>IF(ISBLANK(input!I93),"",input!I93)</f>
        <v>9.9999999999999995E-21</v>
      </c>
      <c r="K94" s="262" t="s">
        <v>4295</v>
      </c>
      <c r="O94" s="262" t="s">
        <v>4295</v>
      </c>
    </row>
    <row r="95" spans="1:15" ht="12.75" customHeight="1" x14ac:dyDescent="0.3">
      <c r="A95" s="566"/>
      <c r="B95" s="566"/>
      <c r="C95" s="566" t="s">
        <v>452</v>
      </c>
      <c r="D95" s="566"/>
      <c r="E95" s="566"/>
      <c r="F95" s="566"/>
      <c r="G95" s="781" t="s">
        <v>453</v>
      </c>
      <c r="H95" s="567" t="s">
        <v>358</v>
      </c>
      <c r="I95" s="239">
        <f>IF(ISBLANK(input!I94),"",input!I94)</f>
        <v>9.9999999999999995E-21</v>
      </c>
      <c r="K95" s="262" t="s">
        <v>4295</v>
      </c>
      <c r="O95" s="262" t="s">
        <v>4295</v>
      </c>
    </row>
    <row r="96" spans="1:15" ht="12.75" customHeight="1" x14ac:dyDescent="0.3">
      <c r="A96" s="566"/>
      <c r="B96" s="566"/>
      <c r="C96" s="566" t="s">
        <v>454</v>
      </c>
      <c r="D96" s="566"/>
      <c r="E96" s="566"/>
      <c r="F96" s="566"/>
      <c r="G96" s="781" t="s">
        <v>455</v>
      </c>
      <c r="H96" s="567" t="s">
        <v>358</v>
      </c>
      <c r="I96" s="239">
        <f>IF(ISBLANK(input!I95),"",input!I95)</f>
        <v>9.9999999999999995E-21</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f>IF(ISBLANK(input!I98),"",input!I98)</f>
        <v>9.9999999999999995E-21</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1087.1760324530321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69235.204388377169</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475438.40079700813</v>
      </c>
      <c r="C6" s="321" t="s">
        <v>1089</v>
      </c>
    </row>
    <row r="7" spans="1:3" ht="14.5" x14ac:dyDescent="0.3">
      <c r="A7" s="317" t="s">
        <v>4407</v>
      </c>
      <c r="B7" s="318">
        <f>(kwsd.water.wM*kwsd.sed.sdM)/(kwsd.water.wM+kwsd.sed.sdM)*FRw.w3M*(SYSTEMAREA.M*AREAFRAC.wM)</f>
        <v>723143.48563013447</v>
      </c>
      <c r="C7" s="321" t="s">
        <v>1089</v>
      </c>
    </row>
    <row r="8" spans="1:3" ht="14.5" x14ac:dyDescent="0.3">
      <c r="A8" s="317" t="s">
        <v>4408</v>
      </c>
      <c r="B8" s="318">
        <f>(kwsd.water.wT*kwsd.sed.sdT)/(kwsd.water.wT+kwsd.sed.sdT)*FRw.w3T*(SYSTEMAREA.T*AREAFRAC.wT)</f>
        <v>1664034.4027895285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2.6424826653137157E-2</v>
      </c>
      <c r="C14" s="319" t="s">
        <v>1226</v>
      </c>
    </row>
    <row r="15" spans="1:3" ht="14.5" x14ac:dyDescent="0.3">
      <c r="A15" s="317" t="s">
        <v>2147</v>
      </c>
      <c r="B15" s="318">
        <f>(FRaerw.aC+FRaers.aC)*(tdry.C+twet.C)/twet.C*RAINrate.C*COLLECTeff.C</f>
        <v>7.3989514628752737E-2</v>
      </c>
      <c r="C15" s="319" t="s">
        <v>1226</v>
      </c>
    </row>
    <row r="16" spans="1:3" ht="14.5" x14ac:dyDescent="0.3">
      <c r="A16" s="317" t="s">
        <v>2717</v>
      </c>
      <c r="B16" s="318">
        <f>(FRaerw.aM+FRaers.aM)*(tdry.M+twet.M)/twet.M*RAINrate.M*COLLECTeff.M</f>
        <v>7.3989514628752737E-2</v>
      </c>
      <c r="C16" s="319" t="s">
        <v>1226</v>
      </c>
    </row>
    <row r="17" spans="1:3" ht="14.5" x14ac:dyDescent="0.3">
      <c r="A17" s="317" t="s">
        <v>1228</v>
      </c>
      <c r="B17" s="318">
        <f>(FRaerw.aR+FRaers.aR)*(tdry.R+twet.R)/twet.R*COLLECTeff.R*RAINrate.R</f>
        <v>7.3989514628752723E-2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6.3400000000000054E-2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136287023657.60262</v>
      </c>
      <c r="C151" s="321" t="s">
        <v>1089</v>
      </c>
    </row>
    <row r="152" spans="1:3" ht="14.5" x14ac:dyDescent="0.3">
      <c r="A152" s="317" t="s">
        <v>4432</v>
      </c>
      <c r="B152" s="318">
        <f>(KDEPmean.A*HEIGHT.aA)*(SYSTEMAREA.A*AREAFRAC.wA)</f>
        <v>204430535486.40393</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306734653218.52057</v>
      </c>
      <c r="C159" s="321" t="s">
        <v>1089</v>
      </c>
    </row>
    <row r="160" spans="1:3" ht="14.5" x14ac:dyDescent="0.3">
      <c r="A160" s="317" t="s">
        <v>4440</v>
      </c>
      <c r="B160" s="318">
        <f>(KDEPmean.M*HEIGHT.aM)*(SYSTEMAREA.M*AREAFRAC.wM)</f>
        <v>306734653218.52057</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309305706614.83704</v>
      </c>
      <c r="C167" s="321" t="s">
        <v>1089</v>
      </c>
    </row>
    <row r="168" spans="1:3" ht="14.5" x14ac:dyDescent="0.3">
      <c r="A168" s="317" t="s">
        <v>4448</v>
      </c>
      <c r="B168" s="318">
        <f>(KDEPmean.T*HEIGHT.aT)*(SYSTEMAREA.T*AREAFRAC.wT)</f>
        <v>721713315434.61963</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0.11101272619978034</v>
      </c>
      <c r="C216" s="317" t="s">
        <v>1089</v>
      </c>
    </row>
    <row r="217" spans="1:3" ht="14.5" x14ac:dyDescent="0.3">
      <c r="A217" s="317" t="s">
        <v>4465</v>
      </c>
      <c r="B217" s="318">
        <f>((kwsd.water.wR*kwsd.sed.sdR)/(kwsd.water.wR+kwsd.sed.sdR))/Ksdw1.R*(SYSTEMAREA.R*AREAFRAC.w1R)</f>
        <v>7.279215003409163E-3</v>
      </c>
      <c r="C217" s="317" t="s">
        <v>1089</v>
      </c>
    </row>
    <row r="218" spans="1:3" ht="14.5" x14ac:dyDescent="0.3">
      <c r="A218" s="317" t="s">
        <v>4466</v>
      </c>
      <c r="B218" s="318">
        <f>((kwsd.water.wC*kwsd.sed.sdC)/(kwsd.water.wC+kwsd.sed.sdC))/Ksdw2.C*(SYSTEMAREA.C*AREAFRAC.w2C)</f>
        <v>4.3003670704911752</v>
      </c>
      <c r="C218" s="317" t="s">
        <v>1089</v>
      </c>
    </row>
    <row r="219" spans="1:3" ht="14.5" x14ac:dyDescent="0.3">
      <c r="A219" s="317" t="s">
        <v>4467</v>
      </c>
      <c r="B219" s="318">
        <f>((kwsd.water.wR*kwsd.sed.sdR)/(kwsd.water.wR+kwsd.sed.sdR))/Ksdw2.R*(SYSTEMAREA.R*AREAFRAC.w2R)</f>
        <v>1.1580641702616139E-3</v>
      </c>
      <c r="C219" s="317" t="s">
        <v>1089</v>
      </c>
    </row>
    <row r="220" spans="1:3" ht="14.5" x14ac:dyDescent="0.3">
      <c r="A220" s="317" t="s">
        <v>4468</v>
      </c>
      <c r="B220" s="318">
        <f>((kwsd.water.wA*kwsd.sed.sdA)/(kwsd.water.wA+kwsd.sed.sdA))/Ksdw.A*(SYSTEMAREA.A*AREAFRAC.wA)</f>
        <v>29.530636341671119</v>
      </c>
      <c r="C220" s="321" t="s">
        <v>1089</v>
      </c>
    </row>
    <row r="221" spans="1:3" ht="14.5" x14ac:dyDescent="0.3">
      <c r="A221" s="317" t="s">
        <v>4469</v>
      </c>
      <c r="B221" s="318">
        <f>((kwsd.water.wM*kwsd.sed.sdM)/(kwsd.water.wM+kwsd.sed.sdM))/Ksdw.M*(SYSTEMAREA.M*AREAFRAC.wM)</f>
        <v>44.916202101457095</v>
      </c>
      <c r="C221" s="321" t="s">
        <v>1089</v>
      </c>
    </row>
    <row r="222" spans="1:3" ht="14.5" x14ac:dyDescent="0.3">
      <c r="A222" s="317" t="s">
        <v>4470</v>
      </c>
      <c r="B222" s="318">
        <f>((kwsd.water.wT*kwsd.sed.sdT)/(kwsd.water.wT+kwsd.sed.sdT))/Ksdw.T*(SYSTEMAREA.T*AREAFRAC.wT)</f>
        <v>103.35722719584892</v>
      </c>
      <c r="C222" s="321" t="s">
        <v>1089</v>
      </c>
    </row>
    <row r="223" spans="1:3" ht="14.5" x14ac:dyDescent="0.3">
      <c r="A223" s="317" t="s">
        <v>806</v>
      </c>
      <c r="B223" s="321">
        <f>0.0000257*SQRT(18)/SQRT(Molweight*1000)</f>
        <v>1.0498301389576135E-5</v>
      </c>
      <c r="C223" s="319" t="s">
        <v>807</v>
      </c>
    </row>
    <row r="224" spans="1:3" ht="14.5" x14ac:dyDescent="0.3">
      <c r="A224" s="317" t="s">
        <v>810</v>
      </c>
      <c r="B224" s="321">
        <f>0.000000002*SQRT(32)/SQRT(Molweight*1000)</f>
        <v>1.0893179133152929E-9</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1E-3</v>
      </c>
      <c r="C231" s="320" t="s">
        <v>1226</v>
      </c>
    </row>
    <row r="232" spans="1:3" ht="14.5" x14ac:dyDescent="0.3">
      <c r="A232" s="319" t="s">
        <v>2146</v>
      </c>
      <c r="B232" s="318">
        <f>AEROSOLdeprate.C*(FRaerw.aC+FRaers.aC)</f>
        <v>9.9999999999957675E-4</v>
      </c>
      <c r="C232" s="319" t="s">
        <v>1226</v>
      </c>
    </row>
    <row r="233" spans="1:3" ht="14.5" x14ac:dyDescent="0.3">
      <c r="A233" s="319" t="s">
        <v>2716</v>
      </c>
      <c r="B233" s="318">
        <f>AEROSOLdeprate.M*(FRaerw.aM+FRaers.aM)</f>
        <v>9.9999999999957675E-4</v>
      </c>
      <c r="C233" s="320" t="s">
        <v>1226</v>
      </c>
    </row>
    <row r="234" spans="1:3" ht="14.5" x14ac:dyDescent="0.3">
      <c r="A234" s="319" t="s">
        <v>1225</v>
      </c>
      <c r="B234" s="318">
        <f>AEROSOLdeprate.R*(FRaerw.aR+FRaers.aR)</f>
        <v>9.9999999999957675E-4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0.99999298250538582</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0.99999298250538582</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0.99999298250538582</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0.99999298250538582</v>
      </c>
      <c r="C393" s="317" t="s">
        <v>314</v>
      </c>
    </row>
    <row r="394" spans="1:3" x14ac:dyDescent="0.3">
      <c r="A394" s="319" t="s">
        <v>2693</v>
      </c>
      <c r="B394" s="318">
        <f>FRACs.sM / (FRACa.sM*Kaw.M*FRorig.s1w/(Kp.sM*RHOsolid/1000)+FRACw.sM/(Kp.sM*RHOsolid/1000)+FRACs.sM )</f>
        <v>0.99999298250538582</v>
      </c>
      <c r="C394" s="317" t="s">
        <v>314</v>
      </c>
    </row>
    <row r="395" spans="1:3" x14ac:dyDescent="0.3">
      <c r="A395" s="319" t="s">
        <v>3392</v>
      </c>
      <c r="B395" s="318">
        <f>FRACs.sT/ (FRACa.sT*Kaw.T*FRorig.s1w/(Kp.sT*RHOsolid/1000)+FRACw.sT/(Kp.sT*RHOsolid/1000)+FRACs.sT )</f>
        <v>0.99999298250538582</v>
      </c>
      <c r="C395" s="317" t="s">
        <v>314</v>
      </c>
    </row>
    <row r="396" spans="1:3" x14ac:dyDescent="0.3">
      <c r="A396" s="319" t="s">
        <v>2094</v>
      </c>
      <c r="B396" s="318">
        <f>FRACw.s1C/(FRACa.s1C*(Kaw.C*FRorig.s1w)+FRACw.s1C+FRACs.s1C*Kp.s1C*RHOsolid/1000)</f>
        <v>7.0174946140728833E-6</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7.0174946140728833E-6</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7.0174946140728833E-6</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7.0174946140728833E-6</v>
      </c>
      <c r="C402" s="317" t="s">
        <v>314</v>
      </c>
    </row>
    <row r="403" spans="1:3" x14ac:dyDescent="0.3">
      <c r="A403" s="319" t="s">
        <v>2691</v>
      </c>
      <c r="B403" s="318">
        <f>FRACw.sM/(FRACa.sM*(Kaw.M*FRorig.s1w)+FRACw.sM+FRACs.sM*Kp.sM*RHOsolid/1000)</f>
        <v>7.0174946140728833E-6</v>
      </c>
      <c r="C403" s="317" t="s">
        <v>314</v>
      </c>
    </row>
    <row r="404" spans="1:3" x14ac:dyDescent="0.3">
      <c r="A404" s="319" t="s">
        <v>3391</v>
      </c>
      <c r="B404" s="318">
        <f>FRACw.sT/(FRACa.sT*(Kaw.T*FRorig.s1w)+FRACw.sT+FRACs.sT*Kp.sT*RHOsolid/1000)</f>
        <v>7.0174946140728833E-6</v>
      </c>
      <c r="C404" s="317" t="s">
        <v>314</v>
      </c>
    </row>
    <row r="405" spans="1:3" x14ac:dyDescent="0.3">
      <c r="A405" s="319" t="s">
        <v>2069</v>
      </c>
      <c r="B405" s="323">
        <f>1/(1+Kp.susp0C*SUSP.w0C/1000+Kp.col0C*COL.w0C/1000)</f>
        <v>0.95445347993738772</v>
      </c>
      <c r="C405" s="317" t="s">
        <v>314</v>
      </c>
    </row>
    <row r="406" spans="1:3" x14ac:dyDescent="0.3">
      <c r="A406" s="319" t="s">
        <v>4512</v>
      </c>
      <c r="B406" s="323">
        <f>1/(1+Kp.susp0R*SUSP.w0R/1000+Kp.col0R*COL.w0R/1000)</f>
        <v>0.95445347993738772</v>
      </c>
      <c r="C406" s="317" t="s">
        <v>314</v>
      </c>
    </row>
    <row r="407" spans="1:3" x14ac:dyDescent="0.3">
      <c r="A407" s="319" t="s">
        <v>2074</v>
      </c>
      <c r="B407" s="323">
        <f>1/(1+Kp.susp1C*SUSP.w1C/1000+Kp.col1C*COL.w1C/1000)</f>
        <v>0.41233372642481919</v>
      </c>
      <c r="C407" s="317" t="s">
        <v>314</v>
      </c>
    </row>
    <row r="408" spans="1:3" x14ac:dyDescent="0.3">
      <c r="A408" s="319" t="s">
        <v>4513</v>
      </c>
      <c r="B408" s="323">
        <f>1/(1+Kp.susp1R*SUSP.w1R/1000+Kp.col1R*COL.w1R/1000)</f>
        <v>0.41233372642481919</v>
      </c>
      <c r="C408" s="317" t="s">
        <v>314</v>
      </c>
    </row>
    <row r="409" spans="1:3" x14ac:dyDescent="0.3">
      <c r="A409" s="317" t="s">
        <v>3060</v>
      </c>
      <c r="B409" s="318">
        <f>1/(1+Kp.susp2A*SUSP.w2A/1000+Kp.col2A*COL.w2A/1000)</f>
        <v>0.67786499640731546</v>
      </c>
      <c r="C409" s="317" t="s">
        <v>314</v>
      </c>
    </row>
    <row r="410" spans="1:3" x14ac:dyDescent="0.3">
      <c r="A410" s="319" t="s">
        <v>2079</v>
      </c>
      <c r="B410" s="323">
        <f>1/(1+Kp.susp2C*SUSP.w2C/1000+Kp.col2C*COL.w2C/1000)</f>
        <v>0.67786499640731546</v>
      </c>
      <c r="C410" s="317" t="s">
        <v>314</v>
      </c>
    </row>
    <row r="411" spans="1:3" x14ac:dyDescent="0.3">
      <c r="A411" s="317" t="s">
        <v>2659</v>
      </c>
      <c r="B411" s="318">
        <f>1/(1+Kp.susp2M*SUSP.w2M/1000+Kp.col2M*COL.w2M/1000)</f>
        <v>0.67786499640731546</v>
      </c>
      <c r="C411" s="317" t="s">
        <v>314</v>
      </c>
    </row>
    <row r="412" spans="1:3" x14ac:dyDescent="0.3">
      <c r="A412" s="319" t="s">
        <v>4514</v>
      </c>
      <c r="B412" s="318">
        <f>1/(1+Kp.susp2R*SUSP.w2R/1000+Kp.col2R*COL.w2R/1000)</f>
        <v>0.67786499640731546</v>
      </c>
      <c r="C412" s="317" t="s">
        <v>314</v>
      </c>
    </row>
    <row r="413" spans="1:3" x14ac:dyDescent="0.3">
      <c r="A413" s="317" t="s">
        <v>3375</v>
      </c>
      <c r="B413" s="323">
        <f>1/(1+Kp.susp2T*SUSP.w2T/1000+Kp.col2T*COL.w2T/1000)</f>
        <v>0.67786499640731546</v>
      </c>
      <c r="C413" s="317" t="s">
        <v>314</v>
      </c>
    </row>
    <row r="414" spans="1:3" x14ac:dyDescent="0.3">
      <c r="A414" s="317" t="s">
        <v>3061</v>
      </c>
      <c r="B414" s="318">
        <f>1/(1+Kp.susp3A*SUSP.w3A/1000+Kp.col3A*COL.w3A/1000)</f>
        <v>0.67786499640731546</v>
      </c>
      <c r="C414" s="317" t="s">
        <v>314</v>
      </c>
    </row>
    <row r="415" spans="1:3" x14ac:dyDescent="0.3">
      <c r="A415" s="317" t="s">
        <v>2661</v>
      </c>
      <c r="B415" s="318">
        <f>1/(1+Kp.susp3M*SUSP.w3M/1000+Kp.col3M*COL.w3M/1000)</f>
        <v>0.67786499640731546</v>
      </c>
      <c r="C415" s="317" t="s">
        <v>314</v>
      </c>
    </row>
    <row r="416" spans="1:3" x14ac:dyDescent="0.3">
      <c r="A416" s="317" t="s">
        <v>3376</v>
      </c>
      <c r="B416" s="323">
        <f>1/(1+Kp.susp3T*SUSP.w3T/1000+Kp.col3T*COL.w3T/1000)</f>
        <v>0.67786499640731546</v>
      </c>
      <c r="C416" s="317" t="s">
        <v>314</v>
      </c>
    </row>
    <row r="417" spans="1:3" ht="14.5" x14ac:dyDescent="0.3">
      <c r="A417" s="317" t="s">
        <v>4515</v>
      </c>
      <c r="B417" s="318">
        <f>FRgas.aA*(MTCas.air.aA*MTCas.soil.sA/(FRorig.s1*MTCas.air.aA*Kaw.A+MTCas.soil.sA))*SYSTEMAREA.A*AREAFRAC.sA</f>
        <v>3.91878335286377E-7</v>
      </c>
      <c r="C417" s="321" t="s">
        <v>1089</v>
      </c>
    </row>
    <row r="418" spans="1:3" ht="14.5" x14ac:dyDescent="0.3">
      <c r="A418" s="317" t="s">
        <v>4516</v>
      </c>
      <c r="B418" s="318">
        <f>FRgas.aA*(MTCaw.air.aA*MTCaw.water.wA/(FRorig.w1*MTCaw.air.aA*Kaw.A+MTCaw.water.wA))*SYSTEMAREA.A*AREAFRAC.wA</f>
        <v>2.7715229645670876E-6</v>
      </c>
      <c r="C418" s="321" t="s">
        <v>1089</v>
      </c>
    </row>
    <row r="419" spans="1:3" ht="14.5" x14ac:dyDescent="0.3">
      <c r="A419" s="317" t="s">
        <v>4517</v>
      </c>
      <c r="B419" s="318">
        <f>FRgas.aC*(MTCas.air.aC*MTCas.soil.sC)/(MTCas.air.aC*((Kaw.C*FRorig.s1w)/Ks1w.C)+MTCas.soil.sC)*(SYSTEMAREA.C*AREAFRAC.s1C)</f>
        <v>4.1739995554558726E-4</v>
      </c>
      <c r="C419" s="317" t="s">
        <v>1089</v>
      </c>
    </row>
    <row r="420" spans="1:3" ht="14.5" x14ac:dyDescent="0.3">
      <c r="A420" s="317" t="s">
        <v>4518</v>
      </c>
      <c r="B420" s="318">
        <f>FRgas.aC*(MTCas.air.aC*MTCas.soil.sC)/(MTCas.air.aC*((Kaw.C*FRorig.s2w)/Ks2w.C)+MTCas.soil.sC)*(SYSTEMAREA.C*AREAFRAC.s2C)</f>
        <v>9.2755545676797158E-4</v>
      </c>
      <c r="C420" s="317" t="s">
        <v>1089</v>
      </c>
    </row>
    <row r="421" spans="1:3" ht="14.5" x14ac:dyDescent="0.3">
      <c r="A421" s="317" t="s">
        <v>4519</v>
      </c>
      <c r="B421" s="318">
        <f>FRgas.aC*(MTCas.air.aC*MTCas.soil.sC)/(MTCas.air.aC*((Kaw.C*FRorig.s3w)/Ks3w.C)+MTCas.soil.sC)*(SYSTEMAREA.C*AREAFRAC.s3C)</f>
        <v>1.5459257612799525E-4</v>
      </c>
      <c r="C421" s="317" t="s">
        <v>1089</v>
      </c>
    </row>
    <row r="422" spans="1:3" ht="14.5" x14ac:dyDescent="0.3">
      <c r="A422" s="317" t="s">
        <v>4520</v>
      </c>
      <c r="B422" s="318">
        <f>FRgas.aC*(MTCaw.air.aC*MTCaw.water.wC/(FRorig.w1*MTCaw.air.aC*Kaw.C+MTCaw.water.wC))*SYSTEMAREA.C*AREAFRAC.w0C</f>
        <v>1.8222359536153602E-5</v>
      </c>
      <c r="C422" s="317" t="s">
        <v>1089</v>
      </c>
    </row>
    <row r="423" spans="1:3" ht="14.5" x14ac:dyDescent="0.3">
      <c r="A423" s="317" t="s">
        <v>4521</v>
      </c>
      <c r="B423" s="318">
        <f>FRgas.aC*(MTCaw.air.aC*MTCaw.water.wC/(FRorig.w1*MTCaw.air.aC*Kaw.C+MTCaw.water.wC))*SYSTEMAREA.C*AREAFRAC.w1C</f>
        <v>2.0044595489768962E-4</v>
      </c>
      <c r="C423" s="317" t="s">
        <v>1089</v>
      </c>
    </row>
    <row r="424" spans="1:3" ht="14.5" x14ac:dyDescent="0.3">
      <c r="A424" s="317" t="s">
        <v>4522</v>
      </c>
      <c r="B424" s="318">
        <f>FRgas.aC*(MTCaw.air.aC*MTCaw.water.wC/(FRorig.w2*MTCaw.air.aC*Kaw.C+MTCaw.water.wC))*SYSTEMAREA.C*AREAFRAC.w2C</f>
        <v>7.7647961036821141E-3</v>
      </c>
      <c r="C424" s="317" t="s">
        <v>1089</v>
      </c>
    </row>
    <row r="425" spans="1:3" ht="14.5" x14ac:dyDescent="0.3">
      <c r="A425" s="317" t="s">
        <v>4523</v>
      </c>
      <c r="B425" s="318">
        <f>FRgas.aM*(MTCas.air.aM*MTCas.soil.sM/(FRorig.s1*MTCas.air.aM*Kaw.M+MTCas.soil.sM))*SYSTEMAREA.M*AREAFRAC.sM</f>
        <v>1.7200414601785306E-2</v>
      </c>
      <c r="C425" s="321" t="s">
        <v>1089</v>
      </c>
    </row>
    <row r="426" spans="1:3" ht="14.5" x14ac:dyDescent="0.3">
      <c r="A426" s="317" t="s">
        <v>4524</v>
      </c>
      <c r="B426" s="318">
        <f>FRgas.aM*(MTCaw.air.aM*MTCaw.water.wM/(FRorig.w1*MTCaw.air.aM*Kaw.M+MTCaw.water.wM))*SYSTEMAREA.M*AREAFRAC.wM</f>
        <v>8.1101251440323568E-2</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6.6546737977852433E-2</v>
      </c>
      <c r="C433" s="321" t="s">
        <v>1089</v>
      </c>
    </row>
    <row r="434" spans="1:3" ht="14.5" x14ac:dyDescent="0.3">
      <c r="A434" s="317" t="s">
        <v>4532</v>
      </c>
      <c r="B434" s="318">
        <f>FRgas.aT*(MTCaw.air.aT*MTCaw.water.wT/(FRorig.w1*MTCaw.air.aT*Kaw.T+MTCaw.water.wT))*SYSTEMAREA.T*AREAFRAC.wT</f>
        <v>0.73978617020053028</v>
      </c>
      <c r="C434" s="321" t="s">
        <v>1089</v>
      </c>
    </row>
    <row r="435" spans="1:3" ht="14.5" x14ac:dyDescent="0.3">
      <c r="A435" s="317" t="s">
        <v>3095</v>
      </c>
      <c r="B435" s="318">
        <f>FRgas.aA*(tdry.A+twet.A)/twet.A*RAINrate.A/((Kaw.A*FRorig.cldw)+0.0000000555)</f>
        <v>5.2375767251035293E-17</v>
      </c>
      <c r="C435" s="319" t="s">
        <v>1226</v>
      </c>
    </row>
    <row r="436" spans="1:3" ht="14.5" x14ac:dyDescent="0.3">
      <c r="A436" s="317" t="s">
        <v>2149</v>
      </c>
      <c r="B436" s="318">
        <f>FRgas.aC*(tdry.C+twet.C)/twet.C*RAINrate.C/((Kaw.C*FRorig.cldw)+0.0000000555)</f>
        <v>2.8214170191580335E-12</v>
      </c>
      <c r="C436" s="319" t="s">
        <v>1226</v>
      </c>
    </row>
    <row r="437" spans="1:3" ht="14.5" x14ac:dyDescent="0.3">
      <c r="A437" s="317" t="s">
        <v>2718</v>
      </c>
      <c r="B437" s="318">
        <f>FRgas.aM*(tdry.M+twet.M)/twet.M*RAINrate.M/((Kaw.M*FRorig.cldw)+0.0000000555)</f>
        <v>2.8214170191580335E-12</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3.3342662796888909E-14</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2.912556392139667E-11</v>
      </c>
      <c r="C488" s="317" t="s">
        <v>642</v>
      </c>
    </row>
    <row r="489" spans="1:3" ht="14.5" x14ac:dyDescent="0.3">
      <c r="A489" s="317" t="s">
        <v>4560</v>
      </c>
      <c r="B489" s="318">
        <f>Tempfactor.wsdsR*kdeg.soil+FRACinf.s1R*RAINrate.R/Ks1w.R*CORRleach.s1R*SYSTEMAREA.R*AREAFRAC.s1R/VOLUME.s1R</f>
        <v>3.3342662796888916E-14</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2.912556392139667E-11</v>
      </c>
      <c r="C491" s="317" t="s">
        <v>642</v>
      </c>
    </row>
    <row r="492" spans="1:3" ht="14.5" x14ac:dyDescent="0.3">
      <c r="A492" s="317" t="s">
        <v>2222</v>
      </c>
      <c r="B492" s="318">
        <f>Tempfactor.wsdsC*kdeg.soil+FRACinf.s2C*RAINrate.C/Ks2w.C*CORRleach.s2C*SYSTEMAREA.C*AREAFRAC.s2C/VOLUME.s2C</f>
        <v>1.5172722089172429E-14</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1.3253711177838506E-11</v>
      </c>
      <c r="C494" s="317" t="s">
        <v>642</v>
      </c>
    </row>
    <row r="495" spans="1:3" ht="14.5" x14ac:dyDescent="0.3">
      <c r="A495" s="317" t="s">
        <v>4565</v>
      </c>
      <c r="B495" s="318">
        <f>Tempfactor.wsdsR*kdeg.soil+FRACinf.s2R*RAINrate.R/Ks2w.R*CORRleach.s2R*SYSTEMAREA.R*AREAFRAC.s2R/VOLUME.s2R</f>
        <v>1.5172722089172432E-14</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1.3253711177838505E-11</v>
      </c>
      <c r="C497" s="317" t="s">
        <v>642</v>
      </c>
    </row>
    <row r="498" spans="1:3" ht="14.5" x14ac:dyDescent="0.3">
      <c r="A498" s="317" t="s">
        <v>2223</v>
      </c>
      <c r="B498" s="318">
        <f>Tempfactor.wsdsC*kdeg.soil+FRACinf.s3C*RAINrate.C/Ks3w.C*CORRleach.s3C*SYSTEMAREA.C*AREAFRAC.s3C/VOLUME.s3C</f>
        <v>3.3342662796888916E-14</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2.912556392139667E-11</v>
      </c>
      <c r="C500" s="317" t="s">
        <v>642</v>
      </c>
    </row>
    <row r="501" spans="1:3" ht="14.5" x14ac:dyDescent="0.3">
      <c r="A501" s="317" t="s">
        <v>4570</v>
      </c>
      <c r="B501" s="318">
        <f>Tempfactor.wsdsR*kdeg.soil+FRACinf.s3R*RAINrate.R/Ks3w.R*CORRleach.s3R*SYSTEMAREA.R*AREAFRAC.s3R/VOLUME.s3R</f>
        <v>3.3342662796888922E-14</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2.912556392139667E-11</v>
      </c>
      <c r="C503" s="317" t="s">
        <v>642</v>
      </c>
    </row>
    <row r="504" spans="1:3" ht="14.5" x14ac:dyDescent="0.3">
      <c r="A504" s="317" t="s">
        <v>4573</v>
      </c>
      <c r="B504" s="318">
        <f>Tempfactor.wsdsA*kdeg.soil+FRACinf.sA*RAINrate.A/Kslw.A*CORRleach.sA*SYSTEMAREA.A*AREAFRAC.sA/VOLUME.sA</f>
        <v>1.1908093289464524E-14</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2.594439221836083E-11</v>
      </c>
      <c r="C506" s="317" t="s">
        <v>642</v>
      </c>
    </row>
    <row r="507" spans="1:3" ht="14.5" x14ac:dyDescent="0.3">
      <c r="A507" s="317" t="s">
        <v>2219</v>
      </c>
      <c r="B507" s="318">
        <f>Tempfactor.wsdsC*kdeg.sed+NETsedrate.w1C*SYSTEMAREA.C*AREAFRAC.w1C/VOLUME.sd1C</f>
        <v>2.8742283951576204E-9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2.8953682563883014E-9</v>
      </c>
      <c r="C509" s="317" t="s">
        <v>642</v>
      </c>
    </row>
    <row r="510" spans="1:3" ht="14.5" x14ac:dyDescent="0.3">
      <c r="A510" s="317" t="s">
        <v>4578</v>
      </c>
      <c r="B510" s="318">
        <f>(RESUSPflow.sd1R.w1R+DESORBflow.sd1R.w1R)/VOLUME.sd1R</f>
        <v>4.2244712054474879E-18</v>
      </c>
      <c r="C510" s="317" t="s">
        <v>642</v>
      </c>
    </row>
    <row r="511" spans="1:3" ht="14.5" x14ac:dyDescent="0.3">
      <c r="A511" s="317" t="s">
        <v>2220</v>
      </c>
      <c r="B511" s="318">
        <f>Tempfactor.wsdsC*kdeg.sed+NETsedrate.w2C*SYSTEMAREA.C*AREAFRAC.w2C/VOLUME.sd2C</f>
        <v>9.1333333333739474E-10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2.1133333333373949E-9</v>
      </c>
      <c r="C513" s="317" t="s">
        <v>642</v>
      </c>
    </row>
    <row r="514" spans="1:3" ht="14.5" x14ac:dyDescent="0.3">
      <c r="A514" s="317" t="s">
        <v>4581</v>
      </c>
      <c r="B514" s="318">
        <f>(RESUSPflow.sd2R.w2R+DESORBflow.sd2R.w2R)/VOLUME.sd2R</f>
        <v>7.7287418595675986E-18</v>
      </c>
      <c r="C514" s="317" t="s">
        <v>642</v>
      </c>
    </row>
    <row r="515" spans="1:3" ht="14.5" x14ac:dyDescent="0.3">
      <c r="A515" s="317" t="s">
        <v>4582</v>
      </c>
      <c r="B515" s="318">
        <f>Tempfactor.wsdsA*kdeg.sed+NETsedrate.wA*SYSTEMAREA.A*AREAFRAC.wA/VOLUME.sdA</f>
        <v>2.1139861331348332E-12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2.9839343187174201E-12</v>
      </c>
      <c r="C517" s="317" t="s">
        <v>642</v>
      </c>
    </row>
    <row r="518" spans="1:3" ht="14.5" x14ac:dyDescent="0.3">
      <c r="A518" s="317" t="s">
        <v>4585</v>
      </c>
      <c r="B518" s="318">
        <f>(RESUSPflow.sdM.w3M+DESORBflow.sdM.w3M)/VOLUME.sdM</f>
        <v>2.5367904055568791E-22</v>
      </c>
      <c r="C518" s="317" t="s">
        <v>642</v>
      </c>
    </row>
    <row r="519" spans="1:3" ht="14.5" x14ac:dyDescent="0.3">
      <c r="A519" s="317" t="s">
        <v>4586</v>
      </c>
      <c r="B519" s="318">
        <f>Tempfactor.wsdsT*kdeg.sed+NETsedrate.wT*SYSTEMAREA.T*AREAFRAC.wT/VOLUME.sdT</f>
        <v>2.1139861422509831E-12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3.3342662796888922E-14</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2.912556392139667E-11</v>
      </c>
      <c r="C523" s="317" t="s">
        <v>642</v>
      </c>
    </row>
    <row r="524" spans="1:3" ht="14.5" x14ac:dyDescent="0.3">
      <c r="A524" s="317" t="s">
        <v>4591</v>
      </c>
      <c r="B524" s="318">
        <f>Tempfactor.wsdsT*kdeg.soil+FRACinf.sT*RAINrate.T/Kslw.T*CORRleach.sT*SYSTEMAREA.T*AREAFRAC.sT/VOLUME.sT</f>
        <v>6.192209050902144E-14</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3.3367126192111106E-11</v>
      </c>
      <c r="C526" s="317" t="s">
        <v>642</v>
      </c>
    </row>
    <row r="527" spans="1:3" ht="14.5" x14ac:dyDescent="0.3">
      <c r="A527" s="317" t="s">
        <v>2215</v>
      </c>
      <c r="B527" s="318">
        <f>kdeg.water*Tempfactor.wsdsC*(BACT.w0C/BACT.test)*FRw.w0C</f>
        <v>3.8762856314484566E-21</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1.674595286935279E-21</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9.1715700921854674E-16</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5.9915366961075931E-22</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2.7529873386892645E-21</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2.7529873386892645E-21</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9.4927701254775671E-16</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6.7786499640731536E-21</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5.9915366961075931E-22</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2.7529873386892645E-21</v>
      </c>
      <c r="C573" s="317" t="s">
        <v>642</v>
      </c>
    </row>
    <row r="574" spans="1:3" ht="14.5" x14ac:dyDescent="0.3">
      <c r="A574" s="317" t="s">
        <v>4616</v>
      </c>
      <c r="B574" s="318">
        <f>(SEDflow.w3M.sdM+ADSORBflow.w3M.sdM)/VOLUME.w3M</f>
        <v>8.1583307318324307E-23</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6.7786499640731536E-21</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1.6554438992186728E-37</v>
      </c>
      <c r="C604" s="317" t="s">
        <v>642</v>
      </c>
    </row>
    <row r="605" spans="1:3" ht="14.5" x14ac:dyDescent="0.3">
      <c r="A605" s="317" t="s">
        <v>2225</v>
      </c>
      <c r="B605" s="318">
        <f>FRgas.aC*kdegG.air*(C.OHrad.aC/C.OHrad)*Tempfactor.aC</f>
        <v>3.8083662994282794E-33</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3.8083662994282794E-33</v>
      </c>
      <c r="C607" s="317" t="s">
        <v>642</v>
      </c>
    </row>
    <row r="608" spans="1:3" ht="14.5" x14ac:dyDescent="0.3">
      <c r="A608" s="317" t="s">
        <v>1375</v>
      </c>
      <c r="B608" s="318">
        <f>FRgas.aR*kdegG.air*(C.OHrad.aR/C.OHrad)*Tempfactor.aR</f>
        <v>3.8083662994282794E-33</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4.0612619817811774E-21</v>
      </c>
      <c r="C610" s="317" t="s">
        <v>642</v>
      </c>
    </row>
    <row r="611" spans="1:3" ht="14.5" x14ac:dyDescent="0.3">
      <c r="A611" s="317" t="s">
        <v>1404</v>
      </c>
      <c r="B611" s="318">
        <f>Tempfactor.wsdsR*kdeg.soil</f>
        <v>4.0612619817811774E-21</v>
      </c>
      <c r="C611" s="317" t="s">
        <v>642</v>
      </c>
    </row>
    <row r="612" spans="1:3" ht="14.5" x14ac:dyDescent="0.3">
      <c r="A612" s="317" t="s">
        <v>2242</v>
      </c>
      <c r="B612" s="323">
        <f>Tempfactor.wsdsC*kdeg.soil</f>
        <v>4.0612619817811774E-21</v>
      </c>
      <c r="C612" s="317" t="s">
        <v>642</v>
      </c>
    </row>
    <row r="613" spans="1:3" ht="14.5" x14ac:dyDescent="0.3">
      <c r="A613" s="317" t="s">
        <v>1406</v>
      </c>
      <c r="B613" s="318">
        <f>Tempfactor.wsdsR*kdeg.soil</f>
        <v>4.0612619817811774E-21</v>
      </c>
      <c r="C613" s="317" t="s">
        <v>642</v>
      </c>
    </row>
    <row r="614" spans="1:3" ht="14.5" x14ac:dyDescent="0.3">
      <c r="A614" s="317" t="s">
        <v>2243</v>
      </c>
      <c r="B614" s="323">
        <f>Tempfactor.wsdsC*kdeg.soil</f>
        <v>4.0612619817811774E-21</v>
      </c>
      <c r="C614" s="317" t="s">
        <v>642</v>
      </c>
    </row>
    <row r="615" spans="1:3" ht="14.5" x14ac:dyDescent="0.3">
      <c r="A615" s="317" t="s">
        <v>1408</v>
      </c>
      <c r="B615" s="318">
        <f>Tempfactor.wsdsR*kdeg.soil</f>
        <v>4.0612619817811774E-21</v>
      </c>
      <c r="C615" s="317" t="s">
        <v>642</v>
      </c>
    </row>
    <row r="616" spans="1:3" ht="14.5" x14ac:dyDescent="0.3">
      <c r="A616" s="317" t="s">
        <v>3144</v>
      </c>
      <c r="B616" s="323">
        <f>Tempfactor.wsdsA*kdeg.soil</f>
        <v>8.8388347648318438E-22</v>
      </c>
      <c r="C616" s="317" t="s">
        <v>642</v>
      </c>
    </row>
    <row r="617" spans="1:3" ht="14.5" x14ac:dyDescent="0.3">
      <c r="A617" s="317" t="s">
        <v>2239</v>
      </c>
      <c r="B617" s="323">
        <f>Tempfactor.wsdsC*kdeg.sed</f>
        <v>4.0612619817811774E-21</v>
      </c>
      <c r="C617" s="317" t="s">
        <v>642</v>
      </c>
    </row>
    <row r="618" spans="1:3" ht="14.5" x14ac:dyDescent="0.3">
      <c r="A618" s="317" t="s">
        <v>1400</v>
      </c>
      <c r="B618" s="318">
        <f>Tempfactor.wsdsR*kdeg.sed</f>
        <v>4.0612619817811774E-21</v>
      </c>
      <c r="C618" s="317" t="s">
        <v>642</v>
      </c>
    </row>
    <row r="619" spans="1:3" ht="14.5" x14ac:dyDescent="0.3">
      <c r="A619" s="317" t="s">
        <v>2240</v>
      </c>
      <c r="B619" s="323">
        <f>Tempfactor.wsdsC*kdeg.sed</f>
        <v>4.0612619817811774E-21</v>
      </c>
      <c r="C619" s="317" t="s">
        <v>642</v>
      </c>
    </row>
    <row r="620" spans="1:3" ht="14.5" x14ac:dyDescent="0.3">
      <c r="A620" s="317" t="s">
        <v>1402</v>
      </c>
      <c r="B620" s="318">
        <f>Tempfactor.wsdsR*kdeg.sed</f>
        <v>4.0612619817811774E-21</v>
      </c>
      <c r="C620" s="317" t="s">
        <v>642</v>
      </c>
    </row>
    <row r="621" spans="1:3" ht="14.5" x14ac:dyDescent="0.3">
      <c r="A621" s="317" t="s">
        <v>3143</v>
      </c>
      <c r="B621" s="323">
        <f>Tempfactor.wsdsA*kdeg.sed</f>
        <v>8.8388347648318438E-22</v>
      </c>
      <c r="C621" s="317" t="s">
        <v>642</v>
      </c>
    </row>
    <row r="622" spans="1:3" ht="14.5" x14ac:dyDescent="0.3">
      <c r="A622" s="317" t="s">
        <v>2789</v>
      </c>
      <c r="B622" s="318">
        <f>Tempfactor.wsdsM*kdeg.sed</f>
        <v>4.0612619817811774E-21</v>
      </c>
      <c r="C622" s="317" t="s">
        <v>642</v>
      </c>
    </row>
    <row r="623" spans="1:3" ht="14.5" x14ac:dyDescent="0.3">
      <c r="A623" s="317" t="s">
        <v>3452</v>
      </c>
      <c r="B623" s="318">
        <f>Tempfactor.wsdsT*kdeg.sed</f>
        <v>9.9999999999999995E-21</v>
      </c>
      <c r="C623" s="317" t="s">
        <v>642</v>
      </c>
    </row>
    <row r="624" spans="1:3" ht="91" x14ac:dyDescent="0.3">
      <c r="A624" s="319" t="s">
        <v>4626</v>
      </c>
      <c r="B624" s="326" t="s">
        <v>4627</v>
      </c>
      <c r="C624" s="317" t="s">
        <v>642</v>
      </c>
    </row>
    <row r="625" spans="1:3" ht="14.5" x14ac:dyDescent="0.3">
      <c r="A625" s="317" t="s">
        <v>2791</v>
      </c>
      <c r="B625" s="318">
        <f>Tempfactor.wsdsM*kdeg.soil</f>
        <v>4.0612619817811774E-21</v>
      </c>
      <c r="C625" s="317" t="s">
        <v>642</v>
      </c>
    </row>
    <row r="626" spans="1:3" ht="91" x14ac:dyDescent="0.3">
      <c r="A626" s="319" t="s">
        <v>4628</v>
      </c>
      <c r="B626" s="326" t="s">
        <v>4629</v>
      </c>
      <c r="C626" s="317" t="s">
        <v>642</v>
      </c>
    </row>
    <row r="627" spans="1:3" ht="14.5" x14ac:dyDescent="0.3">
      <c r="A627" s="317" t="s">
        <v>3453</v>
      </c>
      <c r="B627" s="318">
        <f>Tempfactor.wsdsT*kdeg.soil</f>
        <v>9.9999999999999995E-21</v>
      </c>
      <c r="C627" s="317" t="s">
        <v>642</v>
      </c>
    </row>
    <row r="628" spans="1:3" ht="14.5" x14ac:dyDescent="0.3">
      <c r="A628" s="317" t="s">
        <v>2230</v>
      </c>
      <c r="B628" s="318">
        <f>kdeg.water*Tempfactor.wsdsC*(BACT.w0C/BACT.test)*FRw.w0C</f>
        <v>3.8762856314484566E-21</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1.674595286935279E-21</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5.9915366961075931E-22</v>
      </c>
      <c r="C632" s="317" t="s">
        <v>642</v>
      </c>
    </row>
    <row r="633" spans="1:3" ht="14.5" x14ac:dyDescent="0.3">
      <c r="A633" s="317" t="s">
        <v>2232</v>
      </c>
      <c r="B633" s="318">
        <f>kdeg.water*Tempfactor.wsdsC*(BACT.w2C/BACT.test)*FRw.w2C</f>
        <v>2.7529873386892645E-21</v>
      </c>
      <c r="C633" s="317" t="s">
        <v>642</v>
      </c>
    </row>
    <row r="634" spans="1:3" ht="14.5" x14ac:dyDescent="0.3">
      <c r="A634" s="317" t="s">
        <v>2780</v>
      </c>
      <c r="B634" s="318">
        <f>kdeg.water*Tempfactor.wsdsM*(BACT.w2M/BACT.test)*FRw.w2M</f>
        <v>2.7529873386892645E-21</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6.7786499640731536E-21</v>
      </c>
      <c r="C636" s="317" t="s">
        <v>642</v>
      </c>
    </row>
    <row r="637" spans="1:3" ht="14.5" x14ac:dyDescent="0.3">
      <c r="A637" s="317" t="s">
        <v>3138</v>
      </c>
      <c r="B637" s="323">
        <f>kdeg.water*Tempfactor.wsdsA*(BACT.w3A/BACT.test)*FRw.w3A</f>
        <v>5.9915366961075931E-22</v>
      </c>
      <c r="C637" s="317" t="s">
        <v>642</v>
      </c>
    </row>
    <row r="638" spans="1:3" ht="14.5" x14ac:dyDescent="0.3">
      <c r="A638" s="317" t="s">
        <v>2782</v>
      </c>
      <c r="B638" s="318">
        <f>kdeg.water*Tempfactor.wsdsM*(BACT.w3M/BACT.test)*FRw.w3M</f>
        <v>2.7529873386892645E-21</v>
      </c>
      <c r="C638" s="317" t="s">
        <v>642</v>
      </c>
    </row>
    <row r="639" spans="1:3" ht="14.5" x14ac:dyDescent="0.3">
      <c r="A639" s="317" t="s">
        <v>3448</v>
      </c>
      <c r="B639" s="318">
        <f>kdeg.water*Tempfactor.wsdsT*(BACT.w3T/BACT.test)*FRw.w3T</f>
        <v>6.7786499640731536E-21</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19000</v>
      </c>
      <c r="C675" s="317" t="s">
        <v>1127</v>
      </c>
    </row>
    <row r="676" spans="1:3" ht="14.5" x14ac:dyDescent="0.3">
      <c r="A676" s="319" t="s">
        <v>1163</v>
      </c>
      <c r="B676" s="318">
        <f>(FRorig.s1*Ksw+(1-FRorig.s1)*Ksw.alt)*(1000/RHOsolid/CORG)*CORG.s1R</f>
        <v>19000</v>
      </c>
      <c r="C676" s="317" t="s">
        <v>1121</v>
      </c>
    </row>
    <row r="677" spans="1:3" x14ac:dyDescent="0.3">
      <c r="A677" s="319" t="s">
        <v>2104</v>
      </c>
      <c r="B677" s="318">
        <f>(FRorig.s2*Ksw+(1-FRorig.s2)*Ksw.alt)*(1000/RHOsolid/CORG)*CORG.s2C</f>
        <v>19000</v>
      </c>
      <c r="C677" s="317" t="s">
        <v>1127</v>
      </c>
    </row>
    <row r="678" spans="1:3" ht="14.5" x14ac:dyDescent="0.3">
      <c r="A678" s="319" t="s">
        <v>1173</v>
      </c>
      <c r="B678" s="318">
        <f>(FRorig.s2*Ksw+(1-FRorig.s2)*Ksw.alt)*(1000/RHOsolid/CORG)*CORG.s2R</f>
        <v>19000</v>
      </c>
      <c r="C678" s="317" t="s">
        <v>1121</v>
      </c>
    </row>
    <row r="679" spans="1:3" x14ac:dyDescent="0.3">
      <c r="A679" s="319" t="s">
        <v>2111</v>
      </c>
      <c r="B679" s="318">
        <f>(FRorig.s2*Ksw+(1-FRorig.s2)*Ksw.alt)*(1000/RHOsolid/CORG)*CORG.s3C</f>
        <v>19000</v>
      </c>
      <c r="C679" s="317" t="s">
        <v>1127</v>
      </c>
    </row>
    <row r="680" spans="1:3" ht="14.5" x14ac:dyDescent="0.3">
      <c r="A680" s="319" t="s">
        <v>1183</v>
      </c>
      <c r="B680" s="318">
        <f>(FRorig.s3*Ksw+(1-FRorig.s3)*Ksw.alt)*(1000/RHOsolid/CORG)*CORG.s3R</f>
        <v>19000</v>
      </c>
      <c r="C680" s="317" t="s">
        <v>1121</v>
      </c>
    </row>
    <row r="681" spans="1:3" ht="14.5" x14ac:dyDescent="0.3">
      <c r="A681" s="319" t="s">
        <v>3078</v>
      </c>
      <c r="B681" s="318">
        <f>(FRorig.s1*Ksw+(1-FRorig.s1)*Ksw.alt)*(1000/RHOsolid/CORG)*CORG.sA</f>
        <v>19000</v>
      </c>
      <c r="C681" s="317" t="s">
        <v>1121</v>
      </c>
    </row>
    <row r="682" spans="1:3" x14ac:dyDescent="0.3">
      <c r="A682" s="319" t="s">
        <v>2087</v>
      </c>
      <c r="B682" s="318">
        <f>(FRorig.sd1*Ksw+(1-FRorig.sd1)*Ksw.alt)*(1000/RHOsolid/CORG)*CORG.sd1C</f>
        <v>47500</v>
      </c>
      <c r="C682" s="317" t="s">
        <v>1127</v>
      </c>
    </row>
    <row r="683" spans="1:3" ht="14.5" x14ac:dyDescent="0.3">
      <c r="A683" s="319" t="s">
        <v>1147</v>
      </c>
      <c r="B683" s="318">
        <f>(FRorig.sd1*Ksw+(1-FRorig.sd1)*Ksw.alt)*(1000/RHOsolid/CORG)*CORG.sd1R</f>
        <v>47500</v>
      </c>
      <c r="C683" s="317" t="s">
        <v>1121</v>
      </c>
    </row>
    <row r="684" spans="1:3" x14ac:dyDescent="0.3">
      <c r="A684" s="319" t="s">
        <v>2090</v>
      </c>
      <c r="B684" s="318">
        <f>(FRorig.sd2*Ksw+(1-FRorig.sd2)*Ksw.alt)*(1000/RHOsolid/CORG)*CORG.sd2C</f>
        <v>47500</v>
      </c>
      <c r="C684" s="317" t="s">
        <v>1127</v>
      </c>
    </row>
    <row r="685" spans="1:3" ht="14.5" x14ac:dyDescent="0.3">
      <c r="A685" s="319" t="s">
        <v>1153</v>
      </c>
      <c r="B685" s="318">
        <f>(FRorig.sd2*Ksw+(1-FRorig.sd2)*Ksw.alt)*(1000/RHOsolid/CORG)*CORG.sd2R</f>
        <v>47500</v>
      </c>
      <c r="C685" s="317" t="s">
        <v>1121</v>
      </c>
    </row>
    <row r="686" spans="1:3" ht="14.5" x14ac:dyDescent="0.3">
      <c r="A686" s="319" t="s">
        <v>3073</v>
      </c>
      <c r="B686" s="318">
        <f>(FRorig.sd2*Ksw+(1-FRorig.sd2)*Ksw.alt)*(1000/RHOsolid/CORG)*CORG.sdA</f>
        <v>47500</v>
      </c>
      <c r="C686" s="317" t="s">
        <v>1121</v>
      </c>
    </row>
    <row r="687" spans="1:3" ht="14.5" x14ac:dyDescent="0.3">
      <c r="A687" s="319" t="s">
        <v>2685</v>
      </c>
      <c r="B687" s="318">
        <f>(FRorig.sd2*Ksw+(1-FRorig.sd2)*Ksw.alt)*(1000/RHOsolid/CORG)*CORG.sdM</f>
        <v>47500</v>
      </c>
      <c r="C687" s="317" t="s">
        <v>1121</v>
      </c>
    </row>
    <row r="688" spans="1:3" ht="14.5" x14ac:dyDescent="0.3">
      <c r="A688" s="319" t="s">
        <v>3388</v>
      </c>
      <c r="B688" s="318">
        <f>(FRorig.sd2*Ksw+(1-FRorig.sd2)*Ksw.alt)*(1000/RHOsolid/CORG)*CORG.sdT</f>
        <v>47500</v>
      </c>
      <c r="C688" s="317" t="s">
        <v>1121</v>
      </c>
    </row>
    <row r="689" spans="1:3" ht="14.5" x14ac:dyDescent="0.3">
      <c r="A689" s="319" t="s">
        <v>2695</v>
      </c>
      <c r="B689" s="318">
        <f>(FRorig.s1*Ksw+(1-FRorig.s1)*Ksw.alt)*(1000/RHOsolid/CORG)*CORG.sM</f>
        <v>19000</v>
      </c>
      <c r="C689" s="317" t="s">
        <v>1121</v>
      </c>
    </row>
    <row r="690" spans="1:3" ht="14.5" x14ac:dyDescent="0.3">
      <c r="A690" s="319" t="s">
        <v>3393</v>
      </c>
      <c r="B690" s="318">
        <f>(FRorig.s1*Ksw+(1-FRorig.s1)*Ksw.alt)*(1000/RHOsolid/CORG)*CORG.sT</f>
        <v>19000</v>
      </c>
      <c r="C690" s="317" t="s">
        <v>1121</v>
      </c>
    </row>
    <row r="691" spans="1:3" ht="14.5" x14ac:dyDescent="0.3">
      <c r="A691" s="319" t="s">
        <v>2070</v>
      </c>
      <c r="B691" s="318">
        <f>(FRorig.w1*Ksw+(1-FRorig.w1)*Ksw.alt)*(1000/RHOsolid/CORG)*CORG.susp0C</f>
        <v>95000</v>
      </c>
      <c r="C691" s="317" t="s">
        <v>1121</v>
      </c>
    </row>
    <row r="692" spans="1:3" ht="14.5" x14ac:dyDescent="0.3">
      <c r="A692" s="319" t="s">
        <v>1120</v>
      </c>
      <c r="B692" s="318">
        <f>(FRorig.w1*Ksw+(1-FRorig.w1)*Ksw.alt)*(1000/RHOsolid/CORG)*CORG.susp0R</f>
        <v>95000</v>
      </c>
      <c r="C692" s="317" t="s">
        <v>1121</v>
      </c>
    </row>
    <row r="693" spans="1:3" x14ac:dyDescent="0.3">
      <c r="A693" s="319" t="s">
        <v>2075</v>
      </c>
      <c r="B693" s="318">
        <f>(FRorig.w1*Ksw+(1-FRorig.w1)*Ksw.alt)*(1000/RHOsolid/CORG)*CORG.susp1C</f>
        <v>95000</v>
      </c>
      <c r="C693" s="317" t="s">
        <v>1127</v>
      </c>
    </row>
    <row r="694" spans="1:3" ht="14.5" x14ac:dyDescent="0.3">
      <c r="A694" s="319" t="s">
        <v>1130</v>
      </c>
      <c r="B694" s="318">
        <f>(FRorig.w1*Ksw+(1-FRorig.w1)*Ksw.alt)*(1000/RHOsolid/CORG)*CORG.susp1R</f>
        <v>95000</v>
      </c>
      <c r="C694" s="317" t="s">
        <v>1121</v>
      </c>
    </row>
    <row r="695" spans="1:3" ht="14.5" x14ac:dyDescent="0.3">
      <c r="A695" s="319" t="s">
        <v>3062</v>
      </c>
      <c r="B695" s="318">
        <f>(FRorig.w2*Ksw+(1-FRorig.w2)*Ksw.alt)*(1000/RHOsolid/CORG)*CORG.susp2A</f>
        <v>95000</v>
      </c>
      <c r="C695" s="317" t="s">
        <v>1121</v>
      </c>
    </row>
    <row r="696" spans="1:3" x14ac:dyDescent="0.3">
      <c r="A696" s="319" t="s">
        <v>2080</v>
      </c>
      <c r="B696" s="318">
        <f>(FRorig.w2*Ksw+(1-FRorig.w2)*Ksw.alt)*(1000/RHOsolid/CORG)*CORG.susp2C</f>
        <v>95000</v>
      </c>
      <c r="C696" s="317" t="s">
        <v>1127</v>
      </c>
    </row>
    <row r="697" spans="1:3" ht="14.5" x14ac:dyDescent="0.3">
      <c r="A697" s="319" t="s">
        <v>2663</v>
      </c>
      <c r="B697" s="318">
        <f>(FRorig.w2*Ksw+(1-FRorig.w2)*Ksw.alt)*(1000/RHOsolid/CORG)*CORG.susp2M</f>
        <v>95000</v>
      </c>
      <c r="C697" s="317" t="s">
        <v>1121</v>
      </c>
    </row>
    <row r="698" spans="1:3" ht="14.5" x14ac:dyDescent="0.3">
      <c r="A698" s="319" t="s">
        <v>1135</v>
      </c>
      <c r="B698" s="318">
        <f>(FRorig.w2*Ksw+(1-FRorig.w2)*Ksw.alt)*(1000/RHOsolid/CORG)*CORG.susp2R</f>
        <v>95000</v>
      </c>
      <c r="C698" s="317" t="s">
        <v>1121</v>
      </c>
    </row>
    <row r="699" spans="1:3" ht="14.5" x14ac:dyDescent="0.3">
      <c r="A699" s="319" t="s">
        <v>3377</v>
      </c>
      <c r="B699" s="318">
        <f>(FRorig.w2*Ksw+(1-FRorig.w2)*Ksw.alt)*(1000/RHOsolid/CORG)*CORG.susp2T</f>
        <v>95000</v>
      </c>
      <c r="C699" s="317" t="s">
        <v>1121</v>
      </c>
    </row>
    <row r="700" spans="1:3" ht="14.5" x14ac:dyDescent="0.3">
      <c r="A700" s="319" t="s">
        <v>3063</v>
      </c>
      <c r="B700" s="318">
        <f>(FRorig.w2*Ksw+(1-FRorig.w2)*Ksw.alt)*(1000/RHOsolid/CORG)*CORG.susp3A</f>
        <v>95000</v>
      </c>
      <c r="C700" s="317" t="s">
        <v>1121</v>
      </c>
    </row>
    <row r="701" spans="1:3" ht="14.5" x14ac:dyDescent="0.3">
      <c r="A701" s="319" t="s">
        <v>2665</v>
      </c>
      <c r="B701" s="318">
        <f>(FRorig.w2*Ksw+(1-FRorig.w2)*Ksw.alt)*(1000/RHOsolid/CORG)*CORG.susp3M</f>
        <v>95000</v>
      </c>
      <c r="C701" s="317" t="s">
        <v>1122</v>
      </c>
    </row>
    <row r="702" spans="1:3" ht="14.5" x14ac:dyDescent="0.3">
      <c r="A702" s="319" t="s">
        <v>3378</v>
      </c>
      <c r="B702" s="318">
        <f>(FRorig.w2*Ksw+(1-FRorig.w2)*Ksw.alt)*(1000/RHOsolid/CORG)*CORG.susp3T</f>
        <v>95000</v>
      </c>
      <c r="C702" s="317" t="s">
        <v>1121</v>
      </c>
    </row>
    <row r="703" spans="1:3" x14ac:dyDescent="0.3">
      <c r="A703" s="319" t="s">
        <v>2092</v>
      </c>
      <c r="B703" s="318">
        <f>FRACa.s1C*(Kaw.C*FRorig.s1w)+FRACw.s1C+FRACs.s1C*Kp.s1C*RHOsolid/1000</f>
        <v>28500.200000000004</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28500.200000000004</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28500.200000000004</v>
      </c>
      <c r="C707" s="317" t="s">
        <v>314</v>
      </c>
    </row>
    <row r="708" spans="1:3" x14ac:dyDescent="0.3">
      <c r="A708" s="319" t="s">
        <v>1177</v>
      </c>
      <c r="B708" s="318">
        <v>28500.200000000004</v>
      </c>
      <c r="C708" s="317" t="s">
        <v>314</v>
      </c>
    </row>
    <row r="709" spans="1:3" x14ac:dyDescent="0.3">
      <c r="A709" s="319" t="s">
        <v>3072</v>
      </c>
      <c r="B709" s="318">
        <f>FRACw.sdA+FRACs.sdA*Kp.sdA*RHOsolid/1000</f>
        <v>23750.799999999996</v>
      </c>
      <c r="C709" s="317" t="s">
        <v>314</v>
      </c>
    </row>
    <row r="710" spans="1:3" x14ac:dyDescent="0.3">
      <c r="A710" s="319" t="s">
        <v>2683</v>
      </c>
      <c r="B710" s="318">
        <f>FRACw.sdM+FRACs.sdM*Kp.sdM*RHOsolid/1000</f>
        <v>23750.799999999996</v>
      </c>
      <c r="C710" s="317" t="s">
        <v>314</v>
      </c>
    </row>
    <row r="711" spans="1:3" x14ac:dyDescent="0.3">
      <c r="A711" s="319" t="s">
        <v>3387</v>
      </c>
      <c r="B711" s="318">
        <f>FRACw.sdT+FRACs.sdT*Kp.sdT*RHOsolid/1000</f>
        <v>23750.799999999996</v>
      </c>
      <c r="C711" s="317" t="s">
        <v>314</v>
      </c>
    </row>
    <row r="712" spans="1:3" x14ac:dyDescent="0.3">
      <c r="A712" s="319" t="s">
        <v>2086</v>
      </c>
      <c r="B712" s="318">
        <f>FRACw.sdC+FRACs.sdC*Kp.sd1C*RHOsolid/1000</f>
        <v>23750.799999999996</v>
      </c>
      <c r="C712" s="317" t="s">
        <v>314</v>
      </c>
    </row>
    <row r="713" spans="1:3" x14ac:dyDescent="0.3">
      <c r="A713" s="319" t="s">
        <v>1145</v>
      </c>
      <c r="B713" s="325">
        <f>FRACw.sdR+FRACs.sdR*Kp.sd1R*RHOsolid/1000</f>
        <v>23750.799999999996</v>
      </c>
      <c r="C713" s="317" t="s">
        <v>314</v>
      </c>
    </row>
    <row r="714" spans="1:3" x14ac:dyDescent="0.3">
      <c r="A714" s="319" t="s">
        <v>2089</v>
      </c>
      <c r="B714" s="318">
        <f>FRACw.sdC+FRACs.sdC*Kp.sd2C*RHOsolid/1000</f>
        <v>23750.799999999996</v>
      </c>
      <c r="C714" s="317" t="s">
        <v>314</v>
      </c>
    </row>
    <row r="715" spans="1:3" x14ac:dyDescent="0.3">
      <c r="A715" s="319" t="s">
        <v>1151</v>
      </c>
      <c r="B715" s="318">
        <f>FRACw.sdR+FRACs.sdR*Kp.sd2R*RHOsolid/1000</f>
        <v>23750.799999999996</v>
      </c>
      <c r="C715" s="317" t="s">
        <v>314</v>
      </c>
    </row>
    <row r="716" spans="1:3" x14ac:dyDescent="0.3">
      <c r="A716" s="319" t="s">
        <v>3075</v>
      </c>
      <c r="B716" s="318">
        <f>FRACa.sA*(Kaw.A*FRorig.s1w)+FRACw.sA+FRACs.sA*Kp.sA*RHOsolid/1000</f>
        <v>28500.200000000004</v>
      </c>
      <c r="C716" s="317" t="s">
        <v>314</v>
      </c>
    </row>
    <row r="717" spans="1:3" x14ac:dyDescent="0.3">
      <c r="A717" s="319" t="s">
        <v>2689</v>
      </c>
      <c r="B717" s="318">
        <f>FRACa.sM*(Kaw.M*FRorig.s1w)+FRACw.sM+FRACs.sM*Kp.sM*RHOsolid/1000</f>
        <v>28500.200000000004</v>
      </c>
      <c r="C717" s="317" t="s">
        <v>314</v>
      </c>
    </row>
    <row r="718" spans="1:3" x14ac:dyDescent="0.3">
      <c r="A718" s="319" t="s">
        <v>3390</v>
      </c>
      <c r="B718" s="318">
        <f>FRACa.sT*(Kaw.T*FRorig.s1w)+FRACw.sT+FRACs.sT*Kp.sT*RHOsolid/1000</f>
        <v>28500.200000000004</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1.5690668426144706E-3</v>
      </c>
      <c r="C736" s="317" t="s">
        <v>1089</v>
      </c>
    </row>
    <row r="737" spans="1:3" ht="14.5" x14ac:dyDescent="0.3">
      <c r="A737" s="317" t="s">
        <v>4647</v>
      </c>
      <c r="B737" s="318">
        <f>FRACinf.s1R*RAINrate.R/Ks1w.R*SYSTEMAREA.R*AREAFRAC.s1R*CORRleach.s1R</f>
        <v>1.0288527534723037E-4</v>
      </c>
      <c r="C737" s="317" t="s">
        <v>1089</v>
      </c>
    </row>
    <row r="738" spans="1:3" ht="14.5" x14ac:dyDescent="0.3">
      <c r="A738" s="317" t="s">
        <v>4648</v>
      </c>
      <c r="B738" s="318">
        <f>FRACinf.s2C*RAINrate.C/Ks2w.C*SYSTEMAREA.C*AREAFRAC.s2C*CORRleach.s2C</f>
        <v>6.3467600892493647E-3</v>
      </c>
      <c r="C738" s="317" t="s">
        <v>1089</v>
      </c>
    </row>
    <row r="739" spans="1:3" ht="14.5" x14ac:dyDescent="0.3">
      <c r="A739" s="317" t="s">
        <v>4649</v>
      </c>
      <c r="B739" s="318">
        <f>FRACinf.s2R*RAINrate.R/Ks2w.R*SYSTEMAREA.R*AREAFRAC.s2R*CORRleach.s2R</f>
        <v>4.1616337915673893E-4</v>
      </c>
      <c r="C739" s="317" t="s">
        <v>1089</v>
      </c>
    </row>
    <row r="740" spans="1:3" ht="14.5" x14ac:dyDescent="0.3">
      <c r="A740" s="317" t="s">
        <v>4650</v>
      </c>
      <c r="B740" s="318">
        <f>FRACinf.s3C*RAINrate.C/Ks3w.C*SYSTEMAREA.C*AREAFRAC.s3C*CORRleach.s3C</f>
        <v>5.811358676349889E-4</v>
      </c>
      <c r="C740" s="317" t="s">
        <v>1089</v>
      </c>
    </row>
    <row r="741" spans="1:3" ht="14.5" x14ac:dyDescent="0.3">
      <c r="A741" s="317" t="s">
        <v>4651</v>
      </c>
      <c r="B741" s="318">
        <f>FRACinf.s3R*RAINrate.R/Ks3w.R*SYSTEMAREA.R*AREAFRAC.s3R*CORRleach.s3R</f>
        <v>3.8105657536011237E-5</v>
      </c>
      <c r="C741" s="317" t="s">
        <v>1089</v>
      </c>
    </row>
    <row r="742" spans="1:3" ht="14.5" x14ac:dyDescent="0.3">
      <c r="A742" s="317" t="s">
        <v>4652</v>
      </c>
      <c r="B742" s="318">
        <f>FRACinf.sA*RAINrate.A/Kslw.A*SYSTEMAREA.A*AREAFRAC.sA*CORRleach.sA</f>
        <v>1.012187854474389E-2</v>
      </c>
      <c r="C742" s="317" t="s">
        <v>1089</v>
      </c>
    </row>
    <row r="743" spans="1:3" ht="14.5" x14ac:dyDescent="0.3">
      <c r="A743" s="317" t="s">
        <v>4653</v>
      </c>
      <c r="B743" s="325">
        <f>FRACinf.sM*RAINrate.M/Kslw.M*SYSTEMAREA.M*AREAFRAC.sM*CORRleach.sM</f>
        <v>6.4660734561497235E-2</v>
      </c>
      <c r="C743" s="317" t="s">
        <v>1089</v>
      </c>
    </row>
    <row r="744" spans="1:3" ht="14.5" x14ac:dyDescent="0.3">
      <c r="A744" s="317" t="s">
        <v>4654</v>
      </c>
      <c r="B744" s="318">
        <f>FRACinf.sT*RAINrate.T/Kslw.T*SYSTEMAREA.T*AREAFRAC.sT*CORRleach.sT</f>
        <v>0.11842597897350354</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8.8388347648318441E-23</v>
      </c>
      <c r="C750" s="319" t="s">
        <v>1226</v>
      </c>
    </row>
    <row r="751" spans="1:3" ht="14.5" x14ac:dyDescent="0.3">
      <c r="A751" s="321" t="s">
        <v>4656</v>
      </c>
      <c r="B751" s="323">
        <f>0.1*KDEG.s1C</f>
        <v>4.0612619817811774E-22</v>
      </c>
      <c r="C751" s="319" t="s">
        <v>1226</v>
      </c>
    </row>
    <row r="752" spans="1:3" ht="14.5" x14ac:dyDescent="0.3">
      <c r="A752" s="321" t="s">
        <v>2735</v>
      </c>
      <c r="B752" s="318">
        <f>0.1*KDEG.sM</f>
        <v>4.0612619817811774E-22</v>
      </c>
      <c r="C752" s="319" t="s">
        <v>1226</v>
      </c>
    </row>
    <row r="753" spans="1:3" ht="14.5" x14ac:dyDescent="0.3">
      <c r="A753" s="321" t="s">
        <v>1259</v>
      </c>
      <c r="B753" s="318">
        <f>0.1*KDEG.s1R</f>
        <v>4.0612619817811774E-22</v>
      </c>
      <c r="C753" s="319" t="s">
        <v>1226</v>
      </c>
    </row>
    <row r="754" spans="1:3" ht="14.5" x14ac:dyDescent="0.3">
      <c r="A754" s="321" t="s">
        <v>3419</v>
      </c>
      <c r="B754" s="318">
        <f>0.1*KDEG.sT</f>
        <v>9.9999999999999991E-22</v>
      </c>
      <c r="C754" s="319" t="s">
        <v>1226</v>
      </c>
    </row>
    <row r="755" spans="1:3" ht="14.5" x14ac:dyDescent="0.3">
      <c r="A755" s="321" t="s">
        <v>3103</v>
      </c>
      <c r="B755" s="318">
        <f>0.01*(0.3+0.2*WINDspeed.A)*((0.018/Molweight)^(0.67*0.5))</f>
        <v>4.9401151407467364E-3</v>
      </c>
      <c r="C755" s="320" t="s">
        <v>1226</v>
      </c>
    </row>
    <row r="756" spans="1:3" ht="14.5" x14ac:dyDescent="0.3">
      <c r="A756" s="321" t="s">
        <v>4657</v>
      </c>
      <c r="B756" s="318">
        <f>0.01*(0.3+0.2*WINDspeed.C)*((0.018/Molweight)^(0.67*0.5))</f>
        <v>4.9401151407467364E-3</v>
      </c>
      <c r="C756" s="319" t="s">
        <v>1226</v>
      </c>
    </row>
    <row r="757" spans="1:3" ht="14.5" x14ac:dyDescent="0.3">
      <c r="A757" s="321" t="s">
        <v>2730</v>
      </c>
      <c r="B757" s="318">
        <f>0.01*(0.3+0.2*WINDspeed.M)*((0.018/Molweight)^(0.67*0.5))</f>
        <v>4.9401151407467364E-3</v>
      </c>
      <c r="C757" s="320" t="s">
        <v>1226</v>
      </c>
    </row>
    <row r="758" spans="1:3" ht="14.5" x14ac:dyDescent="0.3">
      <c r="A758" s="321" t="s">
        <v>1247</v>
      </c>
      <c r="B758" s="318">
        <f>0.01*(0.3+0.2*WINDspeed.R)*((0.018/Molweight)^(0.67*0.5))</f>
        <v>4.9401151407467364E-3</v>
      </c>
      <c r="C758" s="319" t="s">
        <v>1226</v>
      </c>
    </row>
    <row r="759" spans="1:3" ht="14.5" x14ac:dyDescent="0.3">
      <c r="A759" s="321" t="s">
        <v>3415</v>
      </c>
      <c r="B759" s="318">
        <f>0.01*(0.3+0.2*WINDspeed.T)*((0.018/Molweight)^(0.67*0.5))</f>
        <v>4.9401151407467364E-3</v>
      </c>
      <c r="C759" s="320" t="s">
        <v>1226</v>
      </c>
    </row>
    <row r="760" spans="1:3" ht="14.5" x14ac:dyDescent="0.3">
      <c r="A760" s="321" t="s">
        <v>3104</v>
      </c>
      <c r="B760" s="318">
        <f>0.01*(0.0004+0.00004*WINDspeed.A^2)*((0.032/Molweight)^(0.5*0.5))</f>
        <v>5.6088770120716376E-6</v>
      </c>
      <c r="C760" s="320" t="s">
        <v>1226</v>
      </c>
    </row>
    <row r="761" spans="1:3" ht="14.5" x14ac:dyDescent="0.3">
      <c r="A761" s="321" t="s">
        <v>4658</v>
      </c>
      <c r="B761" s="318">
        <f>0.01*(0.0004+0.00004*WINDspeed.C^2)*((0.032/Molweight)^(0.5*0.5))</f>
        <v>5.6088770120716376E-6</v>
      </c>
      <c r="C761" s="319" t="s">
        <v>1226</v>
      </c>
    </row>
    <row r="762" spans="1:3" ht="14.5" x14ac:dyDescent="0.3">
      <c r="A762" s="321" t="s">
        <v>2731</v>
      </c>
      <c r="B762" s="318">
        <f>0.01*(0.0004+0.00004*WINDspeed.M^2)*((0.032/Molweight)^(0.5*0.5))</f>
        <v>5.6088770120716376E-6</v>
      </c>
      <c r="C762" s="320" t="s">
        <v>1226</v>
      </c>
    </row>
    <row r="763" spans="1:3" ht="14.5" x14ac:dyDescent="0.3">
      <c r="A763" s="321" t="s">
        <v>1249</v>
      </c>
      <c r="B763" s="318">
        <f>0.01*(0.0004+0.00004*WINDspeed.R^2)*((0.032/Molweight)^(0.5*0.5))</f>
        <v>5.6088770120716376E-6</v>
      </c>
      <c r="C763" s="319" t="s">
        <v>1226</v>
      </c>
    </row>
    <row r="764" spans="1:3" ht="14.5" x14ac:dyDescent="0.3">
      <c r="A764" s="321" t="s">
        <v>3416</v>
      </c>
      <c r="B764" s="318">
        <f>0.01*(0.0004+0.00004*WINDspeed.T^2)*((0.032/Molweight)^(0.5*0.5))</f>
        <v>5.6088770120716376E-6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2.3070419161676658E-10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1.3706152524867785</v>
      </c>
      <c r="C819" s="317" t="s">
        <v>1089</v>
      </c>
    </row>
    <row r="820" spans="1:3" ht="14.5" x14ac:dyDescent="0.3">
      <c r="A820" s="317" t="s">
        <v>4680</v>
      </c>
      <c r="B820" s="318">
        <f>(RAINrate.R*FRACrun.s1R/Ks1w.R+EROSION.s1R)*SYSTEMAREA.R*AREAFRAC.s1R*CORRrunoff.s1R</f>
        <v>8.987260696443411E-2</v>
      </c>
      <c r="C820" s="317" t="s">
        <v>1089</v>
      </c>
    </row>
    <row r="821" spans="1:3" ht="14.5" x14ac:dyDescent="0.3">
      <c r="A821" s="317" t="s">
        <v>4681</v>
      </c>
      <c r="B821" s="318">
        <f>(RAINrate.C*FRACrun.s2C/Ks2w.C+EROSION.s2C)*SYSTEMAREA.C*AREAFRAC.s2C*CORRrunoff.s2C</f>
        <v>5.5440379886587898</v>
      </c>
      <c r="C821" s="317" t="s">
        <v>1089</v>
      </c>
    </row>
    <row r="822" spans="1:3" ht="14.5" x14ac:dyDescent="0.3">
      <c r="A822" s="317" t="s">
        <v>4682</v>
      </c>
      <c r="B822" s="318">
        <f>(RAINrate.R*FRACrun.s2R/Ks2w.R+EROSION.s2R)*SYSTEMAREA.R*AREAFRAC.s2R*CORRrunoff.s2R</f>
        <v>0.36352809167022559</v>
      </c>
      <c r="C822" s="317" t="s">
        <v>1089</v>
      </c>
    </row>
    <row r="823" spans="1:3" ht="14.5" x14ac:dyDescent="0.3">
      <c r="A823" s="317" t="s">
        <v>4683</v>
      </c>
      <c r="B823" s="318">
        <f>(RAINrate.C*FRACrun.s3C/Ks3w.C+EROSION.s3C)*SYSTEMAREA.C*AREAFRAC.s3C*CORRrunoff.s3C</f>
        <v>0.50763527869880676</v>
      </c>
      <c r="C823" s="317" t="s">
        <v>1089</v>
      </c>
    </row>
    <row r="824" spans="1:3" ht="14.5" x14ac:dyDescent="0.3">
      <c r="A824" s="317" t="s">
        <v>4684</v>
      </c>
      <c r="B824" s="318">
        <f>(RAINrate.R*FRACrun.s3R/Ks3w.R+EROSION.s3R)*SYSTEMAREA.R*AREAFRAC.s3R*CORRrunoff.s3R</f>
        <v>3.328615072756818E-2</v>
      </c>
      <c r="C824" s="317" t="s">
        <v>1089</v>
      </c>
    </row>
    <row r="825" spans="1:3" ht="14.5" x14ac:dyDescent="0.3">
      <c r="A825" s="317" t="s">
        <v>4685</v>
      </c>
      <c r="B825" s="318">
        <f>(RAINrate.A*FRACrun.sA/Kslw.A+EROSION.sA)*SYSTEMAREA.A*AREAFRAC.sA*CORRrunoff.sA</f>
        <v>22.052733385606707</v>
      </c>
      <c r="C825" s="321" t="s">
        <v>1089</v>
      </c>
    </row>
    <row r="826" spans="1:3" ht="14.5" x14ac:dyDescent="0.3">
      <c r="A826" s="317" t="s">
        <v>4686</v>
      </c>
      <c r="B826" s="318">
        <f>(RAINrate.M*FRACrun.sM/Kslw.M+EROSION.sM)*SYSTEMAREA.M*AREAFRAC.sM*CORRrunoff.sM</f>
        <v>56.482609038704169</v>
      </c>
      <c r="C826" s="321" t="s">
        <v>1089</v>
      </c>
    </row>
    <row r="827" spans="1:3" ht="14.5" x14ac:dyDescent="0.3">
      <c r="A827" s="317" t="s">
        <v>4687</v>
      </c>
      <c r="B827" s="318">
        <f>(RAINrate.T*FRACrun.sT/Kslw.T+EROSION.sT)*SYSTEMAREA.T*AREAFRAC.sT*CORRrunoff.sT</f>
        <v>63.814628842412503</v>
      </c>
      <c r="C827" s="321" t="s">
        <v>1089</v>
      </c>
    </row>
    <row r="828" spans="1:3" ht="14.5" x14ac:dyDescent="0.3">
      <c r="A828" s="317" t="s">
        <v>4688</v>
      </c>
      <c r="B828" s="318">
        <f>(GROSSSEDrate.w1C*FRACs.sdC*RHOsolid/SUSP.w1C)*((Kp.susp1C*SUSP.w1C/1000)*FRw.w1C)*(SYSTEMAREA.C*AREAFRAC.w1C)</f>
        <v>1656552.027693568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35165025.348152682</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241478357.19133985</v>
      </c>
      <c r="C832" s="321" t="s">
        <v>1089</v>
      </c>
    </row>
    <row r="833" spans="1:3" ht="14.5" x14ac:dyDescent="0.3">
      <c r="A833" s="317" t="s">
        <v>4693</v>
      </c>
      <c r="B833" s="318">
        <f>(GROSSSEDrate.w3M*FRACs.sdM*RHOsolid/SUSP.w3M)*((Kp.susp3M*SUSP.w3M/1000)*FRw.w3M)*(SYSTEMAREA.M*AREAFRAC.wM)</f>
        <v>367289433.56458271</v>
      </c>
      <c r="C833" s="321" t="s">
        <v>1089</v>
      </c>
    </row>
    <row r="834" spans="1:3" ht="14.5" x14ac:dyDescent="0.3">
      <c r="A834" s="317" t="s">
        <v>4694</v>
      </c>
      <c r="B834" s="318">
        <f>(GROSSSEDrate.w3T*FRACs.sdT*RHOsolid/SUSP.w3T)*((Kp.susp3T*SUSP.w3T/1000)*FRw.w3T)*(SYSTEMAREA.T*AREAFRAC.wT)</f>
        <v>845174250.16968954</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50.997723320450852</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4.9731230715261738E-19</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2.0115917417957198E-18</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1.8418974338985822E-19</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4.2868230882584352E-50</v>
      </c>
      <c r="C921" s="321" t="s">
        <v>1089</v>
      </c>
    </row>
    <row r="922" spans="1:3" ht="14.5" x14ac:dyDescent="0.3">
      <c r="A922" s="317" t="s">
        <v>4728</v>
      </c>
      <c r="B922" s="318">
        <f>(MTCas.air.aM*MTCas.soil.sM/(MTCas.air.aM+MTCas.soil.sM/((Kaw.M*FRorig.s1w)/Ksw.M)*(SYSTEMAREA.M*AREAFRAC.sM*CORRvolat.sM)))</f>
        <v>8.436637276761781E-45</v>
      </c>
      <c r="C922" s="321" t="s">
        <v>1089</v>
      </c>
    </row>
    <row r="923" spans="1:3" ht="14.5" x14ac:dyDescent="0.3">
      <c r="A923" s="317" t="s">
        <v>4729</v>
      </c>
      <c r="B923" s="318">
        <f>(MTCas.air.aT*MTCas.soil.sT/(MTCas.air.aT+MTCas.soil.sT/((Kaw.T*FRorig.s1w)/Ksw.T)*(SYSTEMAREA.T*AREAFRAC.sT*CORRvolat.sT)))</f>
        <v>7.5634971766479648E-42</v>
      </c>
      <c r="C923" s="321" t="s">
        <v>1089</v>
      </c>
    </row>
    <row r="924" spans="1:3" ht="14.5" x14ac:dyDescent="0.3">
      <c r="A924" s="317" t="s">
        <v>4730</v>
      </c>
      <c r="B924" s="318">
        <f>(MTCaw.air.aC*MTCaw.water.wC/(FRorig.w1*MTCaw.air.aC*Kaw.C+MTCaw.water.wC))*Kaw.C*(FRw.w0C*FRorig.w1)*(SYSTEMAREA.C*AREAFRAC.w0C)</f>
        <v>4.6475597939825327E-16</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2.2085730292866289E-15</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2.1510517262191325E-18</v>
      </c>
      <c r="C928" s="321" t="s">
        <v>1089</v>
      </c>
    </row>
    <row r="929" spans="1:3" ht="14.5" x14ac:dyDescent="0.3">
      <c r="A929" s="317" t="s">
        <v>4735</v>
      </c>
      <c r="B929" s="318">
        <f>(MTCaw.air.aC*MTCaw.water.wC/(FRorig.w2*MTCaw.air.aC*Kaw.C+MTCaw.water.wC))*Kaw.C*(FRw.w2C*FRorig.w2)*(SYSTEMAREA.C*AREAFRAC.w2C)</f>
        <v>1.4064972049126101E-13</v>
      </c>
      <c r="C929" s="317" t="s">
        <v>1089</v>
      </c>
    </row>
    <row r="930" spans="1:3" ht="14.5" x14ac:dyDescent="0.3">
      <c r="A930" s="317" t="s">
        <v>4736</v>
      </c>
      <c r="B930" s="318">
        <f>(MTCaw.air.aM*MTCaw.water.wM/(FRorig.w1*MTCaw.air.aM*Kaw.M+MTCaw.water.wM))*Kaw.M*(FRw.w2M*FRorig.w1)*(SYSTEMAREA.M*AREAFRAC.wM)</f>
        <v>1.4690493084762113E-12</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2.9887425354296049E-9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8.949659005062274E-15</v>
      </c>
      <c r="AH3" s="685">
        <f>SUM(C20,C36,C52)</f>
        <v>2836766.8886872372</v>
      </c>
      <c r="AI3" s="685">
        <f>SUM(C28,C44,C68)</f>
        <v>189301987.96789736</v>
      </c>
      <c r="AJ3" s="961">
        <f>SUM(C76,C84,C92)</f>
        <v>25876324233.962948</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33449.165231929292</v>
      </c>
      <c r="R4" s="11">
        <f>$E$11</f>
        <v>123511.05782322364</v>
      </c>
      <c r="S4" s="685">
        <f>SUM(T4:V4)</f>
        <v>164560.60748389747</v>
      </c>
      <c r="T4" s="11">
        <f>$G$11</f>
        <v>98881.089955741263</v>
      </c>
      <c r="U4" s="11">
        <f>$I$11</f>
        <v>23756.484595209706</v>
      </c>
      <c r="V4" s="962">
        <f>$K$11</f>
        <v>41923.032932946495</v>
      </c>
      <c r="W4" s="11"/>
      <c r="X4" s="11"/>
      <c r="Y4" s="11"/>
      <c r="Z4" s="11"/>
      <c r="AA4" s="11"/>
      <c r="AB4" s="11"/>
      <c r="AC4" s="11"/>
      <c r="AD4" s="11"/>
      <c r="AE4" s="960"/>
      <c r="AF4" s="410" t="s">
        <v>4750</v>
      </c>
      <c r="AG4" s="685">
        <f>C15</f>
        <v>6088.0683598167607</v>
      </c>
      <c r="AH4" s="685">
        <f>SUM(C23,C39,C55)</f>
        <v>224.09794798563408</v>
      </c>
      <c r="AI4" s="685">
        <f>SUM(C31,C47,C71)</f>
        <v>4.226789715355598E-6</v>
      </c>
      <c r="AJ4" s="961">
        <f>SUM(C79,C87,C95)</f>
        <v>17.580102109050454</v>
      </c>
      <c r="AK4" s="11"/>
      <c r="AL4" s="11"/>
      <c r="AM4" s="11"/>
      <c r="AN4" s="11"/>
      <c r="AO4" s="11"/>
      <c r="AP4" s="11"/>
      <c r="AQ4" s="11"/>
      <c r="AR4" s="11"/>
      <c r="AS4" s="11"/>
    </row>
    <row r="5" spans="1:45" ht="12.75" customHeight="1" x14ac:dyDescent="0.45">
      <c r="A5" s="17"/>
      <c r="B5" s="21" t="s">
        <v>85</v>
      </c>
      <c r="C5" s="918" t="str">
        <f>ChemName</f>
        <v>nAg_10nm</v>
      </c>
      <c r="D5" s="38"/>
      <c r="E5" s="38"/>
      <c r="F5" s="38"/>
      <c r="G5" s="447"/>
      <c r="H5" s="448"/>
      <c r="I5" s="448"/>
      <c r="J5" s="448"/>
      <c r="K5" s="38"/>
      <c r="L5" s="38"/>
      <c r="M5" s="17"/>
      <c r="N5" s="156"/>
      <c r="O5" s="11"/>
      <c r="P5" s="467" t="s">
        <v>4744</v>
      </c>
      <c r="Q5" s="685">
        <f>SUM(C19,C35,C51)</f>
        <v>4038287.6575477463</v>
      </c>
      <c r="R5" s="685">
        <f>SUM(E19,E35,E51)</f>
        <v>77760121.070807129</v>
      </c>
      <c r="S5" s="685">
        <f>SUM(T5:V5)</f>
        <v>54364225401.851044</v>
      </c>
      <c r="T5" s="685">
        <f>SUM(G51,G59)</f>
        <v>13156786384.063967</v>
      </c>
      <c r="U5" s="685">
        <f>SUM(I51,I59)</f>
        <v>8718971918.4555092</v>
      </c>
      <c r="V5" s="961">
        <f>SUM(K51,K59)</f>
        <v>32488467099.331566</v>
      </c>
      <c r="W5" s="11"/>
      <c r="X5" s="11"/>
      <c r="Y5" s="11"/>
      <c r="Z5" s="11"/>
      <c r="AA5" s="11"/>
      <c r="AB5" s="11"/>
      <c r="AC5" s="11"/>
      <c r="AD5" s="11"/>
      <c r="AE5" s="960"/>
      <c r="AF5" s="410" t="s">
        <v>4751</v>
      </c>
      <c r="AG5" s="685">
        <f>C16</f>
        <v>27339.185595279487</v>
      </c>
      <c r="AH5" s="685">
        <f>SUM(C24,C40,C56)</f>
        <v>1193580.0081709779</v>
      </c>
      <c r="AI5" s="685">
        <f>SUM(C32,C48,C72)</f>
        <v>119910.11805758931</v>
      </c>
      <c r="AJ5" s="961">
        <f>SUM(C80,C88,C96)</f>
        <v>55560.603135818121</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189888074.13003775</v>
      </c>
      <c r="R6" s="685">
        <f>SUM(E27,E43,E67)</f>
        <v>383239805.02042973</v>
      </c>
      <c r="S6" s="685">
        <f>SUM(T6:V6)</f>
        <v>16917903676.158527</v>
      </c>
      <c r="T6" s="685">
        <f>G67</f>
        <v>4093499760.5818887</v>
      </c>
      <c r="U6" s="685">
        <f>I67</f>
        <v>2693760601.303658</v>
      </c>
      <c r="V6" s="961">
        <f>K67</f>
        <v>10130643314.27298</v>
      </c>
      <c r="W6" s="11"/>
      <c r="X6" s="11"/>
      <c r="Y6" s="11"/>
      <c r="Z6" s="11"/>
      <c r="AA6" s="11"/>
      <c r="AB6" s="11"/>
      <c r="AC6" s="11"/>
      <c r="AD6" s="11"/>
      <c r="AE6" s="963"/>
      <c r="AF6" s="479" t="s">
        <v>4752</v>
      </c>
      <c r="AG6" s="964">
        <f>C17</f>
        <v>21.911276833047804</v>
      </c>
      <c r="AH6" s="964">
        <f>SUM(C25,C41,C57)</f>
        <v>7716.6627415450002</v>
      </c>
      <c r="AI6" s="964">
        <f>SUM(C33,C49,C73)</f>
        <v>466176.0440785762</v>
      </c>
      <c r="AJ6" s="965">
        <f>SUM(C81,C89,C97)</f>
        <v>16495.388903676052</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25876396307.535088</v>
      </c>
      <c r="R7" s="964">
        <f>SUM(E75,E83,E91)</f>
        <v>1667846606.0007393</v>
      </c>
      <c r="S7" s="964">
        <f>SUM(T7:V7)</f>
        <v>1058263124.8776823</v>
      </c>
      <c r="T7" s="964">
        <f>G91</f>
        <v>741346025.38011312</v>
      </c>
      <c r="U7" s="964">
        <f>I91</f>
        <v>133121765.8989062</v>
      </c>
      <c r="V7" s="965">
        <f>K91</f>
        <v>183795333.59866294</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3.5159891305264797E-14</v>
      </c>
      <c r="AH8" s="966">
        <f>SUM(E20,E36,E52)</f>
        <v>77736608.66652447</v>
      </c>
      <c r="AI8" s="966">
        <f>SUM(E28,E44,E68)</f>
        <v>383238250.61298132</v>
      </c>
      <c r="AJ8" s="967">
        <f>SUM(E76,E84,E92)</f>
        <v>1667840883.3660583</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1256.9291759152384</v>
      </c>
      <c r="AH9" s="685">
        <f>SUM(E23,E39,E55)</f>
        <v>1.255765880124295</v>
      </c>
      <c r="AI9" s="685">
        <f>SUM(E31,E47,E71)</f>
        <v>1.7996319787907402E-9</v>
      </c>
      <c r="AJ9" s="961">
        <f>SUM(E79,E87,E95)</f>
        <v>0.11799381996830996</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26068462988.819534</v>
      </c>
      <c r="R10" s="685">
        <f>E99</f>
        <v>2128815742.6455641</v>
      </c>
      <c r="S10" s="685">
        <f>SUM(T10:V10)</f>
        <v>72340375069.708023</v>
      </c>
      <c r="T10" s="685">
        <f>G99</f>
        <v>17991622063.253136</v>
      </c>
      <c r="U10" s="685">
        <f>I99</f>
        <v>11545852068.551477</v>
      </c>
      <c r="V10" s="961">
        <f>K99</f>
        <v>42802900937.903412</v>
      </c>
      <c r="W10" s="11"/>
      <c r="X10" s="11"/>
      <c r="Y10" s="11"/>
      <c r="Z10" s="11"/>
      <c r="AA10" s="11"/>
      <c r="AB10" s="11"/>
      <c r="AC10" s="11"/>
      <c r="AD10" s="11"/>
      <c r="AE10" s="467"/>
      <c r="AF10" s="410" t="s">
        <v>4751</v>
      </c>
      <c r="AG10" s="685">
        <f>E16</f>
        <v>122246.46197401312</v>
      </c>
      <c r="AH10" s="685">
        <f>SUM(E24,E40,E56)</f>
        <v>23485.733463378892</v>
      </c>
      <c r="AI10" s="685">
        <f>SUM(E32,E48,E72)</f>
        <v>1351.4490555289017</v>
      </c>
      <c r="AJ10" s="961">
        <f>SUM(E80,E88,E96)</f>
        <v>5574.7647316193197</v>
      </c>
      <c r="AK10" s="11"/>
      <c r="AL10" s="11"/>
      <c r="AM10" s="11"/>
      <c r="AN10" s="11"/>
      <c r="AO10" s="11"/>
      <c r="AP10" s="11"/>
      <c r="AQ10" s="11"/>
      <c r="AR10" s="11"/>
      <c r="AS10" s="11"/>
    </row>
    <row r="11" spans="1:45" ht="12.75" customHeight="1" x14ac:dyDescent="0.3">
      <c r="A11" s="17"/>
      <c r="B11" s="452" t="s">
        <v>136</v>
      </c>
      <c r="C11" s="453">
        <f>SUM(C12,C15:C17)</f>
        <v>33449.165231929292</v>
      </c>
      <c r="D11" s="446">
        <f t="shared" ref="D11:D17" si="0">C11/$C$103</f>
        <v>1.2830344579838199E-6</v>
      </c>
      <c r="E11" s="453">
        <f>SUM(E12,E15:E17)</f>
        <v>123511.05782322364</v>
      </c>
      <c r="F11" s="446">
        <f t="shared" ref="F11:F17" si="1">E11/$E$103</f>
        <v>5.8014464891431595E-5</v>
      </c>
      <c r="G11" s="445">
        <f>SUM(G12,G15:G17)</f>
        <v>98881.089955741263</v>
      </c>
      <c r="H11" s="446">
        <f t="shared" ref="H11:H17" si="2">G11/$G$103</f>
        <v>5.4959186347779615E-6</v>
      </c>
      <c r="I11" s="445">
        <f>SUM(I12,I15:I17)</f>
        <v>23756.484595209706</v>
      </c>
      <c r="J11" s="446">
        <f t="shared" ref="J11:J17" si="3">I11/$I$103</f>
        <v>2.0575727985778215E-6</v>
      </c>
      <c r="K11" s="445">
        <f>SUM(K12,K15:K17)</f>
        <v>41923.032932946495</v>
      </c>
      <c r="L11" s="461">
        <f t="shared" ref="L11:L17" si="4">K11/$K$103</f>
        <v>9.7944266025628173E-7</v>
      </c>
      <c r="M11" s="17"/>
      <c r="N11" s="156"/>
      <c r="O11" s="11"/>
      <c r="P11" s="467" t="s">
        <v>243</v>
      </c>
      <c r="Q11" s="685">
        <f>C100</f>
        <v>6329.7464141382361</v>
      </c>
      <c r="R11" s="685">
        <f>E100</f>
        <v>1258.3029356171305</v>
      </c>
      <c r="S11" s="685">
        <f>SUM(T11:V11)</f>
        <v>39.494548650930966</v>
      </c>
      <c r="T11" s="685">
        <f>G100</f>
        <v>38.595941045063135</v>
      </c>
      <c r="U11" s="685">
        <f>I100</f>
        <v>0.34151502563731528</v>
      </c>
      <c r="V11" s="961">
        <f>K100</f>
        <v>0.557092580230518</v>
      </c>
      <c r="W11" s="11"/>
      <c r="X11" s="11"/>
      <c r="Y11" s="11"/>
      <c r="Z11" s="11"/>
      <c r="AA11" s="11"/>
      <c r="AB11" s="11"/>
      <c r="AC11" s="11"/>
      <c r="AD11" s="11"/>
      <c r="AE11" s="464"/>
      <c r="AF11" s="479" t="s">
        <v>4752</v>
      </c>
      <c r="AG11" s="964">
        <f>E17</f>
        <v>7.6666732952935464</v>
      </c>
      <c r="AH11" s="964">
        <f>SUM(E25,E41,E57)</f>
        <v>25.415053405989827</v>
      </c>
      <c r="AI11" s="964">
        <f>SUM(E33,E49,E73)</f>
        <v>202.95839288817584</v>
      </c>
      <c r="AJ11" s="965">
        <f>SUM(E81,E89,E97)</f>
        <v>147.7519556738599</v>
      </c>
      <c r="AK11" s="11"/>
      <c r="AL11" s="11"/>
      <c r="AM11" s="11"/>
      <c r="AN11" s="11"/>
      <c r="AO11" s="11"/>
      <c r="AP11" s="11"/>
      <c r="AQ11" s="11"/>
      <c r="AR11" s="11"/>
      <c r="AS11" s="11"/>
    </row>
    <row r="12" spans="1:45" ht="12.75" customHeight="1" x14ac:dyDescent="0.3">
      <c r="A12" s="17"/>
      <c r="B12" s="443" t="s">
        <v>140</v>
      </c>
      <c r="C12" s="295">
        <f>(M.aRG)*Molweight</f>
        <v>8.949659005062274E-15</v>
      </c>
      <c r="D12" s="446">
        <f t="shared" si="0"/>
        <v>3.4328871321844293E-25</v>
      </c>
      <c r="E12" s="296">
        <f>(M.aCG)*Molweight</f>
        <v>3.5159891305264797E-14</v>
      </c>
      <c r="F12" s="446">
        <f t="shared" si="1"/>
        <v>1.6514977004207131E-23</v>
      </c>
      <c r="G12" s="296">
        <f>(M.aMG)*Molweight</f>
        <v>1.7450717098510617E-12</v>
      </c>
      <c r="H12" s="446">
        <f t="shared" si="2"/>
        <v>9.699298554948247E-23</v>
      </c>
      <c r="I12" s="296">
        <f>(M.aAG)*Molweight</f>
        <v>7.6001957669963776E-14</v>
      </c>
      <c r="J12" s="446">
        <f t="shared" si="3"/>
        <v>6.5826052719901635E-24</v>
      </c>
      <c r="K12" s="296">
        <f>(M.aTG)*Molweight</f>
        <v>3.8936797331354778E-11</v>
      </c>
      <c r="L12" s="461">
        <f t="shared" si="4"/>
        <v>9.0967560531888882E-22</v>
      </c>
      <c r="M12" s="17"/>
      <c r="N12" s="156"/>
      <c r="O12" s="11"/>
      <c r="P12" s="467" t="s">
        <v>244</v>
      </c>
      <c r="Q12" s="685">
        <f>C101</f>
        <v>1396389.9149596652</v>
      </c>
      <c r="R12" s="685">
        <f>E101</f>
        <v>152658.40922454026</v>
      </c>
      <c r="S12" s="685">
        <f>SUM(T12:V12)</f>
        <v>181648.17636135238</v>
      </c>
      <c r="T12" s="685">
        <f>G101</f>
        <v>108943.26461191422</v>
      </c>
      <c r="U12" s="685">
        <f>I101</f>
        <v>25973.200423921677</v>
      </c>
      <c r="V12" s="961">
        <f>K101</f>
        <v>46731.711325516495</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3.7881447930487778E-27</v>
      </c>
      <c r="D13" s="446">
        <f t="shared" si="0"/>
        <v>1.4530468152532823E-37</v>
      </c>
      <c r="E13" s="296">
        <f>FRgas.aC*E12</f>
        <v>1.4882216081848702E-26</v>
      </c>
      <c r="F13" s="446">
        <f t="shared" si="1"/>
        <v>6.9903360687173151E-36</v>
      </c>
      <c r="G13" s="296">
        <f>FRgas.aC*G12</f>
        <v>7.3864091441135623E-25</v>
      </c>
      <c r="H13" s="446">
        <f t="shared" si="2"/>
        <v>4.1054466205215018E-35</v>
      </c>
      <c r="I13" s="296">
        <f>FRgas.aC*I12</f>
        <v>3.2169540766428739E-26</v>
      </c>
      <c r="J13" s="446">
        <f t="shared" si="3"/>
        <v>2.7862359752120478E-36</v>
      </c>
      <c r="K13" s="296">
        <f>FRgas.aC*K12</f>
        <v>1.6480876644052745E-23</v>
      </c>
      <c r="L13" s="461">
        <f t="shared" si="4"/>
        <v>3.8504069324910169E-34</v>
      </c>
      <c r="M13" s="17"/>
      <c r="N13" s="156"/>
      <c r="O13" s="11"/>
      <c r="P13" s="464" t="s">
        <v>246</v>
      </c>
      <c r="Q13" s="964">
        <f>C102</f>
        <v>490410.00700063031</v>
      </c>
      <c r="R13" s="964">
        <f>E102</f>
        <v>383.79207526331908</v>
      </c>
      <c r="S13" s="964">
        <f>SUM(T13:V13)</f>
        <v>6.1157921630219603</v>
      </c>
      <c r="T13" s="964">
        <f>G102</f>
        <v>6.002235353738552</v>
      </c>
      <c r="U13" s="964">
        <f>I102</f>
        <v>4.9249190316254673E-2</v>
      </c>
      <c r="V13" s="965">
        <f>K102</f>
        <v>6.430761896715334E-2</v>
      </c>
      <c r="W13" s="11"/>
      <c r="X13" s="11"/>
      <c r="Y13" s="11"/>
      <c r="Z13" s="11"/>
      <c r="AA13" s="11"/>
      <c r="AB13" s="11"/>
      <c r="AC13" s="11"/>
      <c r="AD13" s="11"/>
      <c r="AE13" s="471" t="s">
        <v>4747</v>
      </c>
      <c r="AF13" s="465" t="s">
        <v>4749</v>
      </c>
      <c r="AG13" s="966">
        <f t="shared" ref="AG13:AJ16" si="5">SUM(AG18,AG23,AG28)</f>
        <v>4.0757870998875805E-11</v>
      </c>
      <c r="AH13" s="966">
        <f t="shared" si="5"/>
        <v>54364214678.549171</v>
      </c>
      <c r="AI13" s="966">
        <f t="shared" si="5"/>
        <v>16917903676.158199</v>
      </c>
      <c r="AJ13" s="967">
        <f t="shared" si="5"/>
        <v>1058256715.0006607</v>
      </c>
      <c r="AK13" s="11"/>
      <c r="AL13" s="11"/>
      <c r="AM13" s="11"/>
      <c r="AN13" s="11"/>
      <c r="AO13" s="11"/>
      <c r="AP13" s="11"/>
      <c r="AQ13" s="11"/>
      <c r="AR13" s="11"/>
      <c r="AS13" s="11"/>
    </row>
    <row r="14" spans="1:45" ht="12.75" customHeight="1" x14ac:dyDescent="0.3">
      <c r="A14" s="17"/>
      <c r="B14" s="159" t="s">
        <v>145</v>
      </c>
      <c r="C14" s="295">
        <f>(1-FRgas.aR)*C12</f>
        <v>8.9496590050584859E-15</v>
      </c>
      <c r="D14" s="446">
        <f t="shared" si="0"/>
        <v>3.432887132182976E-25</v>
      </c>
      <c r="E14" s="296">
        <f>(1-FRgas.aC)*E12</f>
        <v>3.5159891305249916E-14</v>
      </c>
      <c r="F14" s="446">
        <f t="shared" si="1"/>
        <v>1.651497700420014E-23</v>
      </c>
      <c r="G14" s="296">
        <f>(1-FRgas.aC)*G12</f>
        <v>1.7450717098503231E-12</v>
      </c>
      <c r="H14" s="446">
        <f t="shared" si="2"/>
        <v>9.6992985549441422E-23</v>
      </c>
      <c r="I14" s="296">
        <f>(1-FRgas.aC)*I12</f>
        <v>7.6001957669931616E-14</v>
      </c>
      <c r="J14" s="446">
        <f t="shared" si="3"/>
        <v>6.5826052719873776E-24</v>
      </c>
      <c r="K14" s="296">
        <f>(1-FRgas.aC)*K12</f>
        <v>3.8936797331338299E-11</v>
      </c>
      <c r="L14" s="461">
        <f t="shared" si="4"/>
        <v>9.0967560531850383E-22</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39.456503082230249</v>
      </c>
      <c r="AH14" s="685">
        <f t="shared" si="5"/>
        <v>3.5348375578065423E-2</v>
      </c>
      <c r="AI14" s="685">
        <f t="shared" si="5"/>
        <v>3.6865647760774898E-17</v>
      </c>
      <c r="AJ14" s="961">
        <f t="shared" si="5"/>
        <v>2.6971931226574589E-3</v>
      </c>
      <c r="AK14" s="11"/>
      <c r="AL14" s="11"/>
      <c r="AM14" s="11"/>
      <c r="AN14" s="11"/>
      <c r="AO14" s="11"/>
      <c r="AP14" s="11"/>
      <c r="AQ14" s="11"/>
      <c r="AR14" s="11"/>
      <c r="AS14" s="11"/>
    </row>
    <row r="15" spans="1:45" ht="12.75" customHeight="1" x14ac:dyDescent="0.3">
      <c r="A15" s="17"/>
      <c r="B15" s="159" t="s">
        <v>147</v>
      </c>
      <c r="C15" s="295">
        <f>(M.aRS+M.cwRS)*Molweight</f>
        <v>6088.0683598167607</v>
      </c>
      <c r="D15" s="446">
        <f t="shared" si="0"/>
        <v>2.335245568624734E-7</v>
      </c>
      <c r="E15" s="296">
        <f>(M.aCS+M.cwCS)*Molweight</f>
        <v>1256.9291759152384</v>
      </c>
      <c r="F15" s="446">
        <f t="shared" si="1"/>
        <v>5.9039307761025079E-7</v>
      </c>
      <c r="G15" s="296">
        <f>(M.aMS+M.cwMS)*Molweight</f>
        <v>38.559002500769957</v>
      </c>
      <c r="H15" s="446">
        <f t="shared" si="2"/>
        <v>2.1431513394248061E-9</v>
      </c>
      <c r="I15" s="296">
        <f>(M.aAS+M.cwAS)*Molweight</f>
        <v>0.34113600913169279</v>
      </c>
      <c r="J15" s="446">
        <f t="shared" si="3"/>
        <v>2.9546129613229945E-11</v>
      </c>
      <c r="K15" s="296">
        <f>(M.aTS+M.cwTS)*Molweight</f>
        <v>0.55636457232859604</v>
      </c>
      <c r="L15" s="461">
        <f t="shared" si="4"/>
        <v>1.2998277048930324E-11</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164520.84815807512</v>
      </c>
      <c r="AH15" s="685">
        <f t="shared" si="5"/>
        <v>10722.582044667488</v>
      </c>
      <c r="AI15" s="685">
        <f t="shared" si="5"/>
        <v>3.0206934006120399E-4</v>
      </c>
      <c r="AJ15" s="961">
        <f t="shared" si="5"/>
        <v>6404.7458565404158</v>
      </c>
      <c r="AK15" s="11"/>
      <c r="AL15" s="11"/>
      <c r="AM15" s="11"/>
      <c r="AN15" s="11"/>
      <c r="AO15" s="11"/>
      <c r="AP15" s="11"/>
      <c r="AQ15" s="11"/>
      <c r="AR15" s="11"/>
      <c r="AS15" s="11"/>
    </row>
    <row r="16" spans="1:45" ht="12.75" customHeight="1" x14ac:dyDescent="0.3">
      <c r="A16" s="17"/>
      <c r="B16" s="159" t="s">
        <v>150</v>
      </c>
      <c r="C16" s="295">
        <f>(M.aRA+M.cwRA)*Molweight</f>
        <v>27339.185595279487</v>
      </c>
      <c r="D16" s="446">
        <f t="shared" si="0"/>
        <v>1.0486694340125175E-6</v>
      </c>
      <c r="E16" s="296">
        <f>(M.aCA+M.cwCA)*Molweight</f>
        <v>122246.46197401312</v>
      </c>
      <c r="F16" s="446">
        <f t="shared" si="1"/>
        <v>5.7420470695374444E-5</v>
      </c>
      <c r="G16" s="296">
        <f>(M.aMA+M.cwMA)*Molweight</f>
        <v>98842.238134384505</v>
      </c>
      <c r="H16" s="446">
        <f t="shared" si="2"/>
        <v>5.4937592082477191E-6</v>
      </c>
      <c r="I16" s="296">
        <f>(M.aAA+M.cwAA)*Molweight</f>
        <v>23756.136109408355</v>
      </c>
      <c r="J16" s="446">
        <f t="shared" si="3"/>
        <v>2.0575426158753822E-6</v>
      </c>
      <c r="K16" s="296">
        <f>(M.aTA+M.cwTA)*Molweight</f>
        <v>41922.47391428228</v>
      </c>
      <c r="L16" s="461">
        <f t="shared" si="4"/>
        <v>9.7942959997201055E-7</v>
      </c>
      <c r="M16" s="17"/>
      <c r="N16" s="156"/>
      <c r="O16" s="11"/>
      <c r="P16" s="472" t="s">
        <v>243</v>
      </c>
      <c r="Q16" s="968">
        <f t="shared" ref="Q16:V18" si="6">Q11</f>
        <v>6329.7464141382361</v>
      </c>
      <c r="R16" s="968">
        <f t="shared" si="6"/>
        <v>1258.3029356171305</v>
      </c>
      <c r="S16" s="968">
        <f t="shared" si="6"/>
        <v>39.494548650930966</v>
      </c>
      <c r="T16" s="968">
        <f t="shared" si="6"/>
        <v>38.595941045063135</v>
      </c>
      <c r="U16" s="968">
        <f t="shared" si="6"/>
        <v>0.34151502563731528</v>
      </c>
      <c r="V16" s="969">
        <f t="shared" si="6"/>
        <v>0.557092580230518</v>
      </c>
      <c r="W16" s="11"/>
      <c r="X16" s="11"/>
      <c r="Y16" s="11"/>
      <c r="Z16" s="11"/>
      <c r="AA16" s="11"/>
      <c r="AB16" s="11"/>
      <c r="AC16" s="11"/>
      <c r="AD16" s="11"/>
      <c r="AE16" s="464"/>
      <c r="AF16" s="479" t="s">
        <v>4752</v>
      </c>
      <c r="AG16" s="964">
        <f t="shared" si="5"/>
        <v>0.30282274004838527</v>
      </c>
      <c r="AH16" s="964">
        <f t="shared" si="5"/>
        <v>0.68447656059068296</v>
      </c>
      <c r="AI16" s="964">
        <f t="shared" si="5"/>
        <v>2.4970359009408397E-5</v>
      </c>
      <c r="AJ16" s="965">
        <f t="shared" si="5"/>
        <v>5.1284678920238829</v>
      </c>
      <c r="AK16" s="11"/>
      <c r="AL16" s="11"/>
      <c r="AM16" s="11"/>
      <c r="AN16" s="11"/>
      <c r="AO16" s="11"/>
      <c r="AP16" s="11"/>
      <c r="AQ16" s="11"/>
      <c r="AR16" s="11"/>
      <c r="AS16" s="11"/>
    </row>
    <row r="17" spans="1:45" ht="12.75" customHeight="1" x14ac:dyDescent="0.3">
      <c r="A17" s="17"/>
      <c r="B17" s="159" t="s">
        <v>152</v>
      </c>
      <c r="C17" s="295">
        <f>(M.aRP+M.cwRP)*Molweight</f>
        <v>21.911276833047804</v>
      </c>
      <c r="D17" s="446">
        <f t="shared" si="0"/>
        <v>8.4046710882899395E-10</v>
      </c>
      <c r="E17" s="296">
        <f>(M.aCP+M.cwCP)*Molweight</f>
        <v>7.6666732952935464</v>
      </c>
      <c r="F17" s="446">
        <f t="shared" si="1"/>
        <v>3.6011184469043754E-9</v>
      </c>
      <c r="G17" s="296">
        <f>(M.aMP+M.cwMP)*Molweight</f>
        <v>0.29281885598445906</v>
      </c>
      <c r="H17" s="446">
        <f t="shared" si="2"/>
        <v>1.6275190816966845E-11</v>
      </c>
      <c r="I17" s="296">
        <f>(M.aAP+M.cwAP)*Molweight</f>
        <v>7.3497922188262461E-3</v>
      </c>
      <c r="J17" s="446">
        <f t="shared" si="3"/>
        <v>6.365728264233669E-13</v>
      </c>
      <c r="K17" s="296">
        <f>(M.aTP+M.cwTP)*Molweight</f>
        <v>2.6540918450999366E-3</v>
      </c>
      <c r="L17" s="461">
        <f t="shared" si="4"/>
        <v>6.200722122101677E-14</v>
      </c>
      <c r="M17" s="17"/>
      <c r="N17" s="156"/>
      <c r="O17" s="11"/>
      <c r="P17" s="472" t="s">
        <v>244</v>
      </c>
      <c r="Q17" s="968">
        <f t="shared" si="6"/>
        <v>1396389.9149596652</v>
      </c>
      <c r="R17" s="968">
        <f t="shared" si="6"/>
        <v>152658.40922454026</v>
      </c>
      <c r="S17" s="968">
        <f t="shared" si="6"/>
        <v>181648.17636135238</v>
      </c>
      <c r="T17" s="968">
        <f t="shared" si="6"/>
        <v>108943.26461191422</v>
      </c>
      <c r="U17" s="968">
        <f t="shared" si="6"/>
        <v>25973.200423921677</v>
      </c>
      <c r="V17" s="969">
        <f t="shared" si="6"/>
        <v>46731.711325516495</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490410.00700063031</v>
      </c>
      <c r="R18" s="970">
        <f t="shared" si="6"/>
        <v>383.79207526331908</v>
      </c>
      <c r="S18" s="970">
        <f t="shared" si="6"/>
        <v>6.1157921630219603</v>
      </c>
      <c r="T18" s="970">
        <f t="shared" si="6"/>
        <v>6.002235353738552</v>
      </c>
      <c r="U18" s="970">
        <f t="shared" si="6"/>
        <v>4.9249190316254673E-2</v>
      </c>
      <c r="V18" s="971">
        <f t="shared" si="6"/>
        <v>6.430761896715334E-2</v>
      </c>
      <c r="W18" s="11"/>
      <c r="X18" s="11"/>
      <c r="Y18" s="11"/>
      <c r="Z18" s="11"/>
      <c r="AA18" s="11"/>
      <c r="AB18" s="11"/>
      <c r="AC18" s="11"/>
      <c r="AD18" s="11"/>
      <c r="AE18" s="471" t="s">
        <v>272</v>
      </c>
      <c r="AF18" s="465" t="s">
        <v>4749</v>
      </c>
      <c r="AG18" s="966">
        <f>G12</f>
        <v>1.7450717098510617E-12</v>
      </c>
      <c r="AH18" s="966">
        <f>SUM(G52,G60)</f>
        <v>13156780716.040823</v>
      </c>
      <c r="AI18" s="966">
        <f>G68</f>
        <v>4093499760.5817018</v>
      </c>
      <c r="AJ18" s="967">
        <f>G92</f>
        <v>741341586.63061178</v>
      </c>
      <c r="AK18" s="11"/>
      <c r="AL18" s="11"/>
      <c r="AM18" s="11"/>
      <c r="AN18" s="11"/>
      <c r="AO18" s="11"/>
      <c r="AP18" s="11"/>
      <c r="AQ18" s="11"/>
      <c r="AR18" s="11"/>
      <c r="AS18" s="11"/>
    </row>
    <row r="19" spans="1:45" ht="12.75" customHeight="1" x14ac:dyDescent="0.3">
      <c r="A19" s="17"/>
      <c r="B19" s="104" t="s">
        <v>157</v>
      </c>
      <c r="C19" s="295">
        <f>SUM(C20,C23:C25)</f>
        <v>1885821.7945379685</v>
      </c>
      <c r="D19" s="446">
        <f t="shared" ref="D19:D25" si="7">C19/$C$103</f>
        <v>7.2335866298375176E-5</v>
      </c>
      <c r="E19" s="295">
        <f>SUM(E20,E23:E25)</f>
        <v>165279.3122775782</v>
      </c>
      <c r="F19" s="446">
        <f t="shared" ref="F19:F25" si="8">E19/$E$103</f>
        <v>7.7633460747549251E-5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38.559002500769957</v>
      </c>
      <c r="AH19" s="685">
        <f>SUM(G55,G63)</f>
        <v>3.4283177777673771E-2</v>
      </c>
      <c r="AI19" s="335">
        <f>G71</f>
        <v>3.5776480837316524E-17</v>
      </c>
      <c r="AJ19" s="961">
        <f>G95</f>
        <v>2.6553665155046027E-3</v>
      </c>
      <c r="AK19" s="11"/>
      <c r="AL19" s="11"/>
      <c r="AM19" s="11"/>
      <c r="AN19" s="11"/>
      <c r="AO19" s="11"/>
      <c r="AP19" s="11"/>
      <c r="AQ19" s="11"/>
      <c r="AR19" s="11"/>
      <c r="AS19" s="11"/>
    </row>
    <row r="20" spans="1:45" ht="12.75" customHeight="1" x14ac:dyDescent="0.3">
      <c r="A20" s="17"/>
      <c r="B20" s="443" t="s">
        <v>140</v>
      </c>
      <c r="C20" s="295">
        <f>M.w0RD*Molweight</f>
        <v>1881993.6351714707</v>
      </c>
      <c r="D20" s="446">
        <f t="shared" si="7"/>
        <v>7.2189026748155797E-5</v>
      </c>
      <c r="E20" s="295">
        <f>M.w0CD*Molweight</f>
        <v>163314.23869866726</v>
      </c>
      <c r="F20" s="446">
        <f t="shared" si="8"/>
        <v>7.6710444669782552E-5</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98842.238134384505</v>
      </c>
      <c r="AH20" s="685">
        <f>SUM(G56,G64)</f>
        <v>5667.3268984902497</v>
      </c>
      <c r="AI20" s="335">
        <f>G72</f>
        <v>1.6246259975416952E-4</v>
      </c>
      <c r="AJ20" s="961">
        <f>G96</f>
        <v>4433.6994165768547</v>
      </c>
      <c r="AK20" s="11"/>
      <c r="AL20" s="11"/>
      <c r="AM20" s="11"/>
      <c r="AN20" s="11"/>
      <c r="AO20" s="11"/>
      <c r="AP20" s="11"/>
      <c r="AQ20" s="11"/>
      <c r="AR20" s="11"/>
      <c r="AS20" s="11"/>
    </row>
    <row r="21" spans="1:45" ht="12.75" customHeight="1" x14ac:dyDescent="0.3">
      <c r="A21" s="17"/>
      <c r="B21" s="159" t="s">
        <v>161</v>
      </c>
      <c r="C21" s="295">
        <f>FRwD.w0R*C20</f>
        <v>1796275.3743094248</v>
      </c>
      <c r="D21" s="446">
        <f t="shared" si="7"/>
        <v>6.890106779307047E-5</v>
      </c>
      <c r="E21" s="295">
        <f>FRw.w0C*E20</f>
        <v>155875.84344926817</v>
      </c>
      <c r="F21" s="446">
        <f t="shared" si="8"/>
        <v>7.3216550862618404E-5</v>
      </c>
      <c r="G21" s="296"/>
      <c r="H21" s="446"/>
      <c r="I21" s="296"/>
      <c r="J21" s="446"/>
      <c r="K21" s="296"/>
      <c r="L21" s="461"/>
      <c r="M21" s="17"/>
      <c r="N21" s="156"/>
      <c r="O21" s="11"/>
      <c r="P21" s="464" t="s">
        <v>4754</v>
      </c>
      <c r="Q21" s="964">
        <f>$C$103</f>
        <v>26070356118.487907</v>
      </c>
      <c r="R21" s="964">
        <f>$E$103</f>
        <v>2128970043.1497993</v>
      </c>
      <c r="S21" s="964">
        <f>SUM(T21:V21)</f>
        <v>72340556763.49472</v>
      </c>
      <c r="T21" s="964">
        <f>$G$103</f>
        <v>17991731051.115921</v>
      </c>
      <c r="U21" s="964">
        <f>$I$103</f>
        <v>11545878042.142666</v>
      </c>
      <c r="V21" s="965">
        <f>$K$103</f>
        <v>42802947670.236137</v>
      </c>
      <c r="W21" s="410">
        <v>2</v>
      </c>
      <c r="X21" s="410" t="s">
        <v>4755</v>
      </c>
      <c r="Y21" s="11"/>
      <c r="Z21" s="11"/>
      <c r="AA21" s="11"/>
      <c r="AB21" s="11"/>
      <c r="AC21" s="11"/>
      <c r="AD21" s="11"/>
      <c r="AE21" s="467"/>
      <c r="AF21" s="410" t="s">
        <v>4752</v>
      </c>
      <c r="AG21" s="685">
        <f>G17</f>
        <v>0.29281885598445906</v>
      </c>
      <c r="AH21" s="685">
        <f>SUM(G57,G65)</f>
        <v>0.66196294355329333</v>
      </c>
      <c r="AI21" s="335">
        <f>G73</f>
        <v>2.4154689302710471E-5</v>
      </c>
      <c r="AJ21" s="961">
        <f>G97</f>
        <v>5.0474293995114969</v>
      </c>
      <c r="AK21" s="410">
        <v>6</v>
      </c>
      <c r="AL21" s="410" t="s">
        <v>4756</v>
      </c>
      <c r="AM21" s="11"/>
      <c r="AN21" s="11"/>
      <c r="AO21" s="11"/>
      <c r="AP21" s="11"/>
      <c r="AQ21" s="11"/>
      <c r="AR21" s="11"/>
      <c r="AS21" s="11"/>
    </row>
    <row r="22" spans="1:45" ht="12.75" customHeight="1" x14ac:dyDescent="0.3">
      <c r="A22" s="17"/>
      <c r="B22" s="159" t="s">
        <v>163</v>
      </c>
      <c r="C22" s="295">
        <f>(1-FRwD.w0R)*C20</f>
        <v>85718.260862046009</v>
      </c>
      <c r="D22" s="446">
        <f t="shared" si="7"/>
        <v>3.2879589550853326E-6</v>
      </c>
      <c r="E22" s="295">
        <f>(1-FRw.w0C)*E20</f>
        <v>7438.3952493991001</v>
      </c>
      <c r="F22" s="446">
        <f t="shared" si="8"/>
        <v>3.4938938071641607E-6</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0.20211887180655055</v>
      </c>
      <c r="D23" s="446">
        <f t="shared" si="7"/>
        <v>7.7528235858357556E-12</v>
      </c>
      <c r="E23" s="295">
        <f>M.w0CS*Molweight</f>
        <v>2.0276722699537255E-2</v>
      </c>
      <c r="F23" s="446">
        <f t="shared" si="8"/>
        <v>9.5241935248360547E-12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7.6001957669963776E-14</v>
      </c>
      <c r="AH23" s="685">
        <f>SUM(I52,I60)</f>
        <v>8718970410.8623333</v>
      </c>
      <c r="AI23" s="685">
        <f>I68</f>
        <v>2693760601.3036108</v>
      </c>
      <c r="AJ23" s="961">
        <f>I92</f>
        <v>133121056.38553508</v>
      </c>
      <c r="AK23" s="11"/>
      <c r="AL23"/>
      <c r="AM23" s="11"/>
      <c r="AN23" s="11"/>
      <c r="AO23" s="11"/>
      <c r="AP23" s="11"/>
      <c r="AQ23" s="11"/>
      <c r="AR23" s="410" t="s">
        <v>4758</v>
      </c>
      <c r="AS23" s="410" t="s">
        <v>4759</v>
      </c>
    </row>
    <row r="24" spans="1:45" ht="12.75" customHeight="1" x14ac:dyDescent="0.3">
      <c r="A24" s="17"/>
      <c r="B24" s="159" t="s">
        <v>150</v>
      </c>
      <c r="C24" s="295">
        <f>M.w0RA*Molweight</f>
        <v>3821.3116491868232</v>
      </c>
      <c r="D24" s="446">
        <f t="shared" si="7"/>
        <v>1.4657688724385792E-7</v>
      </c>
      <c r="E24" s="295">
        <f>M.w0CA*Molweight</f>
        <v>1964.0565323217756</v>
      </c>
      <c r="F24" s="446">
        <f t="shared" si="8"/>
        <v>9.2253836010579323E-7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0.34113600913169279</v>
      </c>
      <c r="AH24" s="685">
        <f>SUM(I55,I63)</f>
        <v>3.6116623271206783E-4</v>
      </c>
      <c r="AI24" s="685">
        <f>I71</f>
        <v>4.7060270387092825E-19</v>
      </c>
      <c r="AJ24" s="961">
        <f>I95</f>
        <v>1.7850272910450857E-5</v>
      </c>
      <c r="AK24" s="11"/>
      <c r="AL24" s="11"/>
      <c r="AM24" s="11"/>
      <c r="AN24" s="11"/>
      <c r="AO24" s="11"/>
      <c r="AP24" s="11"/>
      <c r="AQ24" s="11"/>
      <c r="AR24" s="11"/>
      <c r="AS24"/>
    </row>
    <row r="25" spans="1:45" ht="12.75" customHeight="1" x14ac:dyDescent="0.3">
      <c r="A25" s="17"/>
      <c r="B25" s="159" t="s">
        <v>152</v>
      </c>
      <c r="C25" s="295">
        <f>M.w0RP*Molweight</f>
        <v>6.6455984392716667</v>
      </c>
      <c r="D25" s="446">
        <f t="shared" si="7"/>
        <v>2.5491015193915635E-10</v>
      </c>
      <c r="E25" s="295">
        <f>M.w0CP*Molweight</f>
        <v>0.99676986644764864</v>
      </c>
      <c r="F25" s="446">
        <f t="shared" si="8"/>
        <v>4.681934673786829E-10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23756.136109408355</v>
      </c>
      <c r="AH25" s="685">
        <f>SUM(I56,I64)</f>
        <v>1507.5841806436367</v>
      </c>
      <c r="AI25" s="685">
        <f>I72</f>
        <v>4.6620418726650322E-5</v>
      </c>
      <c r="AJ25" s="961">
        <f>I96</f>
        <v>709.48008724926876</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7.3497922188262461E-3</v>
      </c>
      <c r="AH26" s="685">
        <f>SUM(I57,I65)</f>
        <v>8.6330530254477185E-3</v>
      </c>
      <c r="AI26" s="685">
        <f>I73</f>
        <v>3.2611668460429771E-7</v>
      </c>
      <c r="AJ26" s="961">
        <f>I97</f>
        <v>3.3266018955296101E-2</v>
      </c>
      <c r="AK26" s="11"/>
      <c r="AL26" s="11"/>
      <c r="AM26" s="11"/>
      <c r="AN26" s="11"/>
      <c r="AO26" s="11"/>
      <c r="AP26" s="11"/>
      <c r="AQ26" s="11"/>
      <c r="AR26" s="11"/>
      <c r="AS26" s="11"/>
    </row>
    <row r="27" spans="1:45" ht="12.75" customHeight="1" x14ac:dyDescent="0.3">
      <c r="A27" s="17"/>
      <c r="B27" s="104" t="s">
        <v>174</v>
      </c>
      <c r="C27" s="295">
        <f>SUM(C28,C31:C33)</f>
        <v>8708366.9754215963</v>
      </c>
      <c r="D27" s="446">
        <f t="shared" ref="D27:D33" si="9">C27/$C$103</f>
        <v>3.3403329574182607E-4</v>
      </c>
      <c r="E27" s="295">
        <f>SUM(E28,E31:E33)</f>
        <v>761567.89625239326</v>
      </c>
      <c r="F27" s="446">
        <f t="shared" ref="F27:F33" si="10">E27/$E$103</f>
        <v>3.5771658633846146E-4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8708338.5868413355</v>
      </c>
      <c r="D28" s="446">
        <f t="shared" si="9"/>
        <v>3.3403220681998199E-4</v>
      </c>
      <c r="E28" s="295">
        <f>M.sd0CD*Molweight</f>
        <v>761558.57756702602</v>
      </c>
      <c r="F28" s="446">
        <f t="shared" si="10"/>
        <v>3.5771220925227501E-4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3.8936797331354778E-11</v>
      </c>
      <c r="AH28" s="685">
        <f>SUM(K52,K60)</f>
        <v>32488463551.646015</v>
      </c>
      <c r="AI28" s="685">
        <f>K68</f>
        <v>10130643314.272886</v>
      </c>
      <c r="AJ28" s="961">
        <f>K92</f>
        <v>183794071.98451376</v>
      </c>
      <c r="AK28" s="11"/>
      <c r="AL28" s="11"/>
      <c r="AM28" s="11"/>
      <c r="AN28" s="11"/>
      <c r="AO28" s="11"/>
      <c r="AP28" s="11"/>
      <c r="AQ28" s="11"/>
      <c r="AR28" s="11"/>
      <c r="AS28" s="11"/>
    </row>
    <row r="29" spans="1:45" ht="12.75" customHeight="1" x14ac:dyDescent="0.3">
      <c r="A29" s="17"/>
      <c r="B29" s="159" t="s">
        <v>178</v>
      </c>
      <c r="C29" s="295">
        <f>C28*FRACw.sdR</f>
        <v>6966670.869473069</v>
      </c>
      <c r="D29" s="446">
        <f t="shared" si="9"/>
        <v>2.672257654559856E-4</v>
      </c>
      <c r="E29" s="295">
        <f>E28*FRACw.sdC</f>
        <v>609246.86205362086</v>
      </c>
      <c r="F29" s="446">
        <f t="shared" si="10"/>
        <v>2.8616976740182006E-4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0.55636457232859604</v>
      </c>
      <c r="AH29" s="335">
        <f>SUM(K55,K63)</f>
        <v>7.0403156767958556E-4</v>
      </c>
      <c r="AI29" s="335">
        <f>K71</f>
        <v>6.1856421958744703E-19</v>
      </c>
      <c r="AJ29" s="468">
        <f>K95</f>
        <v>2.3976334242405335E-5</v>
      </c>
      <c r="AK29" s="11"/>
      <c r="AL29" s="11"/>
      <c r="AM29" s="11"/>
      <c r="AN29" s="11"/>
      <c r="AO29" s="11"/>
      <c r="AP29" s="11"/>
      <c r="AQ29" s="11"/>
      <c r="AR29" s="11"/>
      <c r="AS29" s="11"/>
    </row>
    <row r="30" spans="1:45" ht="12.75" customHeight="1" x14ac:dyDescent="0.3">
      <c r="A30" s="17"/>
      <c r="B30" s="159" t="s">
        <v>179</v>
      </c>
      <c r="C30" s="295">
        <f>C28*FRACs.sdR</f>
        <v>1741667.7173682668</v>
      </c>
      <c r="D30" s="446">
        <f t="shared" si="9"/>
        <v>6.6806441363996387E-5</v>
      </c>
      <c r="E30" s="295">
        <f>E28*FRACs.sdC</f>
        <v>152311.71551340516</v>
      </c>
      <c r="F30" s="446">
        <f t="shared" si="10"/>
        <v>7.1542441850454988E-5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41922.47391428228</v>
      </c>
      <c r="AH30" s="335">
        <f>SUM(K56,K64)</f>
        <v>3547.6709655336022</v>
      </c>
      <c r="AI30" s="335">
        <f>K72</f>
        <v>9.2986321580384155E-5</v>
      </c>
      <c r="AJ30" s="468">
        <f>K96</f>
        <v>1261.5663527142929</v>
      </c>
      <c r="AK30" s="11"/>
      <c r="AL30" s="11"/>
      <c r="AM30" s="11"/>
      <c r="AN30" s="11"/>
      <c r="AO30" s="11"/>
      <c r="AP30" s="11"/>
      <c r="AQ30" s="11"/>
      <c r="AR30" s="11"/>
      <c r="AS30" s="11"/>
    </row>
    <row r="31" spans="1:45" ht="12.75" customHeight="1" x14ac:dyDescent="0.3">
      <c r="A31" s="17"/>
      <c r="B31" s="159" t="s">
        <v>147</v>
      </c>
      <c r="C31" s="295">
        <f>M.sd0RS*Molweight</f>
        <v>1.3189736069516903E-10</v>
      </c>
      <c r="D31" s="446">
        <f t="shared" si="9"/>
        <v>5.0592849631859626E-21</v>
      </c>
      <c r="E31" s="295">
        <f>M.sd0CS*Molweight</f>
        <v>1.3232046027425176E-11</v>
      </c>
      <c r="F31" s="446">
        <f t="shared" si="10"/>
        <v>6.2152335445023158E-21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2.6540918450999366E-3</v>
      </c>
      <c r="AH31" s="469">
        <f>SUM(K57,K65)</f>
        <v>1.3880564011941883E-2</v>
      </c>
      <c r="AI31" s="469">
        <f>K73</f>
        <v>4.8955302209362762E-7</v>
      </c>
      <c r="AJ31" s="470">
        <f>K97</f>
        <v>4.7772473557089433E-2</v>
      </c>
      <c r="AK31" s="11"/>
      <c r="AL31" s="11"/>
      <c r="AM31" s="11"/>
      <c r="AN31" s="11"/>
      <c r="AO31" s="11"/>
      <c r="AP31" s="11"/>
      <c r="AQ31" s="11"/>
      <c r="AR31" s="11"/>
      <c r="AS31" s="11"/>
    </row>
    <row r="32" spans="1:45" ht="12.75" customHeight="1" x14ac:dyDescent="0.3">
      <c r="A32" s="17"/>
      <c r="B32" s="159" t="s">
        <v>150</v>
      </c>
      <c r="C32" s="295">
        <f>M.sd0RA*Molweight</f>
        <v>13.899577842041552</v>
      </c>
      <c r="D32" s="446">
        <f t="shared" si="9"/>
        <v>5.3315642405761406E-10</v>
      </c>
      <c r="E32" s="295">
        <f>M.sd0CA*Molweight</f>
        <v>7.1451471136887665</v>
      </c>
      <c r="F32" s="446">
        <f t="shared" si="10"/>
        <v>3.3561520213396526E-9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14.489002419948836</v>
      </c>
      <c r="D33" s="446">
        <f t="shared" si="9"/>
        <v>5.5576542008468758E-10</v>
      </c>
      <c r="E33" s="295">
        <f>M.sd0CP*Molweight</f>
        <v>2.1735382535320356</v>
      </c>
      <c r="F33" s="446">
        <f t="shared" si="10"/>
        <v>1.0209341651028109E-9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2055723.6025509082</v>
      </c>
      <c r="D35" s="446">
        <f t="shared" ref="D35:D41" si="11">C35/$C$103</f>
        <v>7.8852916055607031E-5</v>
      </c>
      <c r="E35" s="295">
        <f>SUM(E36,E39:E41)</f>
        <v>57097.062670609557</v>
      </c>
      <c r="F35" s="446">
        <f t="shared" ref="F35:F41" si="12">E35/$E$103</f>
        <v>2.6819101026961738E-5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6088.0683598167607</v>
      </c>
      <c r="AH35" s="968">
        <f t="shared" si="13"/>
        <v>224.09794798563408</v>
      </c>
      <c r="AI35" s="968">
        <f t="shared" si="13"/>
        <v>4.226789715355598E-6</v>
      </c>
      <c r="AJ35" s="969">
        <f t="shared" si="13"/>
        <v>17.580102109050454</v>
      </c>
      <c r="AK35" s="11"/>
      <c r="AL35" s="11"/>
      <c r="AM35" s="11"/>
      <c r="AN35" s="11"/>
      <c r="AO35" s="11"/>
      <c r="AP35" s="11"/>
      <c r="AQ35" s="11"/>
      <c r="AR35" s="11"/>
      <c r="AS35" s="11"/>
    </row>
    <row r="36" spans="1:45" ht="12.75" customHeight="1" x14ac:dyDescent="0.3">
      <c r="A36" s="17"/>
      <c r="B36" s="443" t="s">
        <v>140</v>
      </c>
      <c r="C36" s="295">
        <f>M.w1RD*Molweight</f>
        <v>864614.05900111678</v>
      </c>
      <c r="D36" s="446">
        <f t="shared" si="11"/>
        <v>3.3164643208995983E-5</v>
      </c>
      <c r="E36" s="295">
        <f>M.w1CD*Molweight</f>
        <v>43828.633974721961</v>
      </c>
      <c r="F36" s="446">
        <f t="shared" si="12"/>
        <v>2.0586778153946094E-5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27339.185595279487</v>
      </c>
      <c r="AH36" s="968">
        <f t="shared" si="13"/>
        <v>1193580.0081709779</v>
      </c>
      <c r="AI36" s="968">
        <f t="shared" si="13"/>
        <v>119910.11805758931</v>
      </c>
      <c r="AJ36" s="969">
        <f t="shared" si="13"/>
        <v>55560.603135818121</v>
      </c>
      <c r="AK36" s="11"/>
      <c r="AL36" s="11"/>
      <c r="AM36" s="11"/>
      <c r="AN36" s="11"/>
      <c r="AO36" s="11"/>
      <c r="AP36" s="11"/>
      <c r="AQ36" s="11"/>
      <c r="AR36" s="11"/>
      <c r="AS36" s="11"/>
    </row>
    <row r="37" spans="1:45" ht="12.75" customHeight="1" x14ac:dyDescent="0.3">
      <c r="A37" s="17"/>
      <c r="B37" s="159" t="s">
        <v>161</v>
      </c>
      <c r="C37" s="295">
        <f>FRwD.w1R*C36</f>
        <v>356509.53686721897</v>
      </c>
      <c r="D37" s="446">
        <f t="shared" si="11"/>
        <v>1.3674900919914886E-5</v>
      </c>
      <c r="E37" s="295">
        <f>FRw.w1C*E36</f>
        <v>18072.023970906539</v>
      </c>
      <c r="F37" s="446">
        <f t="shared" si="12"/>
        <v>8.4886229512976519E-6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21.911276833047804</v>
      </c>
      <c r="AH37" s="970">
        <f t="shared" si="13"/>
        <v>7716.6627415450002</v>
      </c>
      <c r="AI37" s="970">
        <f t="shared" si="13"/>
        <v>466176.0440785762</v>
      </c>
      <c r="AJ37" s="971">
        <f t="shared" si="13"/>
        <v>16495.388903676052</v>
      </c>
      <c r="AK37" s="11"/>
      <c r="AL37" s="11"/>
      <c r="AM37" s="11"/>
      <c r="AN37" s="11"/>
      <c r="AO37" s="11"/>
      <c r="AP37" s="11"/>
      <c r="AQ37" s="11"/>
      <c r="AR37" s="11"/>
      <c r="AS37" s="11"/>
    </row>
    <row r="38" spans="1:45" ht="12.75" customHeight="1" x14ac:dyDescent="0.3">
      <c r="A38" s="17"/>
      <c r="B38" s="159" t="s">
        <v>163</v>
      </c>
      <c r="C38" s="295">
        <f>(1-FRwD.w1R)*C36</f>
        <v>508104.52213389776</v>
      </c>
      <c r="D38" s="446">
        <f t="shared" si="11"/>
        <v>1.9489742289081092E-5</v>
      </c>
      <c r="E38" s="295">
        <f>(1-FRw.w1C)*E36</f>
        <v>25756.610003815418</v>
      </c>
      <c r="F38" s="446">
        <f t="shared" si="12"/>
        <v>1.2098155202648441E-5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223.84334269431812</v>
      </c>
      <c r="D39" s="446">
        <f t="shared" si="11"/>
        <v>8.5861252403674927E-9</v>
      </c>
      <c r="E39" s="295">
        <f>M.w1CS*Molweight</f>
        <v>8.2994512148115027E-2</v>
      </c>
      <c r="F39" s="446">
        <f t="shared" si="12"/>
        <v>3.8983410036773046E-11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1256.9291759152384</v>
      </c>
      <c r="AH39" s="973">
        <f t="shared" si="14"/>
        <v>1.255765880124295</v>
      </c>
      <c r="AI39" s="973">
        <f t="shared" si="14"/>
        <v>1.7996319787907402E-9</v>
      </c>
      <c r="AJ39" s="974">
        <f t="shared" si="14"/>
        <v>0.11799381996830996</v>
      </c>
      <c r="AK39" s="11"/>
      <c r="AL39" s="11"/>
      <c r="AM39" s="11"/>
      <c r="AN39" s="11"/>
      <c r="AO39" s="11"/>
      <c r="AP39" s="11"/>
      <c r="AQ39" s="11"/>
      <c r="AR39" s="11"/>
      <c r="AS39" s="11"/>
    </row>
    <row r="40" spans="1:45" ht="12.75" customHeight="1" x14ac:dyDescent="0.3">
      <c r="A40" s="17"/>
      <c r="B40" s="159" t="s">
        <v>150</v>
      </c>
      <c r="C40" s="295">
        <f>M.w1RA*Molweight</f>
        <v>1183210.6758690851</v>
      </c>
      <c r="D40" s="446">
        <f t="shared" si="11"/>
        <v>4.5385290116156339E-5</v>
      </c>
      <c r="E40" s="295">
        <f>M.w1CA*Molweight</f>
        <v>13265.04418623982</v>
      </c>
      <c r="F40" s="446">
        <f t="shared" si="12"/>
        <v>6.23073313263453E-6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122246.46197401312</v>
      </c>
      <c r="AH40" s="968">
        <f t="shared" si="14"/>
        <v>23485.733463378892</v>
      </c>
      <c r="AI40" s="968">
        <f t="shared" si="14"/>
        <v>1351.4490555289017</v>
      </c>
      <c r="AJ40" s="969">
        <f t="shared" si="14"/>
        <v>5574.7647316193197</v>
      </c>
      <c r="AK40" s="11"/>
      <c r="AL40" s="11"/>
      <c r="AM40" s="11"/>
      <c r="AN40" s="11"/>
      <c r="AO40" s="11"/>
      <c r="AP40" s="11"/>
      <c r="AQ40" s="11"/>
      <c r="AR40" s="11"/>
      <c r="AS40" s="11"/>
    </row>
    <row r="41" spans="1:45" ht="12.75" customHeight="1" x14ac:dyDescent="0.3">
      <c r="A41" s="17"/>
      <c r="B41" s="159" t="s">
        <v>152</v>
      </c>
      <c r="C41" s="295">
        <f>M.w1RP*Molweight</f>
        <v>7675.02433801179</v>
      </c>
      <c r="D41" s="446">
        <f t="shared" si="11"/>
        <v>2.9439660521434201E-7</v>
      </c>
      <c r="E41" s="295">
        <f>M.w1CP*Molweight</f>
        <v>3.3015151356197081</v>
      </c>
      <c r="F41" s="446">
        <f t="shared" si="12"/>
        <v>1.5507569710727985E-9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7.6666732952935464</v>
      </c>
      <c r="AH41" s="970">
        <f t="shared" si="14"/>
        <v>25.415053405989827</v>
      </c>
      <c r="AI41" s="970">
        <f t="shared" si="14"/>
        <v>202.95839288817584</v>
      </c>
      <c r="AJ41" s="971">
        <f t="shared" si="14"/>
        <v>147.7519556738599</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172470050.52009222</v>
      </c>
      <c r="D43" s="446">
        <f t="shared" ref="D43:D49" si="15">C43/$C$103</f>
        <v>6.6155617413213748E-3</v>
      </c>
      <c r="E43" s="295">
        <f>SUM(E44,E47:E49)</f>
        <v>8588377.2678394169</v>
      </c>
      <c r="F43" s="446">
        <f t="shared" ref="F43:F49" si="16">E43/$E$103</f>
        <v>4.0340526610383679E-3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39.456503082230249</v>
      </c>
      <c r="AH43" s="973">
        <f t="shared" si="17"/>
        <v>3.5348375578065423E-2</v>
      </c>
      <c r="AI43" s="973">
        <f t="shared" si="17"/>
        <v>3.6865647760774898E-17</v>
      </c>
      <c r="AJ43" s="974">
        <f t="shared" si="17"/>
        <v>2.6971931226574589E-3</v>
      </c>
      <c r="AK43" s="685"/>
      <c r="AL43"/>
      <c r="AM43" s="11"/>
      <c r="AN43" s="11"/>
      <c r="AO43" s="11"/>
      <c r="AP43" s="11"/>
      <c r="AQ43" s="11"/>
      <c r="AR43" s="410" t="s">
        <v>4762</v>
      </c>
      <c r="AS43" s="410" t="s">
        <v>4764</v>
      </c>
    </row>
    <row r="44" spans="1:45" ht="12.75" customHeight="1" x14ac:dyDescent="0.3">
      <c r="A44" s="17"/>
      <c r="B44" s="443" t="s">
        <v>140</v>
      </c>
      <c r="C44" s="295">
        <f>M.sd1RD*Molweight</f>
        <v>171884004.1814588</v>
      </c>
      <c r="D44" s="446">
        <f t="shared" si="15"/>
        <v>6.5930823269255805E-3</v>
      </c>
      <c r="E44" s="295">
        <f>M.sd1CD*Molweight</f>
        <v>8586832.613536898</v>
      </c>
      <c r="F44" s="446">
        <f t="shared" si="16"/>
        <v>4.0333271203913824E-3</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164520.84815807512</v>
      </c>
      <c r="AH44" s="968">
        <f t="shared" si="17"/>
        <v>10722.582044667488</v>
      </c>
      <c r="AI44" s="968">
        <f t="shared" si="17"/>
        <v>3.0206934006120399E-4</v>
      </c>
      <c r="AJ44" s="969">
        <f t="shared" si="17"/>
        <v>6404.7458565404158</v>
      </c>
      <c r="AK44" s="11"/>
      <c r="AL44"/>
      <c r="AM44" s="11"/>
      <c r="AN44" s="11"/>
      <c r="AO44" s="11"/>
      <c r="AP44" s="11"/>
      <c r="AQ44" s="11"/>
      <c r="AR44" s="11"/>
      <c r="AS44"/>
    </row>
    <row r="45" spans="1:45" ht="12.75" customHeight="1" x14ac:dyDescent="0.3">
      <c r="A45" s="17"/>
      <c r="B45" s="159" t="s">
        <v>178</v>
      </c>
      <c r="C45" s="295">
        <f>C44*FRACw.sdR</f>
        <v>137507203.34516704</v>
      </c>
      <c r="D45" s="446">
        <f t="shared" si="15"/>
        <v>5.2744658615404647E-3</v>
      </c>
      <c r="E45" s="295">
        <f>E44*FRACw.sdC</f>
        <v>6869466.0908295186</v>
      </c>
      <c r="F45" s="446">
        <f t="shared" si="16"/>
        <v>3.2266616963131062E-3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0.30282274004838527</v>
      </c>
      <c r="AH45" s="970">
        <f t="shared" si="17"/>
        <v>0.68447656059068296</v>
      </c>
      <c r="AI45" s="970">
        <f t="shared" si="17"/>
        <v>2.4970359009408397E-5</v>
      </c>
      <c r="AJ45" s="971">
        <f t="shared" si="17"/>
        <v>5.1284678920238829</v>
      </c>
      <c r="AK45" s="11"/>
      <c r="AL45" s="11"/>
      <c r="AM45" s="11"/>
      <c r="AN45" s="11"/>
      <c r="AO45" s="11"/>
      <c r="AP45" s="11"/>
      <c r="AQ45" s="11"/>
      <c r="AR45" s="11"/>
      <c r="AS45"/>
    </row>
    <row r="46" spans="1:45" ht="12.75" customHeight="1" x14ac:dyDescent="0.3">
      <c r="A46" s="17"/>
      <c r="B46" s="159" t="s">
        <v>179</v>
      </c>
      <c r="C46" s="295">
        <f>C44*FRACs.sdR</f>
        <v>34376800.836291753</v>
      </c>
      <c r="D46" s="446">
        <f t="shared" si="15"/>
        <v>1.3186164653851157E-3</v>
      </c>
      <c r="E46" s="295">
        <f>E44*FRACs.sdC</f>
        <v>1717366.5227073792</v>
      </c>
      <c r="F46" s="446">
        <f t="shared" si="16"/>
        <v>8.0666542407827632E-4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4.2264580235586224E-6</v>
      </c>
      <c r="D47" s="446">
        <f t="shared" si="15"/>
        <v>1.6211738743995949E-16</v>
      </c>
      <c r="E47" s="295">
        <f>M.sd1CS*Molweight</f>
        <v>1.5670460312002752E-9</v>
      </c>
      <c r="F47" s="446">
        <f t="shared" si="16"/>
        <v>7.3605828144102931E-19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119893.49794959436</v>
      </c>
      <c r="D48" s="446">
        <f t="shared" si="15"/>
        <v>4.5988438901519786E-6</v>
      </c>
      <c r="E48" s="295">
        <f>M.sd1CA*Molweight</f>
        <v>1344.1323876371282</v>
      </c>
      <c r="F48" s="446">
        <f t="shared" si="16"/>
        <v>6.3135335885163128E-7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466152.84067958221</v>
      </c>
      <c r="D49" s="446">
        <f t="shared" si="15"/>
        <v>1.7880570505479513E-5</v>
      </c>
      <c r="E49" s="295">
        <f>M.sd1CP*Molweight</f>
        <v>200.52191488140812</v>
      </c>
      <c r="F49" s="446">
        <f t="shared" si="16"/>
        <v>9.4187288133344076E-8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96742.260458869423</v>
      </c>
      <c r="D51" s="446">
        <f t="shared" ref="D51:D57" si="18">C51/$C$103</f>
        <v>3.7108146900327237E-6</v>
      </c>
      <c r="E51" s="295">
        <f>SUM(E52,E55:E57)</f>
        <v>77537744.69585894</v>
      </c>
      <c r="F51" s="446">
        <f t="shared" ref="F51:F57" si="19">E51/$E$103</f>
        <v>3.6420308000737429E-2</v>
      </c>
      <c r="G51" s="296">
        <f>SUM(G52,G55:G57)</f>
        <v>424401964.4499507</v>
      </c>
      <c r="H51" s="446">
        <f t="shared" ref="H51:H57" si="20">G51/$G$103</f>
        <v>2.358872324426101E-2</v>
      </c>
      <c r="I51" s="296">
        <f>SUM(I52,I55:I57)</f>
        <v>340323490.68522221</v>
      </c>
      <c r="J51" s="446">
        <f t="shared" ref="J51:J57" si="21">I51/$I$103</f>
        <v>2.9475756581096323E-2</v>
      </c>
      <c r="K51" s="296">
        <f>SUM(K52,K55:K57)</f>
        <v>978206507.83557689</v>
      </c>
      <c r="L51" s="461">
        <f t="shared" ref="L51:L57" si="22">K51/$K$103</f>
        <v>2.2853718285289773E-2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90159.194514649891</v>
      </c>
      <c r="D52" s="446">
        <f t="shared" si="18"/>
        <v>3.4583031434201661E-6</v>
      </c>
      <c r="E52" s="295">
        <f>M.w2CD*Molweight</f>
        <v>77529465.793851078</v>
      </c>
      <c r="F52" s="446">
        <f t="shared" si="19"/>
        <v>3.641641931191604E-2</v>
      </c>
      <c r="G52" s="296">
        <f>M.w2MD*Molweight</f>
        <v>424396413.76486194</v>
      </c>
      <c r="H52" s="446">
        <f t="shared" si="20"/>
        <v>2.3588414731140567E-2</v>
      </c>
      <c r="I52" s="296">
        <f>M.w2AD*Molweight</f>
        <v>340322016.75552702</v>
      </c>
      <c r="J52" s="446">
        <f t="shared" si="21"/>
        <v>2.9475628922576994E-2</v>
      </c>
      <c r="K52" s="296">
        <f>M.w2TD*Molweight</f>
        <v>978203027.29300785</v>
      </c>
      <c r="L52" s="461">
        <f t="shared" si="22"/>
        <v>2.2853636969801975E-2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61115.762065759605</v>
      </c>
      <c r="D53" s="446">
        <f t="shared" si="18"/>
        <v>2.3442626478899185E-6</v>
      </c>
      <c r="E53" s="295">
        <f>FRw.w2C*E52</f>
        <v>52554511.051809944</v>
      </c>
      <c r="F53" s="446">
        <f t="shared" si="19"/>
        <v>2.468541594603926E-2</v>
      </c>
      <c r="G53" s="296">
        <f>FRw.w2M*G52</f>
        <v>287683473.49199569</v>
      </c>
      <c r="H53" s="446">
        <f t="shared" si="20"/>
        <v>1.5989760666978867E-2</v>
      </c>
      <c r="I53" s="296">
        <f>FRw.w2A*I52</f>
        <v>230692382.66531569</v>
      </c>
      <c r="J53" s="446">
        <f t="shared" si="21"/>
        <v>1.9980497093706018E-2</v>
      </c>
      <c r="K53" s="296">
        <f>FRw.w2T*K52</f>
        <v>663089591.58159983</v>
      </c>
      <c r="L53" s="461">
        <f t="shared" si="22"/>
        <v>1.5491680542428906E-2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29043.432448890286</v>
      </c>
      <c r="D54" s="446">
        <f t="shared" si="18"/>
        <v>1.1140404955302474E-6</v>
      </c>
      <c r="E54" s="295">
        <f>(1-FRw.w2C)*E52</f>
        <v>24974954.74204113</v>
      </c>
      <c r="F54" s="446">
        <f t="shared" si="19"/>
        <v>1.1731003365876781E-2</v>
      </c>
      <c r="G54" s="296">
        <f>(1-FRw.w2M)*G52</f>
        <v>136712940.27286625</v>
      </c>
      <c r="H54" s="446">
        <f t="shared" si="20"/>
        <v>7.5986540641617001E-3</v>
      </c>
      <c r="I54" s="296">
        <f>(1-FRw.w2A)*I52</f>
        <v>109629634.09021135</v>
      </c>
      <c r="J54" s="446">
        <f t="shared" si="21"/>
        <v>9.4951318288709775E-3</v>
      </c>
      <c r="K54" s="296">
        <f>(1-FRw.w2T)*K52</f>
        <v>315113435.71140796</v>
      </c>
      <c r="L54" s="461">
        <f t="shared" si="22"/>
        <v>7.3619564273730669E-3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5.2486419509383736E-2</v>
      </c>
      <c r="D55" s="446">
        <f t="shared" si="18"/>
        <v>2.0132605504442176E-12</v>
      </c>
      <c r="E55" s="295">
        <f>M.w2CS*Molweight</f>
        <v>1.1524946452766427</v>
      </c>
      <c r="F55" s="446">
        <f t="shared" si="19"/>
        <v>5.4133906157342322E-10</v>
      </c>
      <c r="G55" s="296">
        <f>M.w2MS*Molweight</f>
        <v>3.4280358210597599E-2</v>
      </c>
      <c r="H55" s="446">
        <f t="shared" si="20"/>
        <v>1.905339631478728E-12</v>
      </c>
      <c r="I55" s="296">
        <f>M.w2AS*Molweight</f>
        <v>3.6113147491108132E-4</v>
      </c>
      <c r="J55" s="446">
        <f t="shared" si="21"/>
        <v>3.1277956825192925E-14</v>
      </c>
      <c r="K55" s="296">
        <f>M.w2TS*Molweight</f>
        <v>7.0398102543726407E-4</v>
      </c>
      <c r="L55" s="461">
        <f t="shared" si="22"/>
        <v>1.6447022080369267E-14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6548.02065270609</v>
      </c>
      <c r="D56" s="446">
        <f t="shared" si="18"/>
        <v>2.511672883540909E-7</v>
      </c>
      <c r="E56" s="295">
        <f>M.w2CA*Molweight</f>
        <v>8256.632744817296</v>
      </c>
      <c r="F56" s="446">
        <f t="shared" si="19"/>
        <v>3.8782287103493737E-6</v>
      </c>
      <c r="G56" s="296">
        <f>M.w2MA*Molweight</f>
        <v>5550.017943490976</v>
      </c>
      <c r="H56" s="446">
        <f t="shared" si="20"/>
        <v>3.0847603978310589E-7</v>
      </c>
      <c r="I56" s="296">
        <f>M.w2AA*Molweight</f>
        <v>1473.9210938082254</v>
      </c>
      <c r="J56" s="446">
        <f t="shared" si="21"/>
        <v>1.2765777435275052E-7</v>
      </c>
      <c r="K56" s="296">
        <f>M.w2TA*Molweight</f>
        <v>3480.5285742973306</v>
      </c>
      <c r="L56" s="461">
        <f t="shared" si="22"/>
        <v>8.131516084154139E-8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34.992805093939126</v>
      </c>
      <c r="D57" s="446">
        <f t="shared" si="18"/>
        <v>1.3422449979163815E-9</v>
      </c>
      <c r="E57" s="295">
        <f>M.w2CP*Molweight</f>
        <v>21.116768403922471</v>
      </c>
      <c r="F57" s="446">
        <f t="shared" si="19"/>
        <v>9.9187719770261912E-9</v>
      </c>
      <c r="G57" s="296">
        <f>M.w2MP*Molweight</f>
        <v>0.63286487556637883</v>
      </c>
      <c r="H57" s="446">
        <f t="shared" si="20"/>
        <v>3.5175318804419652E-11</v>
      </c>
      <c r="I57" s="296">
        <f>M.w2AP*Molweight</f>
        <v>8.2401949206692762E-3</v>
      </c>
      <c r="J57" s="446">
        <f t="shared" si="21"/>
        <v>7.1369149150826068E-13</v>
      </c>
      <c r="K57" s="296">
        <f>M.w2TP*Molweight</f>
        <v>1.3290821543170994E-2</v>
      </c>
      <c r="L57" s="461">
        <f t="shared" si="22"/>
        <v>3.1051182842748527E-13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12732384419.614016</v>
      </c>
      <c r="H59" s="446">
        <f t="shared" ref="H59:H65" si="23">G59/$G$103</f>
        <v>0.70767978820049671</v>
      </c>
      <c r="I59" s="296">
        <f>SUM(I60,I63:I65)</f>
        <v>8378648427.7702866</v>
      </c>
      <c r="J59" s="446">
        <f t="shared" ref="J59:J65" si="24">I59/$I$103</f>
        <v>0.72568308769485235</v>
      </c>
      <c r="K59" s="296">
        <f>SUM(K60,K63:K65)</f>
        <v>31510260591.495991</v>
      </c>
      <c r="L59" s="461">
        <f t="shared" ref="L59:L65" si="25">K59/$K$103</f>
        <v>0.73617034121711356</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12732384302.275961</v>
      </c>
      <c r="H60" s="446">
        <f t="shared" si="23"/>
        <v>0.70767978167871992</v>
      </c>
      <c r="I60" s="296">
        <f>M.w3AD*Molweight</f>
        <v>8378648394.1068068</v>
      </c>
      <c r="J60" s="446">
        <f t="shared" si="24"/>
        <v>0.72568308477922483</v>
      </c>
      <c r="K60" s="296">
        <f>M.w3TD*Molweight</f>
        <v>31510260524.353008</v>
      </c>
      <c r="L60" s="461">
        <f t="shared" si="25"/>
        <v>0.73617033964846024</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8630837639.3188534</v>
      </c>
      <c r="H61" s="446">
        <f t="shared" si="23"/>
        <v>0.47971135266517523</v>
      </c>
      <c r="I61" s="296">
        <f>FRw.w3A*I60</f>
        <v>5679592463.5693703</v>
      </c>
      <c r="J61" s="446">
        <f t="shared" si="24"/>
        <v>0.49191516165671889</v>
      </c>
      <c r="K61" s="296">
        <f>FRw.w3T*K60</f>
        <v>21359702637.134125</v>
      </c>
      <c r="L61" s="461">
        <f t="shared" si="25"/>
        <v>0.49902410464097569</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4101546662.9571071</v>
      </c>
      <c r="H62" s="446">
        <f t="shared" si="23"/>
        <v>0.22796842901354467</v>
      </c>
      <c r="I62" s="296">
        <f>(1-FRw.w3A)*I60</f>
        <v>2699055930.537437</v>
      </c>
      <c r="J62" s="446">
        <f t="shared" si="24"/>
        <v>0.23376792312250602</v>
      </c>
      <c r="K62" s="296">
        <f>(1-FRw.w3T)*K60</f>
        <v>10150557887.218882</v>
      </c>
      <c r="L62" s="461">
        <f t="shared" si="25"/>
        <v>0.23714623500748452</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2.8195670761753037E-6</v>
      </c>
      <c r="H63" s="446">
        <f t="shared" si="23"/>
        <v>1.5671460784761022E-16</v>
      </c>
      <c r="I63" s="296">
        <f>M.w3AS*Molweight</f>
        <v>3.4757800986499921E-8</v>
      </c>
      <c r="J63" s="446">
        <f t="shared" si="24"/>
        <v>3.0104077714690308E-18</v>
      </c>
      <c r="K63" s="296">
        <f>M.w3TS*Molweight</f>
        <v>5.0542242321483482E-8</v>
      </c>
      <c r="L63" s="461">
        <f t="shared" si="25"/>
        <v>1.1808121887042143E-18</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117.30895499927331</v>
      </c>
      <c r="H64" s="446">
        <f t="shared" si="23"/>
        <v>6.5201594369096205E-9</v>
      </c>
      <c r="I64" s="296">
        <f>M.w3AA*Molweight</f>
        <v>33.663086835411313</v>
      </c>
      <c r="J64" s="446">
        <f t="shared" si="24"/>
        <v>2.9155934882163516E-9</v>
      </c>
      <c r="K64" s="296">
        <f>M.w3TA*Molweight</f>
        <v>67.142391236271379</v>
      </c>
      <c r="L64" s="461">
        <f t="shared" si="25"/>
        <v>1.5686394253393942E-9</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2.9098067986914448E-2</v>
      </c>
      <c r="H65" s="446">
        <f t="shared" si="23"/>
        <v>1.6173022987195924E-12</v>
      </c>
      <c r="I65" s="296">
        <f>M.w3AP*Molweight</f>
        <v>3.9285810477844221E-4</v>
      </c>
      <c r="J65" s="446">
        <f t="shared" si="24"/>
        <v>3.402583184617947E-14</v>
      </c>
      <c r="K65" s="296">
        <f>M.w3TP*Molweight</f>
        <v>5.8974246877088927E-4</v>
      </c>
      <c r="L65" s="461">
        <f t="shared" si="25"/>
        <v>1.3778080736738096E-14</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6088.0683598167607</v>
      </c>
      <c r="AI65" s="968" t="s">
        <v>4750</v>
      </c>
      <c r="AJ65" s="968">
        <f>AH35</f>
        <v>224.09794798563408</v>
      </c>
      <c r="AK65" s="968" t="s">
        <v>4750</v>
      </c>
      <c r="AL65" s="968">
        <f>AI35</f>
        <v>4.226789715355598E-6</v>
      </c>
      <c r="AM65" s="968" t="s">
        <v>4750</v>
      </c>
      <c r="AN65" s="969">
        <f>AJ35</f>
        <v>17.580102109050454</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27339.185595279487</v>
      </c>
      <c r="AI66" s="968" t="s">
        <v>4751</v>
      </c>
      <c r="AJ66" s="968">
        <f>AH36</f>
        <v>1193580.0081709779</v>
      </c>
      <c r="AK66" s="968" t="s">
        <v>4751</v>
      </c>
      <c r="AL66" s="968">
        <f>AI36</f>
        <v>119910.11805758931</v>
      </c>
      <c r="AM66" s="968" t="s">
        <v>4751</v>
      </c>
      <c r="AN66" s="969">
        <f>AJ36</f>
        <v>55560.603135818121</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8709656.6345239319</v>
      </c>
      <c r="D67" s="446">
        <f t="shared" ref="D67:D73" si="26">C67/$C$103</f>
        <v>3.3408276415324608E-4</v>
      </c>
      <c r="E67" s="295">
        <f>SUM(E68,E71:E73)</f>
        <v>373889859.8563379</v>
      </c>
      <c r="F67" s="446">
        <f t="shared" ref="F67:F73" si="27">E67/$E$103</f>
        <v>0.17562006617207723</v>
      </c>
      <c r="G67" s="296">
        <f>SUM(G68,G71:G73)</f>
        <v>4093499760.5818887</v>
      </c>
      <c r="H67" s="446">
        <f t="shared" ref="H67:H73" si="28">G67/$G$103</f>
        <v>0.22752117341860739</v>
      </c>
      <c r="I67" s="296">
        <f>SUM(I68,I71:I73)</f>
        <v>2693760601.303658</v>
      </c>
      <c r="J67" s="446">
        <f t="shared" ref="J67:J73" si="29">I67/$I$103</f>
        <v>0.23330928938200998</v>
      </c>
      <c r="K67" s="296">
        <f>SUM(K68,K71:K73)</f>
        <v>10130643314.27298</v>
      </c>
      <c r="L67" s="461">
        <f t="shared" ref="L67:L73" si="30">K67/$K$103</f>
        <v>0.23668097329001292</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21.911276833047804</v>
      </c>
      <c r="AI67" s="970" t="s">
        <v>4752</v>
      </c>
      <c r="AJ67" s="970">
        <f>AH37</f>
        <v>7716.6627415450002</v>
      </c>
      <c r="AK67" s="970" t="s">
        <v>4752</v>
      </c>
      <c r="AL67" s="970">
        <f>AI37</f>
        <v>466176.0440785762</v>
      </c>
      <c r="AM67" s="970" t="s">
        <v>4752</v>
      </c>
      <c r="AN67" s="971">
        <f>AJ37</f>
        <v>16495.388903676052</v>
      </c>
      <c r="AO67" s="11"/>
      <c r="AP67" s="11"/>
      <c r="AQ67" s="979"/>
      <c r="AR67" s="980" t="s">
        <v>4750</v>
      </c>
      <c r="AS67" s="968">
        <f>AG43</f>
        <v>39.456503082230249</v>
      </c>
      <c r="AT67" s="980" t="s">
        <v>4750</v>
      </c>
      <c r="AU67" s="968">
        <f>AH43</f>
        <v>3.5348375578065423E-2</v>
      </c>
      <c r="AV67" s="980" t="s">
        <v>4750</v>
      </c>
      <c r="AW67" s="968">
        <f>AI43</f>
        <v>3.6865647760774898E-17</v>
      </c>
      <c r="AX67" s="980" t="s">
        <v>4750</v>
      </c>
      <c r="AY67" s="969">
        <f>AJ43</f>
        <v>2.6971931226574589E-3</v>
      </c>
    </row>
    <row r="68" spans="1:51" ht="12.75" customHeight="1" x14ac:dyDescent="0.3">
      <c r="A68" s="17"/>
      <c r="B68" s="443" t="s">
        <v>140</v>
      </c>
      <c r="C68" s="295">
        <f>M.sd2RD*Molweight</f>
        <v>8709645.199597206</v>
      </c>
      <c r="D68" s="446">
        <f t="shared" si="26"/>
        <v>3.3408232553527428E-4</v>
      </c>
      <c r="E68" s="295">
        <f>M.sd2CD*Molweight</f>
        <v>373889859.42187738</v>
      </c>
      <c r="F68" s="446">
        <f t="shared" si="27"/>
        <v>0.1756200659680065</v>
      </c>
      <c r="G68" s="296">
        <f>M.sdMD*Molweight</f>
        <v>4093499760.5817018</v>
      </c>
      <c r="H68" s="446">
        <f t="shared" si="28"/>
        <v>0.22752117341859698</v>
      </c>
      <c r="I68" s="296">
        <f>M.sdAD*Molweight</f>
        <v>2693760601.3036108</v>
      </c>
      <c r="J68" s="446">
        <f t="shared" si="29"/>
        <v>0.23330928938200587</v>
      </c>
      <c r="K68" s="296">
        <f>M.sdTD*Molweight</f>
        <v>10130643314.272886</v>
      </c>
      <c r="L68" s="461">
        <f t="shared" si="30"/>
        <v>0.23668097329001073</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164520.84815807512</v>
      </c>
      <c r="AT68" s="980" t="s">
        <v>4751</v>
      </c>
      <c r="AU68" s="968">
        <f>AH44</f>
        <v>10722.582044667488</v>
      </c>
      <c r="AV68" s="980" t="s">
        <v>4751</v>
      </c>
      <c r="AW68" s="968">
        <f>AI44</f>
        <v>3.0206934006120399E-4</v>
      </c>
      <c r="AX68" s="980" t="s">
        <v>4751</v>
      </c>
      <c r="AY68" s="969">
        <f>AJ44</f>
        <v>6404.7458565404158</v>
      </c>
    </row>
    <row r="69" spans="1:51" ht="12.75" customHeight="1" x14ac:dyDescent="0.3">
      <c r="A69" s="17"/>
      <c r="B69" s="159" t="s">
        <v>178</v>
      </c>
      <c r="C69" s="295">
        <f>C68*FRACw.sdR</f>
        <v>6967716.1596777653</v>
      </c>
      <c r="D69" s="446">
        <f t="shared" si="26"/>
        <v>2.6726586042821943E-4</v>
      </c>
      <c r="E69" s="295">
        <f>E68*FRACw.sdC</f>
        <v>299111887.53750193</v>
      </c>
      <c r="F69" s="446">
        <f t="shared" si="27"/>
        <v>0.14049605277440522</v>
      </c>
      <c r="G69" s="296">
        <f>FRACw.sdM*G68</f>
        <v>3274799808.4653616</v>
      </c>
      <c r="H69" s="446">
        <f t="shared" si="28"/>
        <v>0.18201693873487759</v>
      </c>
      <c r="I69" s="296">
        <f>FRACw.sdA*I68</f>
        <v>2155008481.0428886</v>
      </c>
      <c r="J69" s="446">
        <f t="shared" si="29"/>
        <v>0.1866474315056047</v>
      </c>
      <c r="K69" s="296">
        <f>FRACw.sdT*K68</f>
        <v>8104514651.4183092</v>
      </c>
      <c r="L69" s="461">
        <f t="shared" si="30"/>
        <v>0.18934477863200858</v>
      </c>
      <c r="M69" s="166"/>
      <c r="N69" s="156"/>
      <c r="O69" s="11"/>
      <c r="P69" s="979" t="s">
        <v>136</v>
      </c>
      <c r="Q69" s="968">
        <f>Q4</f>
        <v>33449.165231929292</v>
      </c>
      <c r="R69" s="979" t="s">
        <v>136</v>
      </c>
      <c r="S69" s="980">
        <f>R4</f>
        <v>123511.05782322364</v>
      </c>
      <c r="T69" s="979" t="s">
        <v>136</v>
      </c>
      <c r="U69" s="968">
        <f>S4</f>
        <v>164560.60748389747</v>
      </c>
      <c r="V69" s="11"/>
      <c r="W69" s="979" t="s">
        <v>243</v>
      </c>
      <c r="X69" s="968">
        <f>Q16</f>
        <v>6329.7464141382361</v>
      </c>
      <c r="Y69" s="979" t="s">
        <v>243</v>
      </c>
      <c r="Z69" s="968">
        <f>R16</f>
        <v>1258.3029356171305</v>
      </c>
      <c r="AA69" s="979" t="s">
        <v>243</v>
      </c>
      <c r="AB69" s="968">
        <f>S16</f>
        <v>39.494548650930966</v>
      </c>
      <c r="AC69" s="11"/>
      <c r="AD69" s="11"/>
      <c r="AE69" s="11"/>
      <c r="AF69" s="11"/>
      <c r="AG69" s="11"/>
      <c r="AH69" s="11"/>
      <c r="AI69" s="11"/>
      <c r="AJ69" s="11"/>
      <c r="AK69" s="11"/>
      <c r="AL69" s="11"/>
      <c r="AM69" s="11"/>
      <c r="AN69" s="11"/>
      <c r="AO69" s="11"/>
      <c r="AP69" s="11"/>
      <c r="AQ69" s="981"/>
      <c r="AR69" s="982" t="s">
        <v>4752</v>
      </c>
      <c r="AS69" s="970">
        <f>AG45</f>
        <v>0.30282274004838527</v>
      </c>
      <c r="AT69" s="982" t="s">
        <v>4752</v>
      </c>
      <c r="AU69" s="970">
        <f>AH45</f>
        <v>0.68447656059068296</v>
      </c>
      <c r="AV69" s="982" t="s">
        <v>4752</v>
      </c>
      <c r="AW69" s="970">
        <f>AI45</f>
        <v>2.4970359009408397E-5</v>
      </c>
      <c r="AX69" s="982" t="s">
        <v>4752</v>
      </c>
      <c r="AY69" s="971">
        <f>AJ45</f>
        <v>5.1284678920238829</v>
      </c>
    </row>
    <row r="70" spans="1:51" ht="12.75" customHeight="1" x14ac:dyDescent="0.3">
      <c r="A70" s="17"/>
      <c r="B70" s="159" t="s">
        <v>179</v>
      </c>
      <c r="C70" s="295">
        <f>C68*FRACs.sdR</f>
        <v>1741929.0399194409</v>
      </c>
      <c r="D70" s="446">
        <f t="shared" si="26"/>
        <v>6.6816465107054831E-5</v>
      </c>
      <c r="E70" s="295">
        <f>E68*FRACs.sdC</f>
        <v>74777971.884375453</v>
      </c>
      <c r="F70" s="446">
        <f t="shared" si="27"/>
        <v>3.5124013193601283E-2</v>
      </c>
      <c r="G70" s="296">
        <f>(1-FRACw.sdM)*G68</f>
        <v>818699952.11634016</v>
      </c>
      <c r="H70" s="446">
        <f t="shared" si="28"/>
        <v>4.5504234683719384E-2</v>
      </c>
      <c r="I70" s="296">
        <f>(1-FRACw.sdA)*I68</f>
        <v>538752120.26072204</v>
      </c>
      <c r="J70" s="446">
        <f t="shared" si="29"/>
        <v>4.6661857876401168E-2</v>
      </c>
      <c r="K70" s="296">
        <f>(1-FRACw.sdT)*K68</f>
        <v>2026128662.8545768</v>
      </c>
      <c r="L70" s="461">
        <f t="shared" si="30"/>
        <v>4.7336194658002137E-2</v>
      </c>
      <c r="M70" s="166"/>
      <c r="N70" s="156"/>
      <c r="O70" s="11"/>
      <c r="P70" s="979" t="s">
        <v>4744</v>
      </c>
      <c r="Q70" s="968">
        <f>Q5</f>
        <v>4038287.6575477463</v>
      </c>
      <c r="R70" s="979" t="s">
        <v>4744</v>
      </c>
      <c r="S70" s="968">
        <f>R5</f>
        <v>77760121.070807129</v>
      </c>
      <c r="T70" s="979" t="s">
        <v>4744</v>
      </c>
      <c r="U70" s="968">
        <f>S5</f>
        <v>54364225401.851044</v>
      </c>
      <c r="V70" s="11"/>
      <c r="W70" s="979" t="s">
        <v>244</v>
      </c>
      <c r="X70" s="968">
        <f>Q17</f>
        <v>1396389.9149596652</v>
      </c>
      <c r="Y70" s="979" t="s">
        <v>244</v>
      </c>
      <c r="Z70" s="968">
        <f>R17</f>
        <v>152658.40922454026</v>
      </c>
      <c r="AA70" s="979" t="s">
        <v>244</v>
      </c>
      <c r="AB70" s="968">
        <f>S17</f>
        <v>181648.17636135238</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1.9979443628033858E-10</v>
      </c>
      <c r="D71" s="446">
        <f t="shared" si="26"/>
        <v>7.6636634870765529E-21</v>
      </c>
      <c r="E71" s="295">
        <f>M.sd2CS*Molweight</f>
        <v>2.1935390156303981E-10</v>
      </c>
      <c r="F71" s="446">
        <f t="shared" si="27"/>
        <v>1.0303287369816953E-19</v>
      </c>
      <c r="G71" s="296">
        <f>M.sdMS*Molweight</f>
        <v>3.5776480837316524E-17</v>
      </c>
      <c r="H71" s="446">
        <f t="shared" si="28"/>
        <v>1.9884957559488153E-27</v>
      </c>
      <c r="I71" s="296">
        <f>M.sdAS*Molweight</f>
        <v>4.7060270387092825E-19</v>
      </c>
      <c r="J71" s="446">
        <f t="shared" si="29"/>
        <v>4.0759369027909334E-29</v>
      </c>
      <c r="K71" s="296">
        <f>M.sdTS*Molweight</f>
        <v>6.1856421958744703E-19</v>
      </c>
      <c r="L71" s="461">
        <f t="shared" si="30"/>
        <v>1.4451439754874118E-29</v>
      </c>
      <c r="M71" s="166"/>
      <c r="N71" s="156"/>
      <c r="O71" s="11"/>
      <c r="P71" s="979" t="s">
        <v>4745</v>
      </c>
      <c r="Q71" s="968">
        <f>Q6</f>
        <v>189888074.13003775</v>
      </c>
      <c r="R71" s="979" t="s">
        <v>4745</v>
      </c>
      <c r="S71" s="968">
        <f>R6</f>
        <v>383239805.02042973</v>
      </c>
      <c r="T71" s="979" t="s">
        <v>4745</v>
      </c>
      <c r="U71" s="968">
        <f>S6</f>
        <v>16917903676.158527</v>
      </c>
      <c r="V71" s="11"/>
      <c r="W71" s="981" t="s">
        <v>246</v>
      </c>
      <c r="X71" s="970">
        <f>Q18</f>
        <v>490410.00700063031</v>
      </c>
      <c r="Y71" s="981" t="s">
        <v>246</v>
      </c>
      <c r="Z71" s="970">
        <f>R18</f>
        <v>383.79207526331908</v>
      </c>
      <c r="AA71" s="981" t="s">
        <v>246</v>
      </c>
      <c r="AB71" s="970">
        <f>S18</f>
        <v>6.1157921630219603</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2.7205301529180108</v>
      </c>
      <c r="D72" s="446">
        <f t="shared" si="26"/>
        <v>1.0435339435155375E-10</v>
      </c>
      <c r="E72" s="295">
        <f>M.sd2CA*Molweight</f>
        <v>0.17152077808468669</v>
      </c>
      <c r="F72" s="446">
        <f t="shared" si="27"/>
        <v>8.0565143993723199E-11</v>
      </c>
      <c r="G72" s="296">
        <f>M.sdMA*Molweight</f>
        <v>1.6246259975416952E-4</v>
      </c>
      <c r="H72" s="446">
        <f t="shared" si="28"/>
        <v>9.0298481726188834E-15</v>
      </c>
      <c r="I72" s="296">
        <f>M.sdAA*Molweight</f>
        <v>4.6620418726650322E-5</v>
      </c>
      <c r="J72" s="446">
        <f t="shared" si="29"/>
        <v>4.0378409122705902E-15</v>
      </c>
      <c r="K72" s="296">
        <f>M.sdTA*Molweight</f>
        <v>9.2986321580384155E-5</v>
      </c>
      <c r="L72" s="461">
        <f t="shared" si="30"/>
        <v>2.1724279901648925E-15</v>
      </c>
      <c r="M72" s="166"/>
      <c r="N72" s="156"/>
      <c r="O72" s="11"/>
      <c r="P72" s="981" t="s">
        <v>4746</v>
      </c>
      <c r="Q72" s="970">
        <f>Q7</f>
        <v>25876396307.535088</v>
      </c>
      <c r="R72" s="981" t="s">
        <v>4746</v>
      </c>
      <c r="S72" s="970">
        <f>R7</f>
        <v>1667846606.0007393</v>
      </c>
      <c r="T72" s="981" t="s">
        <v>4746</v>
      </c>
      <c r="U72" s="970">
        <f>S7</f>
        <v>1058263124.8776823</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8.7143965740642884</v>
      </c>
      <c r="D73" s="446">
        <f t="shared" si="26"/>
        <v>3.3426457753235048E-10</v>
      </c>
      <c r="E73" s="295">
        <f>M.sd2CP*Molweight</f>
        <v>0.26293975323568802</v>
      </c>
      <c r="F73" s="446">
        <f t="shared" si="27"/>
        <v>1.2350561440811544E-10</v>
      </c>
      <c r="G73" s="296">
        <f>M.sdMP*Molweight</f>
        <v>2.4154689302710471E-5</v>
      </c>
      <c r="H73" s="446">
        <f t="shared" si="28"/>
        <v>1.3425439294354223E-15</v>
      </c>
      <c r="I73" s="296">
        <f>M.sdAP*Molweight</f>
        <v>3.2611668460429771E-7</v>
      </c>
      <c r="J73" s="446">
        <f t="shared" si="29"/>
        <v>2.8245290952664304E-17</v>
      </c>
      <c r="K73" s="296">
        <f>M.sdTP*Molweight</f>
        <v>4.8955302209362762E-7</v>
      </c>
      <c r="L73" s="461">
        <f t="shared" si="30"/>
        <v>1.1437367021198119E-17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351243412.65530843</v>
      </c>
      <c r="D75" s="446">
        <f t="shared" ref="D75:D81" si="31">C75/$C$103</f>
        <v>1.3472904284810388E-2</v>
      </c>
      <c r="E75" s="295">
        <f>SUM(E76,E79:E81)</f>
        <v>263550922.2496022</v>
      </c>
      <c r="F75" s="446">
        <f t="shared" ref="F75:F81" si="32">E75/$C$103</f>
        <v>1.0109218341774162E-2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351241309.61372006</v>
      </c>
      <c r="D76" s="446">
        <f t="shared" si="31"/>
        <v>1.3472823616883229E-2</v>
      </c>
      <c r="E76" s="295">
        <f>M.s1C*Molweight</f>
        <v>263549344.25972342</v>
      </c>
      <c r="F76" s="446">
        <f t="shared" si="32"/>
        <v>1.010915781364514E-2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2464.8339984541867</v>
      </c>
      <c r="D77" s="446">
        <f t="shared" si="31"/>
        <v>9.4545467167832012E-8</v>
      </c>
      <c r="E77" s="295">
        <f>E76*FRw.s1C</f>
        <v>1849.4561038850493</v>
      </c>
      <c r="F77" s="446">
        <f t="shared" si="32"/>
        <v>7.0940960510067571E-8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351238844.77972156</v>
      </c>
      <c r="D78" s="446">
        <f t="shared" si="31"/>
        <v>1.347272907141606E-2</v>
      </c>
      <c r="E78" s="295">
        <f>E76*FRs.s1C</f>
        <v>263547494.8036195</v>
      </c>
      <c r="F78" s="446">
        <f t="shared" si="32"/>
        <v>1.0109086872684629E-2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0.22541149436692251</v>
      </c>
      <c r="D79" s="446">
        <f t="shared" si="31"/>
        <v>8.6462759980125834E-12</v>
      </c>
      <c r="E79" s="295">
        <f>M.s1CS*Molweight</f>
        <v>2.2632026612081625E-2</v>
      </c>
      <c r="F79" s="446">
        <f t="shared" si="32"/>
        <v>8.6811344307000179E-13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1724.6835969011324</v>
      </c>
      <c r="D80" s="446">
        <f t="shared" si="31"/>
        <v>6.615496884900876E-8</v>
      </c>
      <c r="E80" s="295">
        <f>M.s1CA*Molweight</f>
        <v>1536.8381215194834</v>
      </c>
      <c r="F80" s="446">
        <f t="shared" si="32"/>
        <v>5.894964052407508E-8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378.13258001030425</v>
      </c>
      <c r="D81" s="446">
        <f t="shared" si="31"/>
        <v>1.4504312035160497E-8</v>
      </c>
      <c r="E81" s="295">
        <f>M.s1CP*Molweight</f>
        <v>41.129125220791785</v>
      </c>
      <c r="F81" s="446">
        <f t="shared" si="32"/>
        <v>1.5776203836212611E-9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25395062815.543278</v>
      </c>
      <c r="D83" s="446">
        <f t="shared" ref="D83:D89" si="33">C83/$C$103</f>
        <v>0.97409727355178921</v>
      </c>
      <c r="E83" s="295">
        <f>SUM(E84,E87:E89)</f>
        <v>1306684238.4456108</v>
      </c>
      <c r="F83" s="446">
        <f t="shared" ref="F83:F89" si="34">E83/$C$103</f>
        <v>5.0121457202457233E-2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25394993623.916576</v>
      </c>
      <c r="D84" s="446">
        <f t="shared" si="33"/>
        <v>0.97409461951720733</v>
      </c>
      <c r="E84" s="295">
        <f>M.s2C*Molweight</f>
        <v>1306680678.2414601</v>
      </c>
      <c r="F84" s="446">
        <f t="shared" si="34"/>
        <v>5.0121320641064115E-2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178209.23098024979</v>
      </c>
      <c r="D85" s="446">
        <f t="shared" si="33"/>
        <v>6.8357037460593773E-6</v>
      </c>
      <c r="E85" s="295">
        <f>E84*FRw.s2C</f>
        <v>9169.6246218725482</v>
      </c>
      <c r="F85" s="446">
        <f t="shared" si="34"/>
        <v>3.5172609764888745E-7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25394815414.685593</v>
      </c>
      <c r="D86" s="446">
        <f t="shared" si="33"/>
        <v>0.97408778381346117</v>
      </c>
      <c r="E86" s="295">
        <f>E84*FRs.s2C</f>
        <v>1306671508.616838</v>
      </c>
      <c r="F86" s="446">
        <f t="shared" si="34"/>
        <v>5.0120968914966459E-2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17.206290230674188</v>
      </c>
      <c r="D87" s="446">
        <f t="shared" si="33"/>
        <v>6.5999444551017363E-10</v>
      </c>
      <c r="E87" s="295">
        <f>M.s2CS*Molweight</f>
        <v>8.046192567390216E-2</v>
      </c>
      <c r="F87" s="446">
        <f t="shared" si="34"/>
        <v>3.086337804831221E-12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53197.197656122196</v>
      </c>
      <c r="D88" s="446">
        <f t="shared" si="33"/>
        <v>2.0405243953839654E-6</v>
      </c>
      <c r="E88" s="295">
        <f>M.s2CA*Molweight</f>
        <v>3468.7323078948743</v>
      </c>
      <c r="F88" s="446">
        <f t="shared" si="34"/>
        <v>1.3305273975275725E-7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15977.222754910512</v>
      </c>
      <c r="D89" s="446">
        <f t="shared" si="33"/>
        <v>6.1285019208388161E-7</v>
      </c>
      <c r="E89" s="295">
        <f>M.s2CP*Molweight</f>
        <v>91.391380870353032</v>
      </c>
      <c r="F89" s="446">
        <f t="shared" si="34"/>
        <v>3.505567030039242E-9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1256.9291759152384</v>
      </c>
      <c r="AI90" s="980" t="s">
        <v>4750</v>
      </c>
      <c r="AJ90" s="968">
        <f>AH39</f>
        <v>1.255765880124295</v>
      </c>
      <c r="AK90" s="980" t="s">
        <v>4750</v>
      </c>
      <c r="AL90" s="968">
        <f>AI39</f>
        <v>1.7996319787907402E-9</v>
      </c>
      <c r="AM90" s="980" t="s">
        <v>4750</v>
      </c>
      <c r="AN90" s="969">
        <f>AJ39</f>
        <v>0.11799381996830996</v>
      </c>
    </row>
    <row r="91" spans="1:40" ht="12.75" customHeight="1" x14ac:dyDescent="0.3">
      <c r="A91" s="17"/>
      <c r="B91" s="104" t="s">
        <v>241</v>
      </c>
      <c r="C91" s="295">
        <f>SUM(C92,C95:C97)</f>
        <v>130090079.33650392</v>
      </c>
      <c r="D91" s="446">
        <f t="shared" ref="D91:D97" si="35">C91/$C$103</f>
        <v>4.9899617306819206E-3</v>
      </c>
      <c r="E91" s="295">
        <f>SUM(E92,E95:E97)</f>
        <v>97611445.305526406</v>
      </c>
      <c r="F91" s="446">
        <f t="shared" ref="F91:F97" si="36">E91/$C$103</f>
        <v>3.74415465833644E-3</v>
      </c>
      <c r="G91" s="296">
        <f>SUM(G92,G95:G97)</f>
        <v>741346025.38011312</v>
      </c>
      <c r="H91" s="446">
        <f t="shared" ref="H91:H97" si="37">G91/$G$103</f>
        <v>4.1204819218000246E-2</v>
      </c>
      <c r="I91" s="296">
        <f>SUM(I92,I95:I97)</f>
        <v>133121765.8989062</v>
      </c>
      <c r="J91" s="446">
        <f t="shared" ref="J91:J97" si="38">I91/$I$103</f>
        <v>1.1529808769242957E-2</v>
      </c>
      <c r="K91" s="296">
        <f>SUM(K92,K95:K97)</f>
        <v>183795333.59866294</v>
      </c>
      <c r="L91" s="461">
        <f t="shared" ref="L91:L97" si="39">K91/$K$103</f>
        <v>4.2939877649236903E-3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122246.46197401312</v>
      </c>
      <c r="AI91" s="980" t="s">
        <v>4751</v>
      </c>
      <c r="AJ91" s="968">
        <f>AH40</f>
        <v>23485.733463378892</v>
      </c>
      <c r="AK91" s="980" t="s">
        <v>4751</v>
      </c>
      <c r="AL91" s="968">
        <f>AI40</f>
        <v>1351.4490555289017</v>
      </c>
      <c r="AM91" s="980" t="s">
        <v>4751</v>
      </c>
      <c r="AN91" s="969">
        <f>AJ40</f>
        <v>5574.7647316193197</v>
      </c>
    </row>
    <row r="92" spans="1:40" ht="12.75" customHeight="1" x14ac:dyDescent="0.3">
      <c r="A92" s="17"/>
      <c r="B92" s="443" t="s">
        <v>140</v>
      </c>
      <c r="C92" s="295">
        <f>M.s3R*Molweight</f>
        <v>130089300.432652</v>
      </c>
      <c r="D92" s="446">
        <f t="shared" si="35"/>
        <v>4.9899318536887416E-3</v>
      </c>
      <c r="E92" s="295">
        <f>M.s3C*Molweight</f>
        <v>97610860.86487475</v>
      </c>
      <c r="F92" s="446">
        <f t="shared" si="36"/>
        <v>3.7441322405125715E-3</v>
      </c>
      <c r="G92" s="296">
        <f>M.sMD*Molweight</f>
        <v>741341586.63061178</v>
      </c>
      <c r="H92" s="446">
        <f t="shared" si="37"/>
        <v>4.1204572507470352E-2</v>
      </c>
      <c r="I92" s="296">
        <f>M.sAD*Molweight</f>
        <v>133121056.38553508</v>
      </c>
      <c r="J92" s="446">
        <f t="shared" si="38"/>
        <v>1.1529747317583019E-2</v>
      </c>
      <c r="K92" s="296">
        <f>M.sTD*Molweight</f>
        <v>183794071.98451376</v>
      </c>
      <c r="L92" s="461">
        <f t="shared" si="39"/>
        <v>4.2939582899875501E-3</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7.6666732952935464</v>
      </c>
      <c r="AI92" s="982" t="s">
        <v>4752</v>
      </c>
      <c r="AJ92" s="970">
        <f>AH41</f>
        <v>25.415053405989827</v>
      </c>
      <c r="AK92" s="982" t="s">
        <v>4752</v>
      </c>
      <c r="AL92" s="970">
        <f>AI41</f>
        <v>202.95839288817584</v>
      </c>
      <c r="AM92" s="982" t="s">
        <v>4752</v>
      </c>
      <c r="AN92" s="971">
        <f>AJ41</f>
        <v>147.7519556738599</v>
      </c>
    </row>
    <row r="93" spans="1:40" ht="12.75" customHeight="1" x14ac:dyDescent="0.3">
      <c r="A93" s="17"/>
      <c r="B93" s="159" t="s">
        <v>239</v>
      </c>
      <c r="C93" s="295">
        <f>C92*FRwD.s3R</f>
        <v>912.90096513464459</v>
      </c>
      <c r="D93" s="446">
        <f t="shared" si="35"/>
        <v>3.5016819907851462E-8</v>
      </c>
      <c r="E93" s="295">
        <f>E92*FRw.s3C</f>
        <v>684.9836903942761</v>
      </c>
      <c r="F93" s="446">
        <f t="shared" si="36"/>
        <v>2.6274427832173605E-8</v>
      </c>
      <c r="G93" s="296">
        <f>FRw.sM*G92</f>
        <v>5202.3605913685642</v>
      </c>
      <c r="H93" s="446">
        <f t="shared" si="37"/>
        <v>2.891528656463488E-7</v>
      </c>
      <c r="I93" s="296">
        <f>FRw.sA*I92</f>
        <v>934.17629620518505</v>
      </c>
      <c r="J93" s="446">
        <f t="shared" si="38"/>
        <v>8.0909939702760107E-8</v>
      </c>
      <c r="K93" s="296">
        <f>FRw.sT*K92</f>
        <v>1289.7739102498492</v>
      </c>
      <c r="L93" s="461">
        <f t="shared" si="39"/>
        <v>3.0132829173041245E-8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130088387.53168684</v>
      </c>
      <c r="D94" s="446">
        <f t="shared" si="35"/>
        <v>4.9898968368688335E-3</v>
      </c>
      <c r="E94" s="295">
        <f>E92*FRs.s3C</f>
        <v>97610175.88118434</v>
      </c>
      <c r="F94" s="446">
        <f t="shared" si="36"/>
        <v>3.7441059660847384E-3</v>
      </c>
      <c r="G94" s="296">
        <f>(1-FRw.sM)*G92</f>
        <v>741336384.27002037</v>
      </c>
      <c r="H94" s="446">
        <f t="shared" si="37"/>
        <v>4.1204283354604708E-2</v>
      </c>
      <c r="I94" s="296">
        <f>(1-FRw.sA)*I92</f>
        <v>133120122.20923887</v>
      </c>
      <c r="J94" s="446">
        <f t="shared" si="38"/>
        <v>1.1529666407643316E-2</v>
      </c>
      <c r="K94" s="296">
        <f>(1-FRw.sT)*K92</f>
        <v>183792782.21060351</v>
      </c>
      <c r="L94" s="461">
        <f t="shared" si="39"/>
        <v>4.2939281571583773E-3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0.14840038400934188</v>
      </c>
      <c r="D95" s="446">
        <f t="shared" si="35"/>
        <v>5.6923036775897009E-12</v>
      </c>
      <c r="E95" s="295">
        <f>M.s3CS*Molweight</f>
        <v>1.4899867682326177E-2</v>
      </c>
      <c r="F95" s="446">
        <f t="shared" si="36"/>
        <v>5.7152528391278364E-13</v>
      </c>
      <c r="G95" s="296">
        <f>M.sMS*Molweight</f>
        <v>2.6553665155046027E-3</v>
      </c>
      <c r="H95" s="446">
        <f t="shared" si="37"/>
        <v>1.475881619150763E-13</v>
      </c>
      <c r="I95" s="296">
        <f>M.sAS*Molweight</f>
        <v>1.7850272910450857E-5</v>
      </c>
      <c r="J95" s="446">
        <f t="shared" si="38"/>
        <v>1.5460299204007729E-15</v>
      </c>
      <c r="K95" s="296">
        <f>M.sTS*Molweight</f>
        <v>2.3976334242405335E-5</v>
      </c>
      <c r="L95" s="461">
        <f t="shared" si="39"/>
        <v>5.6015614688793369E-16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638.72188279479803</v>
      </c>
      <c r="D96" s="446">
        <f t="shared" si="35"/>
        <v>2.4499929340890191E-8</v>
      </c>
      <c r="E96" s="295">
        <f>M.s3CA*Molweight</f>
        <v>569.19430220496133</v>
      </c>
      <c r="F96" s="446">
        <f t="shared" si="36"/>
        <v>2.1833008326315678E-8</v>
      </c>
      <c r="G96" s="296">
        <f>M.sMA*Molweight</f>
        <v>4433.6994165768547</v>
      </c>
      <c r="H96" s="446">
        <f t="shared" si="37"/>
        <v>2.4642984068516624E-7</v>
      </c>
      <c r="I96" s="296">
        <f>M.sAA*Molweight</f>
        <v>709.48008724926876</v>
      </c>
      <c r="J96" s="446">
        <f t="shared" si="38"/>
        <v>6.1448777187811393E-8</v>
      </c>
      <c r="K96" s="296">
        <f>M.sTA*Molweight</f>
        <v>1261.5663527142929</v>
      </c>
      <c r="L96" s="461">
        <f t="shared" si="39"/>
        <v>2.9473819476959705E-8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140.03356875523556</v>
      </c>
      <c r="D97" s="446">
        <f t="shared" si="35"/>
        <v>5.3713715347344313E-9</v>
      </c>
      <c r="E97" s="295">
        <f>M.s3CP*Molweight</f>
        <v>15.231449582715063</v>
      </c>
      <c r="F97" s="446">
        <f t="shared" si="36"/>
        <v>5.8424401697810383E-10</v>
      </c>
      <c r="G97" s="296">
        <f>M.sMP*Molweight</f>
        <v>5.0474293995114969</v>
      </c>
      <c r="H97" s="446">
        <f t="shared" si="37"/>
        <v>2.8054162132433805E-10</v>
      </c>
      <c r="I97" s="296">
        <f>M.sAP*Molweight</f>
        <v>3.3266018955296101E-2</v>
      </c>
      <c r="J97" s="446">
        <f t="shared" si="38"/>
        <v>2.8812030435341966E-12</v>
      </c>
      <c r="K97" s="296">
        <f>M.sTP*Molweight</f>
        <v>4.7772473557089433E-2</v>
      </c>
      <c r="L97" s="461">
        <f t="shared" si="39"/>
        <v>1.1161024218504689E-12</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26068462988.819534</v>
      </c>
      <c r="D99" s="446">
        <f>C99/$C$103</f>
        <v>0.99992738382016078</v>
      </c>
      <c r="E99" s="124">
        <f>SUM(E12,E20,E28,E36,E44,E52,E68,E76,E84,E92)</f>
        <v>2128815742.6455641</v>
      </c>
      <c r="F99" s="446">
        <f>E99/$E$103</f>
        <v>0.99992752340281543</v>
      </c>
      <c r="G99" s="124">
        <f>SUM(G12,G52,G60,G68,G92)</f>
        <v>17991622063.253136</v>
      </c>
      <c r="H99" s="446">
        <f>G99/$G$103</f>
        <v>0.99999394233592775</v>
      </c>
      <c r="I99" s="124">
        <f>SUM(I12,I52,I60,I68,I92)</f>
        <v>11545852068.551477</v>
      </c>
      <c r="J99" s="446">
        <f>I99/$I$103</f>
        <v>0.99999775040139061</v>
      </c>
      <c r="K99" s="124">
        <f>SUM(K12,K52,K60,K68,K92)</f>
        <v>42802900937.903412</v>
      </c>
      <c r="L99" s="461">
        <f>K99/$K$103</f>
        <v>0.99999890819826043</v>
      </c>
      <c r="M99" s="166"/>
      <c r="N99" s="156"/>
    </row>
    <row r="100" spans="1:14" ht="12.75" customHeight="1" x14ac:dyDescent="0.3">
      <c r="A100" s="304"/>
      <c r="B100" s="455" t="s">
        <v>243</v>
      </c>
      <c r="C100" s="459">
        <f>SUM(C15,C23,C31,C39,C47,C55,C71,C79,C87,C95)</f>
        <v>6329.7464141382361</v>
      </c>
      <c r="D100" s="446">
        <f>C100/$C$103</f>
        <v>2.4279478137429311E-7</v>
      </c>
      <c r="E100" s="459">
        <f>SUM(E15,E23,E31,E39,E47,E55,E71,E79,E87,E95)</f>
        <v>1258.3029356171305</v>
      </c>
      <c r="F100" s="446">
        <f>E100/$E$103</f>
        <v>5.9103834723549159E-7</v>
      </c>
      <c r="G100" s="459">
        <f>SUM(G15,G55,G71,G63,G95)</f>
        <v>38.595941045063135</v>
      </c>
      <c r="H100" s="446">
        <f>G100/$G$103</f>
        <v>2.1452044239328077E-9</v>
      </c>
      <c r="I100" s="459">
        <f>SUM(I15,I55,I71,I63,I95)</f>
        <v>0.34151502563731528</v>
      </c>
      <c r="J100" s="446">
        <f>I100/$I$103</f>
        <v>2.9578956610383309E-11</v>
      </c>
      <c r="K100" s="459">
        <f>SUM(K15,K55,K71,K63,K95)</f>
        <v>0.557092580230518</v>
      </c>
      <c r="L100" s="461">
        <f>K100/$K$103</f>
        <v>1.3015285407969769E-11</v>
      </c>
      <c r="M100" s="166"/>
      <c r="N100" s="156"/>
    </row>
    <row r="101" spans="1:14" ht="12.75" customHeight="1" x14ac:dyDescent="0.3">
      <c r="A101" s="304"/>
      <c r="B101" s="456" t="s">
        <v>244</v>
      </c>
      <c r="C101" s="459">
        <f>SUM(C16,C24,C32,C40,C48,C56,C72,C80,C88,C96)</f>
        <v>1396389.9149596652</v>
      </c>
      <c r="D101" s="446">
        <f>C101/$C$103</f>
        <v>5.3562364419311066E-5</v>
      </c>
      <c r="E101" s="459">
        <f>SUM(E16,E24,E32,E40,E48,E56,E72,E80,E88,E96)</f>
        <v>152658.40922454026</v>
      </c>
      <c r="F101" s="446">
        <f>E101/$E$103</f>
        <v>7.1705287594692031E-5</v>
      </c>
      <c r="G101" s="459">
        <f>SUM(G16,G56,G64,G72,G96)</f>
        <v>108943.26461191422</v>
      </c>
      <c r="H101" s="446">
        <f>G101/$G$103</f>
        <v>6.0551852571827493E-6</v>
      </c>
      <c r="I101" s="459">
        <f>SUM(I16,I56,I64,I72,I96)</f>
        <v>25973.200423921677</v>
      </c>
      <c r="J101" s="446">
        <f>I101/$I$103</f>
        <v>2.2495647649420011E-6</v>
      </c>
      <c r="K101" s="459">
        <f>SUM(K16,K56,K64,K72,K96)</f>
        <v>46731.711325516495</v>
      </c>
      <c r="L101" s="461">
        <f>K101/$K$103</f>
        <v>1.091787221888279E-6</v>
      </c>
      <c r="M101" s="166"/>
      <c r="N101" s="156"/>
    </row>
    <row r="102" spans="1:14" ht="12.75" customHeight="1" x14ac:dyDescent="0.3">
      <c r="A102" s="304"/>
      <c r="B102" s="456" t="s">
        <v>246</v>
      </c>
      <c r="C102" s="459">
        <f>SUM(C17,C25,C33,C41,C49,C57,C73,C81,C89,C97)</f>
        <v>490410.00700063031</v>
      </c>
      <c r="D102" s="446">
        <f>C102/$C$103</f>
        <v>1.8811020638603931E-5</v>
      </c>
      <c r="E102" s="459">
        <f>SUM(E17,E25,E33,E41,E49,E57,E73,E81,E89,E97)</f>
        <v>383.79207526331908</v>
      </c>
      <c r="F102" s="446">
        <f>E102/$E$103</f>
        <v>1.8027124265943208E-7</v>
      </c>
      <c r="G102" s="459">
        <f>SUM(G17,G57,G65,G73,G97)</f>
        <v>6.002235353738552</v>
      </c>
      <c r="H102" s="446">
        <f>G102/$G$103</f>
        <v>3.3361077578837358E-10</v>
      </c>
      <c r="I102" s="459">
        <f>SUM(I17,I57,I65,I73,I97)</f>
        <v>4.9249190316254673E-2</v>
      </c>
      <c r="J102" s="446">
        <f>I102/$I$103</f>
        <v>4.2655214386029567E-12</v>
      </c>
      <c r="K102" s="459">
        <f>SUM(K17,K57,K65,K73,K97)</f>
        <v>6.430761896715334E-2</v>
      </c>
      <c r="L102" s="461">
        <f>K102/$K$103</f>
        <v>1.5024109896027299E-12</v>
      </c>
      <c r="M102" s="166"/>
      <c r="N102" s="156"/>
    </row>
    <row r="103" spans="1:14" ht="12.75" customHeight="1" thickBot="1" x14ac:dyDescent="0.35">
      <c r="A103" s="304"/>
      <c r="B103" s="482" t="s">
        <v>247</v>
      </c>
      <c r="C103" s="485">
        <f>SUM(C99:C102)</f>
        <v>26070356118.487907</v>
      </c>
      <c r="D103" s="485"/>
      <c r="E103" s="485">
        <f>SUM(E99:E102)</f>
        <v>2128970043.1497993</v>
      </c>
      <c r="F103" s="485"/>
      <c r="G103" s="485">
        <f>SUM(G99:G102)</f>
        <v>17991731051.115921</v>
      </c>
      <c r="H103" s="485"/>
      <c r="I103" s="485">
        <f>SUM(I99:I102)</f>
        <v>11545878042.142666</v>
      </c>
      <c r="J103" s="485"/>
      <c r="K103" s="485">
        <f>SUM(K99:K102)</f>
        <v>42802947670.236137</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2.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2024-07-31T07:35:53Z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