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69506FBF-FBBA-4149-BC4C-A54BE593E0FC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J14" i="3"/>
  <c r="L14" i="3"/>
  <c r="J35" i="3"/>
  <c r="L35" i="3"/>
  <c r="J37" i="3"/>
  <c r="L37" i="3"/>
  <c r="K43" i="3"/>
  <c r="K19" i="3"/>
  <c r="L19" i="3"/>
  <c r="J39" i="3"/>
  <c r="L39" i="3"/>
  <c r="K36" i="3"/>
  <c r="L36" i="3"/>
  <c r="K63" i="6"/>
  <c r="L63" i="6"/>
  <c r="J22" i="3"/>
  <c r="L22" i="3"/>
  <c r="K25" i="3"/>
  <c r="L25" i="3"/>
  <c r="J66" i="6"/>
  <c r="J17" i="3"/>
  <c r="J20" i="3"/>
  <c r="L20" i="3"/>
  <c r="I43" i="3"/>
  <c r="K17" i="3"/>
  <c r="L17" i="3"/>
  <c r="J43" i="3"/>
  <c r="K18" i="3"/>
  <c r="L18" i="3"/>
  <c r="K67" i="6"/>
  <c r="L67" i="6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K145" i="7"/>
  <c r="L145" i="7"/>
  <c r="K124" i="7"/>
  <c r="L124" i="7"/>
  <c r="T18" i="11"/>
  <c r="K146" i="7"/>
  <c r="L146" i="7"/>
  <c r="K125" i="7"/>
  <c r="L125" i="7"/>
  <c r="U18" i="1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T25" i="11"/>
  <c r="K217" i="7"/>
  <c r="L217" i="7"/>
  <c r="K201" i="7"/>
  <c r="L201" i="7"/>
  <c r="U26" i="11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D45" i="11" a="1"/>
  <c r="E45" i="11"/>
  <c r="E55" i="11"/>
  <c r="F45" i="11"/>
  <c r="F55" i="11"/>
  <c r="G45" i="11"/>
  <c r="G55" i="11"/>
  <c r="H45" i="11"/>
  <c r="H55" i="11"/>
  <c r="I45" i="11"/>
  <c r="I55" i="11"/>
  <c r="J45" i="11"/>
  <c r="J55" i="11"/>
  <c r="K45" i="11"/>
  <c r="K55" i="11"/>
  <c r="L45" i="11"/>
  <c r="L55" i="11"/>
  <c r="M45" i="11"/>
  <c r="M55" i="11"/>
  <c r="N45" i="11"/>
  <c r="N55" i="11"/>
  <c r="O45" i="11"/>
  <c r="O55" i="11"/>
  <c r="P45" i="11"/>
  <c r="P55" i="11"/>
  <c r="Q45" i="11"/>
  <c r="Q55" i="11"/>
  <c r="R45" i="11"/>
  <c r="R55" i="11"/>
  <c r="S45" i="11"/>
  <c r="S55" i="11"/>
  <c r="T45" i="11"/>
  <c r="T55" i="11"/>
  <c r="U45" i="11"/>
  <c r="U55" i="11"/>
  <c r="V45" i="11"/>
  <c r="V55" i="11"/>
  <c r="W45" i="11"/>
  <c r="W55" i="11"/>
  <c r="X45" i="11"/>
  <c r="X55" i="11"/>
  <c r="Y45" i="11"/>
  <c r="Y55" i="11"/>
  <c r="Z45" i="11"/>
  <c r="Z55" i="11"/>
  <c r="AA45" i="11"/>
  <c r="AA55" i="11"/>
  <c r="AB45" i="11"/>
  <c r="AB55" i="11"/>
  <c r="AC45" i="11"/>
  <c r="AC55" i="11"/>
  <c r="AD45" i="11"/>
  <c r="AD55" i="11"/>
  <c r="AE45" i="11"/>
  <c r="AE55" i="11"/>
  <c r="AF45" i="11"/>
  <c r="AF55" i="11"/>
  <c r="AG45" i="11"/>
  <c r="AG55" i="11"/>
  <c r="AH45" i="11"/>
  <c r="AH55" i="11"/>
  <c r="AI45" i="11"/>
  <c r="AI55" i="11"/>
  <c r="AJ45" i="11"/>
  <c r="AJ55" i="11"/>
  <c r="D4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55" i="11"/>
  <c r="D92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56" i="11"/>
  <c r="E92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57" i="11"/>
  <c r="F92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58" i="11"/>
  <c r="G92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59" i="11"/>
  <c r="H92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60" i="11"/>
  <c r="I92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61" i="11"/>
  <c r="J9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62" i="11"/>
  <c r="K92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63" i="11"/>
  <c r="L92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64" i="11"/>
  <c r="M92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65" i="11"/>
  <c r="N92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66" i="11"/>
  <c r="O92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67" i="11"/>
  <c r="P92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68" i="11"/>
  <c r="Q92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69" i="11"/>
  <c r="R92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70" i="11"/>
  <c r="S92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71" i="11"/>
  <c r="T9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72" i="11"/>
  <c r="U92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73" i="11"/>
  <c r="V92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74" i="11"/>
  <c r="W92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75" i="11"/>
  <c r="X92" i="11"/>
  <c r="Z76" i="11"/>
  <c r="AA76" i="11"/>
  <c r="AB76" i="11"/>
  <c r="AC76" i="11"/>
  <c r="AD76" i="11"/>
  <c r="AE76" i="11"/>
  <c r="AF76" i="11"/>
  <c r="AG76" i="11"/>
  <c r="AH76" i="11"/>
  <c r="AI76" i="11"/>
  <c r="AJ76" i="11"/>
  <c r="Y77" i="11"/>
  <c r="Y78" i="11"/>
  <c r="Y79" i="11"/>
  <c r="Y80" i="11"/>
  <c r="Y81" i="11"/>
  <c r="Y82" i="11"/>
  <c r="Y83" i="11"/>
  <c r="Y84" i="11"/>
  <c r="Y85" i="11"/>
  <c r="Y86" i="11"/>
  <c r="Y87" i="11"/>
  <c r="Y76" i="11"/>
  <c r="Y92" i="11"/>
  <c r="AA77" i="11"/>
  <c r="AB77" i="11"/>
  <c r="AC77" i="11"/>
  <c r="AD77" i="11"/>
  <c r="AE77" i="11"/>
  <c r="AF77" i="11"/>
  <c r="AG77" i="11"/>
  <c r="AH77" i="11"/>
  <c r="AI77" i="11"/>
  <c r="AJ77" i="11"/>
  <c r="Z78" i="11"/>
  <c r="Z79" i="11"/>
  <c r="Z80" i="11"/>
  <c r="Z81" i="11"/>
  <c r="Z82" i="11"/>
  <c r="Z83" i="11"/>
  <c r="Z84" i="11"/>
  <c r="Z85" i="11"/>
  <c r="Z86" i="11"/>
  <c r="Z87" i="11"/>
  <c r="Z77" i="11"/>
  <c r="Z92" i="11"/>
  <c r="AB78" i="11"/>
  <c r="AC78" i="11"/>
  <c r="AD78" i="11"/>
  <c r="AE78" i="11"/>
  <c r="AF78" i="11"/>
  <c r="AG78" i="11"/>
  <c r="AH78" i="11"/>
  <c r="AI78" i="11"/>
  <c r="AJ78" i="11"/>
  <c r="AA79" i="11"/>
  <c r="AA80" i="11"/>
  <c r="AA81" i="11"/>
  <c r="AA82" i="11"/>
  <c r="AA83" i="11"/>
  <c r="AA84" i="11"/>
  <c r="AA85" i="11"/>
  <c r="AA86" i="11"/>
  <c r="AA87" i="11"/>
  <c r="AA78" i="11"/>
  <c r="AA92" i="11"/>
  <c r="AC79" i="11"/>
  <c r="AD79" i="11"/>
  <c r="AE79" i="11"/>
  <c r="AF79" i="11"/>
  <c r="AG79" i="11"/>
  <c r="AH79" i="11"/>
  <c r="AI79" i="11"/>
  <c r="AJ79" i="11"/>
  <c r="AB80" i="11"/>
  <c r="AB81" i="11"/>
  <c r="AB82" i="11"/>
  <c r="AB83" i="11"/>
  <c r="AB84" i="11"/>
  <c r="AB85" i="11"/>
  <c r="AB86" i="11"/>
  <c r="AB87" i="11"/>
  <c r="AB79" i="11"/>
  <c r="AB92" i="11"/>
  <c r="AD80" i="11"/>
  <c r="AE80" i="11"/>
  <c r="AF80" i="11"/>
  <c r="AG80" i="11"/>
  <c r="AH80" i="11"/>
  <c r="AI80" i="11"/>
  <c r="AJ80" i="11"/>
  <c r="AC81" i="11"/>
  <c r="AC82" i="11"/>
  <c r="AC83" i="11"/>
  <c r="AC84" i="11"/>
  <c r="AC85" i="11"/>
  <c r="AC86" i="11"/>
  <c r="AC87" i="11"/>
  <c r="AC80" i="11"/>
  <c r="AC92" i="11"/>
  <c r="AE81" i="11"/>
  <c r="AF81" i="11"/>
  <c r="AG81" i="11"/>
  <c r="AH81" i="11"/>
  <c r="AI81" i="11"/>
  <c r="AJ81" i="11"/>
  <c r="AD82" i="11"/>
  <c r="AD83" i="11"/>
  <c r="AD84" i="11"/>
  <c r="AD85" i="11"/>
  <c r="AD86" i="11"/>
  <c r="AD87" i="11"/>
  <c r="AD81" i="11"/>
  <c r="AD92" i="11"/>
  <c r="AF82" i="11"/>
  <c r="AG82" i="11"/>
  <c r="AH82" i="11"/>
  <c r="AI82" i="11"/>
  <c r="AJ82" i="11"/>
  <c r="AE83" i="11"/>
  <c r="AE84" i="11"/>
  <c r="AE85" i="11"/>
  <c r="AE86" i="11"/>
  <c r="AE87" i="11"/>
  <c r="AE82" i="11"/>
  <c r="AE92" i="11"/>
  <c r="AG83" i="11"/>
  <c r="AH83" i="11"/>
  <c r="AI83" i="11"/>
  <c r="AJ83" i="11"/>
  <c r="AF84" i="11"/>
  <c r="AF85" i="11"/>
  <c r="AF86" i="11"/>
  <c r="AF87" i="11"/>
  <c r="AF83" i="11"/>
  <c r="AF92" i="11"/>
  <c r="AH84" i="11"/>
  <c r="AI84" i="11"/>
  <c r="AJ84" i="11"/>
  <c r="AG85" i="11"/>
  <c r="AG86" i="11"/>
  <c r="AG87" i="11"/>
  <c r="AG84" i="11"/>
  <c r="AG92" i="11"/>
  <c r="AI85" i="11"/>
  <c r="AJ85" i="11"/>
  <c r="AH86" i="11"/>
  <c r="AH87" i="11"/>
  <c r="AH85" i="11"/>
  <c r="AH92" i="11"/>
  <c r="AJ86" i="11"/>
  <c r="AI87" i="11"/>
  <c r="AI86" i="11"/>
  <c r="AI92" i="11"/>
  <c r="AJ87" i="11"/>
  <c r="AJ92" i="11"/>
  <c r="C92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C93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C94" i="11"/>
  <c r="C95" i="11"/>
  <c r="AC12" i="23"/>
  <c r="AD12" i="23"/>
  <c r="AI13" i="23"/>
  <c r="AI14" i="23"/>
  <c r="AI15" i="23"/>
  <c r="AI12" i="23"/>
  <c r="AK18" i="23"/>
  <c r="AK19" i="23"/>
  <c r="AK20" i="23"/>
  <c r="AK12" i="23"/>
  <c r="AE12" i="23"/>
  <c r="AF12" i="23"/>
  <c r="AG12" i="23"/>
  <c r="AH13" i="23"/>
  <c r="AH14" i="23"/>
  <c r="AH15" i="23"/>
  <c r="AH12" i="23"/>
  <c r="AJ18" i="23"/>
  <c r="AJ19" i="23"/>
  <c r="AJ20" i="23"/>
  <c r="AJ12" i="23"/>
  <c r="AO12" i="23"/>
  <c r="L81" i="3"/>
  <c r="AC13" i="23"/>
  <c r="AD13" i="23"/>
  <c r="AL18" i="23"/>
  <c r="AL19" i="23"/>
  <c r="AL20" i="23"/>
  <c r="AL13" i="23"/>
  <c r="AE13" i="23"/>
  <c r="AG13" i="23"/>
  <c r="AO13" i="23"/>
  <c r="AC14" i="23"/>
  <c r="E50" i="11"/>
  <c r="O50" i="11"/>
  <c r="AD14" i="23"/>
  <c r="AL14" i="23"/>
  <c r="AN14" i="23"/>
  <c r="F50" i="11"/>
  <c r="AE14" i="23"/>
  <c r="AG14" i="23"/>
  <c r="AM14" i="23"/>
  <c r="AO14" i="23"/>
  <c r="AC15" i="23"/>
  <c r="AD15" i="23"/>
  <c r="AN15" i="23"/>
  <c r="AE15" i="23"/>
  <c r="AG15" i="23"/>
  <c r="AM15" i="23"/>
  <c r="AO15" i="23"/>
  <c r="AM16" i="23"/>
  <c r="H50" i="11"/>
  <c r="AF16" i="23"/>
  <c r="AG16" i="23"/>
  <c r="AN16" i="23"/>
  <c r="AO16" i="23"/>
  <c r="AM17" i="23"/>
  <c r="I50" i="11"/>
  <c r="AF17" i="23"/>
  <c r="AG17" i="23"/>
  <c r="AN17" i="23"/>
  <c r="AO17" i="23"/>
  <c r="AC18" i="23"/>
  <c r="J50" i="11"/>
  <c r="AF18" i="23"/>
  <c r="AG18" i="23"/>
  <c r="AO18" i="23"/>
  <c r="AC19" i="23"/>
  <c r="K50" i="11"/>
  <c r="AF19" i="23"/>
  <c r="AG19" i="23"/>
  <c r="AO19" i="23"/>
  <c r="AC20" i="23"/>
  <c r="L50" i="11"/>
  <c r="AF20" i="23"/>
  <c r="AG20" i="23"/>
  <c r="AO20" i="23"/>
  <c r="AC22" i="23"/>
  <c r="AD22" i="23"/>
  <c r="AI23" i="23"/>
  <c r="AI24" i="23"/>
  <c r="AI25" i="23"/>
  <c r="AI22" i="23"/>
  <c r="AK28" i="23"/>
  <c r="AK29" i="23"/>
  <c r="AK30" i="23"/>
  <c r="AK22" i="23"/>
  <c r="AE22" i="23"/>
  <c r="AF22" i="23"/>
  <c r="AG22" i="23"/>
  <c r="AH23" i="23"/>
  <c r="AH24" i="23"/>
  <c r="AH25" i="23"/>
  <c r="AH22" i="23"/>
  <c r="AJ28" i="23"/>
  <c r="AJ29" i="23"/>
  <c r="AJ30" i="23"/>
  <c r="AJ22" i="23"/>
  <c r="AO22" i="23"/>
  <c r="L89" i="3"/>
  <c r="AC23" i="23"/>
  <c r="AD23" i="23"/>
  <c r="AL28" i="23"/>
  <c r="AL29" i="23"/>
  <c r="AL30" i="23"/>
  <c r="AL23" i="23"/>
  <c r="AE23" i="23"/>
  <c r="AG23" i="23"/>
  <c r="AO23" i="23"/>
  <c r="AC24" i="23"/>
  <c r="AD24" i="23"/>
  <c r="AL24" i="23"/>
  <c r="AN24" i="23"/>
  <c r="AE24" i="23"/>
  <c r="AG24" i="23"/>
  <c r="AM24" i="23"/>
  <c r="AO24" i="23"/>
  <c r="AC25" i="23"/>
  <c r="AD25" i="23"/>
  <c r="AN25" i="23"/>
  <c r="AE25" i="23"/>
  <c r="AG25" i="23"/>
  <c r="AM25" i="23"/>
  <c r="AO25" i="23"/>
  <c r="AM26" i="23"/>
  <c r="Q50" i="11"/>
  <c r="AF26" i="23"/>
  <c r="AG26" i="23"/>
  <c r="AN26" i="23"/>
  <c r="AO26" i="23"/>
  <c r="AM27" i="23"/>
  <c r="R50" i="11"/>
  <c r="AF27" i="23"/>
  <c r="AG27" i="23"/>
  <c r="AN27" i="23"/>
  <c r="AO27" i="23"/>
  <c r="AC28" i="23"/>
  <c r="S50" i="11"/>
  <c r="AF28" i="23"/>
  <c r="AG28" i="23"/>
  <c r="AO28" i="23"/>
  <c r="AC29" i="23"/>
  <c r="T50" i="11"/>
  <c r="AF29" i="23"/>
  <c r="AG29" i="23"/>
  <c r="AO29" i="23"/>
  <c r="AC30" i="23"/>
  <c r="U50" i="11"/>
  <c r="AF30" i="23"/>
  <c r="AG30" i="23"/>
  <c r="AO30" i="23"/>
  <c r="AC32" i="23"/>
  <c r="AD32" i="23"/>
  <c r="AI33" i="23"/>
  <c r="AI32" i="23"/>
  <c r="AK36" i="23"/>
  <c r="AK32" i="23"/>
  <c r="AE32" i="23"/>
  <c r="AF32" i="23"/>
  <c r="AG32" i="23"/>
  <c r="AH33" i="23"/>
  <c r="AH32" i="23"/>
  <c r="AJ36" i="23"/>
  <c r="AJ32" i="23"/>
  <c r="AO32" i="23"/>
  <c r="AC33" i="23"/>
  <c r="AD33" i="23"/>
  <c r="AL36" i="23"/>
  <c r="AL33" i="23"/>
  <c r="AE33" i="23"/>
  <c r="AG33" i="23"/>
  <c r="AO33" i="23"/>
  <c r="AD34" i="23"/>
  <c r="AN34" i="23"/>
  <c r="AE34" i="23"/>
  <c r="AG34" i="23"/>
  <c r="AM34" i="23"/>
  <c r="AO34" i="23"/>
  <c r="AM35" i="23"/>
  <c r="Y50" i="11"/>
  <c r="AF35" i="23"/>
  <c r="AG35" i="23"/>
  <c r="AN35" i="23"/>
  <c r="AO35" i="23"/>
  <c r="AC36" i="23"/>
  <c r="Z50" i="11"/>
  <c r="AF36" i="23"/>
  <c r="AG36" i="23"/>
  <c r="AO36" i="23"/>
  <c r="AC38" i="23"/>
  <c r="AD38" i="23"/>
  <c r="AI39" i="23"/>
  <c r="AI38" i="23"/>
  <c r="AK42" i="23"/>
  <c r="AK38" i="23"/>
  <c r="AE38" i="23"/>
  <c r="AF38" i="23"/>
  <c r="AG38" i="23"/>
  <c r="AH39" i="23"/>
  <c r="AH38" i="23"/>
  <c r="AJ42" i="23"/>
  <c r="AJ38" i="23"/>
  <c r="AO38" i="23"/>
  <c r="AC39" i="23"/>
  <c r="AD39" i="23"/>
  <c r="AL42" i="23"/>
  <c r="AL39" i="23"/>
  <c r="AE39" i="23"/>
  <c r="AG39" i="23"/>
  <c r="AO39" i="23"/>
  <c r="AD40" i="23"/>
  <c r="AN40" i="23"/>
  <c r="AE40" i="23"/>
  <c r="AG40" i="23"/>
  <c r="AM40" i="23"/>
  <c r="AO40" i="23"/>
  <c r="AM41" i="23"/>
  <c r="AD50" i="11"/>
  <c r="AF41" i="23"/>
  <c r="AG41" i="23"/>
  <c r="AN41" i="23"/>
  <c r="AO41" i="23"/>
  <c r="AC42" i="23"/>
  <c r="AE50" i="11"/>
  <c r="AF42" i="23"/>
  <c r="AG42" i="23"/>
  <c r="AO42" i="23"/>
  <c r="AC44" i="23"/>
  <c r="AD44" i="23"/>
  <c r="AI45" i="23"/>
  <c r="AI44" i="23"/>
  <c r="AK48" i="23"/>
  <c r="AK44" i="23"/>
  <c r="AE44" i="23"/>
  <c r="AF44" i="23"/>
  <c r="AG44" i="23"/>
  <c r="AH45" i="23"/>
  <c r="AH44" i="23"/>
  <c r="AJ48" i="23"/>
  <c r="AJ44" i="23"/>
  <c r="AO44" i="23"/>
  <c r="AC45" i="23"/>
  <c r="AD45" i="23"/>
  <c r="AL48" i="23"/>
  <c r="AL45" i="23"/>
  <c r="AE45" i="23"/>
  <c r="AG45" i="23"/>
  <c r="AO45" i="23"/>
  <c r="AD46" i="23"/>
  <c r="AN46" i="23"/>
  <c r="AE46" i="23"/>
  <c r="AG46" i="23"/>
  <c r="AM46" i="23"/>
  <c r="AO46" i="23"/>
  <c r="AM47" i="23"/>
  <c r="AI50" i="11"/>
  <c r="AF47" i="23"/>
  <c r="AG47" i="23"/>
  <c r="AN47" i="23"/>
  <c r="AO47" i="23"/>
  <c r="AC48" i="23"/>
  <c r="AJ50" i="11"/>
  <c r="AF48" i="23"/>
  <c r="AG48" i="23"/>
  <c r="AO48" i="23"/>
  <c r="AO49" i="23"/>
  <c r="G47" i="23"/>
  <c r="K70" i="8"/>
  <c r="L70" i="8"/>
  <c r="G49" i="23"/>
  <c r="G11" i="23"/>
  <c r="G27" i="23"/>
  <c r="G31" i="23"/>
  <c r="G35" i="23"/>
  <c r="G51" i="23"/>
  <c r="H49" i="23"/>
  <c r="K47" i="23"/>
  <c r="K341" i="8"/>
  <c r="L341" i="8"/>
  <c r="K48" i="23"/>
  <c r="K11" i="23"/>
  <c r="K27" i="23"/>
  <c r="K31" i="23"/>
  <c r="K35" i="23"/>
  <c r="K51" i="23"/>
  <c r="L48" i="23"/>
  <c r="M50" i="11"/>
  <c r="N11" i="23"/>
  <c r="AZ116" i="23"/>
  <c r="S95" i="11"/>
  <c r="E15" i="23"/>
  <c r="E16" i="23"/>
  <c r="E11" i="23"/>
  <c r="E19" i="23"/>
  <c r="E23" i="23"/>
  <c r="E27" i="23"/>
  <c r="E35" i="23"/>
  <c r="E39" i="23"/>
  <c r="E43" i="23"/>
  <c r="E47" i="23"/>
  <c r="E51" i="23"/>
  <c r="F16" i="23"/>
  <c r="D50" i="11"/>
  <c r="M11" i="23"/>
  <c r="AZ51" i="23"/>
  <c r="AD95" i="11"/>
  <c r="K29" i="23"/>
  <c r="L29" i="23"/>
  <c r="N95" i="11"/>
  <c r="I95" i="11"/>
  <c r="AG95" i="11"/>
  <c r="C47" i="23"/>
  <c r="K101" i="6"/>
  <c r="L101" i="6"/>
  <c r="C48" i="23"/>
  <c r="C11" i="23"/>
  <c r="C15" i="23"/>
  <c r="C19" i="23"/>
  <c r="C23" i="23"/>
  <c r="C27" i="23"/>
  <c r="C35" i="23"/>
  <c r="C39" i="23"/>
  <c r="C43" i="23"/>
  <c r="C51" i="23"/>
  <c r="D48" i="23"/>
  <c r="C36" i="23"/>
  <c r="D36" i="23"/>
  <c r="C28" i="23"/>
  <c r="D28" i="23"/>
  <c r="I35" i="23"/>
  <c r="I37" i="23"/>
  <c r="I11" i="23"/>
  <c r="I27" i="23"/>
  <c r="I31" i="23"/>
  <c r="I47" i="23"/>
  <c r="I51" i="23"/>
  <c r="J37" i="23"/>
  <c r="K206" i="8"/>
  <c r="L206" i="8"/>
  <c r="I49" i="23"/>
  <c r="J49" i="23"/>
  <c r="K98" i="7"/>
  <c r="L98" i="7"/>
  <c r="E41" i="23"/>
  <c r="F41" i="23"/>
  <c r="I13" i="23"/>
  <c r="J13" i="23"/>
  <c r="G12" i="23"/>
  <c r="H12" i="23"/>
  <c r="BJ98" i="23"/>
  <c r="K342" i="8"/>
  <c r="L342" i="8"/>
  <c r="K49" i="23"/>
  <c r="L49" i="23"/>
  <c r="K13" i="23"/>
  <c r="L13" i="23"/>
  <c r="C24" i="23"/>
  <c r="D24" i="23"/>
  <c r="K12" i="23"/>
  <c r="L12" i="23"/>
  <c r="E17" i="23"/>
  <c r="F17" i="23"/>
  <c r="K51" i="11"/>
  <c r="S43" i="23"/>
  <c r="S44" i="23"/>
  <c r="S45" i="23"/>
  <c r="F51" i="11"/>
  <c r="S19" i="23"/>
  <c r="S21" i="23"/>
  <c r="S20" i="23"/>
  <c r="M15" i="23"/>
  <c r="M16" i="23"/>
  <c r="M17" i="23"/>
  <c r="AZ52" i="23"/>
  <c r="E36" i="23"/>
  <c r="F36" i="23"/>
  <c r="C20" i="23"/>
  <c r="D20" i="23"/>
  <c r="C16" i="23"/>
  <c r="D16" i="23"/>
  <c r="F19" i="23"/>
  <c r="AY94" i="23"/>
  <c r="W50" i="11"/>
  <c r="W51" i="11"/>
  <c r="U27" i="23"/>
  <c r="U29" i="23"/>
  <c r="U28" i="23"/>
  <c r="AX85" i="23"/>
  <c r="AY87" i="23"/>
  <c r="M95" i="11"/>
  <c r="AG50" i="11"/>
  <c r="AG51" i="11"/>
  <c r="W27" i="23"/>
  <c r="W29" i="23"/>
  <c r="W28" i="23"/>
  <c r="H51" i="11"/>
  <c r="S23" i="23"/>
  <c r="S25" i="23"/>
  <c r="S24" i="23"/>
  <c r="E24" i="23"/>
  <c r="F24" i="23"/>
  <c r="F51" i="23"/>
  <c r="F11" i="23"/>
  <c r="AY75" i="23"/>
  <c r="D19" i="23"/>
  <c r="AY30" i="23"/>
  <c r="D15" i="23"/>
  <c r="BB27" i="23"/>
  <c r="Z95" i="11"/>
  <c r="C12" i="23"/>
  <c r="D12" i="23"/>
  <c r="AF95" i="11"/>
  <c r="C37" i="23"/>
  <c r="D37" i="23"/>
  <c r="K97" i="6"/>
  <c r="L97" i="6"/>
  <c r="C45" i="23"/>
  <c r="D45" i="23"/>
  <c r="I33" i="23"/>
  <c r="J33" i="23"/>
  <c r="U51" i="11"/>
  <c r="T47" i="23"/>
  <c r="T49" i="23"/>
  <c r="T48" i="23"/>
  <c r="D51" i="11"/>
  <c r="S11" i="23"/>
  <c r="S12" i="23"/>
  <c r="E51" i="11"/>
  <c r="S15" i="23"/>
  <c r="G50" i="11"/>
  <c r="G51" i="11"/>
  <c r="S27" i="23"/>
  <c r="I51" i="11"/>
  <c r="S35" i="23"/>
  <c r="J51" i="11"/>
  <c r="S39" i="23"/>
  <c r="L51" i="11"/>
  <c r="S47" i="23"/>
  <c r="S51" i="23"/>
  <c r="S13" i="23"/>
  <c r="L51" i="23"/>
  <c r="L11" i="23"/>
  <c r="BH142" i="23"/>
  <c r="O51" i="11"/>
  <c r="T19" i="23"/>
  <c r="T20" i="23"/>
  <c r="T21" i="23"/>
  <c r="N50" i="11"/>
  <c r="N51" i="11"/>
  <c r="T15" i="23"/>
  <c r="T17" i="23"/>
  <c r="T16" i="23"/>
  <c r="K37" i="23"/>
  <c r="L37" i="23"/>
  <c r="AA50" i="11"/>
  <c r="AA51" i="11"/>
  <c r="V11" i="23"/>
  <c r="AB50" i="11"/>
  <c r="AB51" i="11"/>
  <c r="V27" i="23"/>
  <c r="AD51" i="11"/>
  <c r="V35" i="23"/>
  <c r="AE51" i="11"/>
  <c r="V47" i="23"/>
  <c r="V51" i="23"/>
  <c r="V13" i="23"/>
  <c r="V12" i="23"/>
  <c r="G36" i="23"/>
  <c r="H36" i="23"/>
  <c r="N19" i="23"/>
  <c r="N20" i="23"/>
  <c r="N21" i="23"/>
  <c r="AZ118" i="23"/>
  <c r="AX25" i="23"/>
  <c r="C25" i="23"/>
  <c r="D25" i="23"/>
  <c r="P50" i="11"/>
  <c r="P51" i="11"/>
  <c r="T27" i="23"/>
  <c r="T29" i="23"/>
  <c r="T28" i="23"/>
  <c r="S36" i="23"/>
  <c r="S37" i="23"/>
  <c r="E37" i="23"/>
  <c r="F37" i="23"/>
  <c r="C21" i="23"/>
  <c r="D21" i="23"/>
  <c r="N27" i="23"/>
  <c r="N28" i="23"/>
  <c r="N29" i="23"/>
  <c r="AZ119" i="23"/>
  <c r="E21" i="23"/>
  <c r="F21" i="23"/>
  <c r="G13" i="23"/>
  <c r="H13" i="23"/>
  <c r="G29" i="23"/>
  <c r="H29" i="23"/>
  <c r="V29" i="23"/>
  <c r="V28" i="23"/>
  <c r="K102" i="7"/>
  <c r="L102" i="7"/>
  <c r="E44" i="23"/>
  <c r="F44" i="23"/>
  <c r="F27" i="23"/>
  <c r="AV101" i="23"/>
  <c r="H95" i="11"/>
  <c r="AC95" i="11"/>
  <c r="K103" i="7"/>
  <c r="L103" i="7"/>
  <c r="E45" i="23"/>
  <c r="F45" i="23"/>
  <c r="Y95" i="11"/>
  <c r="AB95" i="11"/>
  <c r="AS28" i="23"/>
  <c r="C13" i="23"/>
  <c r="D13" i="23"/>
  <c r="K205" i="8"/>
  <c r="L205" i="8"/>
  <c r="I48" i="23"/>
  <c r="J48" i="23"/>
  <c r="D27" i="23"/>
  <c r="AV37" i="23"/>
  <c r="I36" i="23"/>
  <c r="J36" i="23"/>
  <c r="AJ51" i="11"/>
  <c r="W47" i="23"/>
  <c r="W48" i="23"/>
  <c r="W49" i="23"/>
  <c r="W95" i="11"/>
  <c r="S51" i="11"/>
  <c r="T39" i="23"/>
  <c r="T41" i="23"/>
  <c r="T40" i="23"/>
  <c r="AI51" i="11"/>
  <c r="W35" i="23"/>
  <c r="W37" i="23"/>
  <c r="W36" i="23"/>
  <c r="I12" i="23"/>
  <c r="J12" i="23"/>
  <c r="AS93" i="23"/>
  <c r="E20" i="23"/>
  <c r="F20" i="23"/>
  <c r="S16" i="23"/>
  <c r="S17" i="23"/>
  <c r="E12" i="23"/>
  <c r="F12" i="23"/>
  <c r="J51" i="23"/>
  <c r="J11" i="23"/>
  <c r="BB142" i="23"/>
  <c r="G32" i="23"/>
  <c r="H32" i="23"/>
  <c r="G37" i="23"/>
  <c r="H37" i="23"/>
  <c r="H51" i="23"/>
  <c r="H11" i="23"/>
  <c r="AV142" i="23"/>
  <c r="AH50" i="11"/>
  <c r="AH51" i="11"/>
  <c r="W31" i="23"/>
  <c r="W33" i="23"/>
  <c r="W32" i="23"/>
  <c r="G33" i="23"/>
  <c r="H33" i="23"/>
  <c r="AC50" i="11"/>
  <c r="AC51" i="11"/>
  <c r="V31" i="23"/>
  <c r="V32" i="23"/>
  <c r="V33" i="23"/>
  <c r="V37" i="23"/>
  <c r="V36" i="23"/>
  <c r="N15" i="23"/>
  <c r="N16" i="23"/>
  <c r="N17" i="23"/>
  <c r="AZ117" i="23"/>
  <c r="M19" i="23"/>
  <c r="AZ53" i="23"/>
  <c r="M20" i="23"/>
  <c r="M21" i="23"/>
  <c r="S41" i="23"/>
  <c r="S40" i="23"/>
  <c r="R51" i="11"/>
  <c r="T35" i="23"/>
  <c r="T37" i="23"/>
  <c r="T36" i="23"/>
  <c r="AH95" i="11"/>
  <c r="K36" i="23"/>
  <c r="L36" i="23"/>
  <c r="M51" i="11"/>
  <c r="T11" i="23"/>
  <c r="Q51" i="11"/>
  <c r="T23" i="23"/>
  <c r="T51" i="11"/>
  <c r="T43" i="23"/>
  <c r="T51" i="23"/>
  <c r="T13" i="23"/>
  <c r="T12" i="23"/>
  <c r="D51" i="23"/>
  <c r="D23" i="23"/>
  <c r="AY37" i="23"/>
  <c r="Z51" i="11"/>
  <c r="U47" i="23"/>
  <c r="U49" i="23"/>
  <c r="U48" i="23"/>
  <c r="V48" i="23"/>
  <c r="V49" i="23"/>
  <c r="Y51" i="11"/>
  <c r="U35" i="23"/>
  <c r="U36" i="23"/>
  <c r="U37" i="23"/>
  <c r="AF50" i="11"/>
  <c r="AF51" i="11"/>
  <c r="W11" i="23"/>
  <c r="W13" i="23"/>
  <c r="W12" i="23"/>
  <c r="W51" i="23"/>
  <c r="V50" i="11"/>
  <c r="V51" i="11"/>
  <c r="U11" i="23"/>
  <c r="U51" i="23"/>
  <c r="U12" i="23"/>
  <c r="U13" i="23"/>
  <c r="S49" i="23"/>
  <c r="S48" i="23"/>
  <c r="K102" i="6"/>
  <c r="L102" i="6"/>
  <c r="C49" i="23"/>
  <c r="D49" i="23"/>
  <c r="E13" i="23"/>
  <c r="F13" i="23"/>
  <c r="X50" i="11"/>
  <c r="X51" i="11"/>
  <c r="U31" i="23"/>
  <c r="U33" i="23"/>
  <c r="U32" i="23"/>
  <c r="AS92" i="23"/>
  <c r="S29" i="23"/>
  <c r="S28" i="23"/>
  <c r="E28" i="23"/>
  <c r="F28" i="23"/>
  <c r="K97" i="7"/>
  <c r="L97" i="7"/>
  <c r="E40" i="23"/>
  <c r="F40" i="23"/>
  <c r="T24" i="23"/>
  <c r="T25" i="23"/>
  <c r="K69" i="8"/>
  <c r="L69" i="8"/>
  <c r="G48" i="23"/>
  <c r="H48" i="23"/>
  <c r="AA95" i="11"/>
  <c r="T44" i="23"/>
  <c r="T45" i="23"/>
  <c r="M27" i="23"/>
  <c r="M28" i="23"/>
  <c r="M29" i="23"/>
  <c r="AZ54" i="23"/>
  <c r="F95" i="11"/>
  <c r="G28" i="23"/>
  <c r="H28" i="23"/>
  <c r="E29" i="23"/>
  <c r="F29" i="23"/>
  <c r="T95" i="11"/>
  <c r="C17" i="23"/>
  <c r="D17" i="23"/>
  <c r="F15" i="23"/>
  <c r="BB91" i="23"/>
  <c r="K96" i="6"/>
  <c r="L96" i="6"/>
  <c r="C44" i="23"/>
  <c r="D44" i="23"/>
  <c r="K91" i="6"/>
  <c r="L91" i="6"/>
  <c r="C40" i="23"/>
  <c r="D40" i="23"/>
  <c r="I32" i="23"/>
  <c r="J32" i="23"/>
  <c r="I28" i="23"/>
  <c r="J28" i="23"/>
  <c r="AT147" i="23"/>
  <c r="AC49" i="11"/>
  <c r="AC46" i="11"/>
  <c r="AC48" i="11"/>
  <c r="AU42" i="23"/>
  <c r="BA21" i="23"/>
  <c r="G95" i="11"/>
  <c r="J27" i="23"/>
  <c r="BB150" i="23"/>
  <c r="BA173" i="23"/>
  <c r="AT149" i="23"/>
  <c r="BF157" i="23"/>
  <c r="V95" i="11"/>
  <c r="AB49" i="11"/>
  <c r="AB46" i="11"/>
  <c r="AB48" i="11"/>
  <c r="AT157" i="23"/>
  <c r="AZ149" i="23"/>
  <c r="BA85" i="23"/>
  <c r="BD22" i="23"/>
  <c r="AS73" i="23"/>
  <c r="D11" i="23"/>
  <c r="AY11" i="23"/>
  <c r="AZ161" i="23"/>
  <c r="E95" i="11"/>
  <c r="U95" i="11"/>
  <c r="AZ136" i="23"/>
  <c r="J95" i="11"/>
  <c r="X49" i="11"/>
  <c r="X46" i="11"/>
  <c r="X48" i="11"/>
  <c r="K49" i="11"/>
  <c r="K46" i="11"/>
  <c r="K48" i="11"/>
  <c r="AF49" i="11"/>
  <c r="AF48" i="11"/>
  <c r="AU106" i="23"/>
  <c r="AS30" i="23"/>
  <c r="AE95" i="11"/>
  <c r="BF161" i="23"/>
  <c r="D46" i="11"/>
  <c r="F46" i="11"/>
  <c r="G46" i="11"/>
  <c r="H46" i="11"/>
  <c r="I46" i="11"/>
  <c r="J46" i="11"/>
  <c r="L46" i="11"/>
  <c r="M46" i="11"/>
  <c r="O46" i="11"/>
  <c r="P46" i="11"/>
  <c r="Q46" i="11"/>
  <c r="R46" i="11"/>
  <c r="S46" i="11"/>
  <c r="T46" i="11"/>
  <c r="U46" i="11"/>
  <c r="V46" i="11"/>
  <c r="W46" i="11"/>
  <c r="Y46" i="11"/>
  <c r="Z46" i="11"/>
  <c r="AA46" i="11"/>
  <c r="AD46" i="11"/>
  <c r="AE46" i="11"/>
  <c r="AF46" i="11"/>
  <c r="AG46" i="11"/>
  <c r="AH46" i="11"/>
  <c r="AI46" i="11"/>
  <c r="AJ46" i="11"/>
  <c r="C46" i="11"/>
  <c r="BB172" i="23"/>
  <c r="BF136" i="23"/>
  <c r="AX89" i="23"/>
  <c r="BF86" i="23"/>
  <c r="BH22" i="23"/>
  <c r="BF21" i="23"/>
  <c r="AU90" i="23"/>
  <c r="R95" i="11"/>
  <c r="D49" i="11"/>
  <c r="E49" i="11"/>
  <c r="F49" i="11"/>
  <c r="G49" i="11"/>
  <c r="H49" i="11"/>
  <c r="I49" i="11"/>
  <c r="J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Y49" i="11"/>
  <c r="Z49" i="11"/>
  <c r="AA49" i="11"/>
  <c r="AD49" i="11"/>
  <c r="AE49" i="11"/>
  <c r="AG49" i="11"/>
  <c r="AH49" i="11"/>
  <c r="AI49" i="11"/>
  <c r="AJ49" i="11"/>
  <c r="C49" i="11"/>
  <c r="D48" i="11"/>
  <c r="E48" i="11"/>
  <c r="C48" i="11"/>
  <c r="BA23" i="23"/>
  <c r="O11" i="23"/>
  <c r="F39" i="23"/>
  <c r="BD96" i="23"/>
  <c r="F43" i="23"/>
  <c r="BH96" i="23"/>
  <c r="T48" i="11"/>
  <c r="W48" i="11"/>
  <c r="P48" i="11"/>
  <c r="F23" i="23"/>
  <c r="AY101" i="23"/>
  <c r="E25" i="23"/>
  <c r="F25" i="23"/>
  <c r="AF49" i="23"/>
  <c r="AZ8" i="23"/>
  <c r="Q11" i="23"/>
  <c r="BH86" i="23"/>
  <c r="AJ95" i="11"/>
  <c r="O31" i="23"/>
  <c r="O32" i="23"/>
  <c r="O33" i="23"/>
  <c r="BF147" i="23"/>
  <c r="L31" i="23"/>
  <c r="BH156" i="23"/>
  <c r="BB174" i="23"/>
  <c r="K92" i="6"/>
  <c r="L92" i="6"/>
  <c r="M41" i="23"/>
  <c r="M40" i="23"/>
  <c r="M39" i="23"/>
  <c r="AZ57" i="23"/>
  <c r="AU26" i="23"/>
  <c r="P27" i="23"/>
  <c r="P28" i="23"/>
  <c r="P29" i="23"/>
  <c r="G48" i="11"/>
  <c r="O95" i="11"/>
  <c r="Q49" i="23"/>
  <c r="Q48" i="23"/>
  <c r="Q47" i="23"/>
  <c r="H27" i="23"/>
  <c r="AV150" i="23"/>
  <c r="AZ173" i="23"/>
  <c r="AY34" i="23"/>
  <c r="N39" i="23"/>
  <c r="AZ122" i="23"/>
  <c r="N41" i="23"/>
  <c r="N40" i="23"/>
  <c r="L95" i="11"/>
  <c r="AS94" i="23"/>
  <c r="K95" i="11"/>
  <c r="AE48" i="11"/>
  <c r="P11" i="23"/>
  <c r="BA172" i="23"/>
  <c r="H48" i="11"/>
  <c r="V48" i="11"/>
  <c r="AJ48" i="11"/>
  <c r="AG48" i="11"/>
  <c r="X95" i="11"/>
  <c r="P47" i="23"/>
  <c r="P49" i="23"/>
  <c r="P48" i="23"/>
  <c r="J31" i="23"/>
  <c r="BB156" i="23"/>
  <c r="BA174" i="23"/>
  <c r="AI95" i="11"/>
  <c r="AZ147" i="23"/>
  <c r="Q95" i="11"/>
  <c r="O49" i="23"/>
  <c r="O48" i="23"/>
  <c r="O47" i="23"/>
  <c r="BG147" i="23"/>
  <c r="D39" i="23"/>
  <c r="BD31" i="23"/>
  <c r="C41" i="23"/>
  <c r="D41" i="23"/>
  <c r="AS25" i="23"/>
  <c r="N47" i="23"/>
  <c r="AZ124" i="23"/>
  <c r="K108" i="7"/>
  <c r="L108" i="7"/>
  <c r="N49" i="23"/>
  <c r="N48" i="23"/>
  <c r="M48" i="11"/>
  <c r="I29" i="23"/>
  <c r="J29" i="23"/>
  <c r="B575" i="22"/>
  <c r="AT161" i="23"/>
  <c r="BH164" i="23"/>
  <c r="Q37" i="23"/>
  <c r="Q36" i="23"/>
  <c r="Q35" i="23"/>
  <c r="N45" i="23"/>
  <c r="N44" i="23"/>
  <c r="N43" i="23"/>
  <c r="AZ123" i="23"/>
  <c r="J35" i="23"/>
  <c r="BB162" i="23"/>
  <c r="BA175" i="23"/>
  <c r="M25" i="23"/>
  <c r="M24" i="23"/>
  <c r="M23" i="23"/>
  <c r="AZ55" i="23"/>
  <c r="AX47" i="23"/>
  <c r="M43" i="23"/>
  <c r="AZ58" i="23"/>
  <c r="M45" i="23"/>
  <c r="M44" i="23"/>
  <c r="Q31" i="23"/>
  <c r="Q32" i="23"/>
  <c r="Q33" i="23"/>
  <c r="D35" i="23"/>
  <c r="AV43" i="23"/>
  <c r="F47" i="23"/>
  <c r="BF96" i="23"/>
  <c r="E49" i="23"/>
  <c r="F49" i="23"/>
  <c r="K107" i="7"/>
  <c r="L107" i="7"/>
  <c r="E48" i="23"/>
  <c r="F48" i="23"/>
  <c r="BF22" i="23"/>
  <c r="P35" i="23"/>
  <c r="BB164" i="23"/>
  <c r="P37" i="23"/>
  <c r="P36" i="23"/>
  <c r="D43" i="23"/>
  <c r="BF31" i="23"/>
  <c r="BJ146" i="23"/>
  <c r="AZ172" i="23"/>
  <c r="BF149" i="23"/>
  <c r="BD20" i="23"/>
  <c r="BB173" i="23"/>
  <c r="L27" i="23"/>
  <c r="BH150" i="23"/>
  <c r="BD86" i="23"/>
  <c r="AZ157" i="23"/>
  <c r="P31" i="23"/>
  <c r="P32" i="23"/>
  <c r="P33" i="23"/>
  <c r="AU147" i="23"/>
  <c r="M35" i="23"/>
  <c r="AZ56" i="23"/>
  <c r="AV47" i="23"/>
  <c r="M37" i="23"/>
  <c r="M36" i="23"/>
  <c r="AX146" i="23"/>
  <c r="B571" i="22"/>
  <c r="Q27" i="23"/>
  <c r="Q28" i="23"/>
  <c r="Q29" i="23"/>
  <c r="C45" i="11"/>
  <c r="G8" i="20"/>
  <c r="F11" i="20"/>
  <c r="G10" i="20"/>
  <c r="G11" i="20"/>
  <c r="H47" i="23"/>
  <c r="AX155" i="23"/>
  <c r="AZ176" i="23"/>
  <c r="AT136" i="23"/>
  <c r="D47" i="23"/>
  <c r="BH31" i="23"/>
  <c r="H35" i="23"/>
  <c r="AV162" i="23"/>
  <c r="AZ175" i="23"/>
  <c r="N35" i="23"/>
  <c r="AZ121" i="23"/>
  <c r="N37" i="23"/>
  <c r="N36" i="23"/>
  <c r="AV111" i="23"/>
  <c r="BD146" i="23"/>
  <c r="BD151" i="23"/>
  <c r="BB87" i="23"/>
  <c r="M49" i="23"/>
  <c r="M48" i="23"/>
  <c r="M47" i="23"/>
  <c r="AZ59" i="23"/>
  <c r="H31" i="23"/>
  <c r="AV156" i="23"/>
  <c r="AZ174" i="23"/>
  <c r="J47" i="23"/>
  <c r="BD155" i="23"/>
  <c r="BA176" i="23"/>
  <c r="O37" i="23"/>
  <c r="O36" i="23"/>
  <c r="AV164" i="23"/>
  <c r="O35" i="23"/>
  <c r="BA147" i="23"/>
  <c r="O27" i="23"/>
  <c r="O28" i="23"/>
  <c r="O29" i="23"/>
  <c r="L47" i="23"/>
  <c r="BJ155" i="23"/>
  <c r="BB176" i="23"/>
  <c r="AX8" i="23"/>
  <c r="AG49" i="23"/>
  <c r="N25" i="23"/>
  <c r="N24" i="23"/>
  <c r="N23" i="23"/>
  <c r="AZ120" i="23"/>
  <c r="AX111" i="23"/>
  <c r="BD84" i="23"/>
  <c r="AS9" i="23"/>
  <c r="P95" i="11"/>
  <c r="F35" i="23"/>
  <c r="AV107" i="23"/>
  <c r="AY98" i="23"/>
  <c r="BB23" i="23"/>
  <c r="AY23" i="23"/>
  <c r="BA87" i="23"/>
  <c r="L35" i="23"/>
  <c r="BH162" i="23"/>
  <c r="BB175" i="23"/>
  <c r="F48" i="11"/>
  <c r="Z48" i="11"/>
  <c r="AA48" i="11"/>
  <c r="O48" i="11"/>
  <c r="BH158" i="23"/>
  <c r="BH147" i="23"/>
  <c r="BJ144" i="23"/>
  <c r="CX12" i="23"/>
  <c r="AU145" i="23"/>
  <c r="AV152" i="23"/>
  <c r="AT155" i="23"/>
  <c r="AS147" i="23"/>
  <c r="CK12" i="23"/>
  <c r="AU44" i="23"/>
  <c r="BB158" i="23"/>
  <c r="AX35" i="23"/>
  <c r="BW12" i="23"/>
  <c r="I48" i="11"/>
  <c r="AU104" i="23"/>
  <c r="AU108" i="23"/>
  <c r="AU33" i="23"/>
  <c r="AX144" i="23"/>
  <c r="AV147" i="23"/>
  <c r="BA164" i="23"/>
  <c r="BH84" i="23"/>
  <c r="AU97" i="23"/>
  <c r="AV158" i="23"/>
  <c r="AU136" i="23"/>
  <c r="CJ12" i="23"/>
  <c r="AS136" i="23"/>
  <c r="AS89" i="23"/>
  <c r="CC12" i="23"/>
  <c r="AX95" i="23"/>
  <c r="BG136" i="23"/>
  <c r="BE136" i="23"/>
  <c r="CT12" i="23"/>
  <c r="CO12" i="23"/>
  <c r="BA136" i="23"/>
  <c r="AY136" i="23"/>
  <c r="R48" i="11"/>
  <c r="CF12" i="23"/>
  <c r="AU21" i="23"/>
  <c r="AS26" i="23"/>
  <c r="BU12" i="23"/>
  <c r="BE157" i="23"/>
  <c r="AH48" i="11"/>
  <c r="BF153" i="23"/>
  <c r="AY157" i="23"/>
  <c r="AZ153" i="23"/>
  <c r="BH20" i="23"/>
  <c r="BY12" i="23"/>
  <c r="AY32" i="23"/>
  <c r="BV12" i="23"/>
  <c r="AT159" i="23"/>
  <c r="AU164" i="23"/>
  <c r="Y48" i="11"/>
  <c r="CM12" i="23"/>
  <c r="CN12" i="23"/>
  <c r="AD48" i="11"/>
  <c r="CR12" i="23"/>
  <c r="AZ159" i="23"/>
  <c r="CH12" i="23"/>
  <c r="BD144" i="23"/>
  <c r="BB147" i="23"/>
  <c r="BG164" i="23"/>
  <c r="BF20" i="23"/>
  <c r="AX23" i="23"/>
  <c r="BA27" i="23"/>
  <c r="AX87" i="23"/>
  <c r="BB152" i="23"/>
  <c r="AU23" i="23"/>
  <c r="CS12" i="23"/>
  <c r="AU85" i="23"/>
  <c r="CD12" i="23"/>
  <c r="AS90" i="23"/>
  <c r="BF159" i="23"/>
  <c r="CW12" i="23"/>
  <c r="AI48" i="11"/>
  <c r="AT153" i="23"/>
  <c r="AS157" i="23"/>
  <c r="BZ12" i="23"/>
  <c r="L48" i="11"/>
  <c r="BA145" i="23"/>
  <c r="CP12" i="23"/>
  <c r="AZ155" i="23"/>
  <c r="AY147" i="23"/>
  <c r="BR12" i="23"/>
  <c r="AU10" i="23"/>
  <c r="AS24" i="23"/>
  <c r="AU87" i="23"/>
  <c r="BF84" i="23"/>
  <c r="AX21" i="23"/>
  <c r="BA91" i="23"/>
  <c r="AX99" i="23"/>
  <c r="AZ72" i="23"/>
  <c r="CA12" i="23"/>
  <c r="AU74" i="23"/>
  <c r="CG12" i="23"/>
  <c r="S48" i="11"/>
  <c r="BG145" i="23"/>
  <c r="BH152" i="23"/>
  <c r="BE147" i="23"/>
  <c r="BF155" i="23"/>
  <c r="CU12" i="23"/>
  <c r="U48" i="11"/>
  <c r="CI12" i="23"/>
  <c r="Q48" i="11"/>
  <c r="CE12" i="23"/>
  <c r="AX31" i="23"/>
  <c r="BT12" i="23"/>
  <c r="N48" i="11"/>
  <c r="AS88" i="23"/>
  <c r="CB12" i="23"/>
  <c r="J48" i="11"/>
  <c r="BX12" i="23"/>
  <c r="B659" i="22"/>
  <c r="L817" i="18"/>
  <c r="M816" i="18"/>
  <c r="L816" i="18"/>
  <c r="O816" i="18"/>
  <c r="N816" i="18"/>
  <c r="M817" i="18"/>
  <c r="O817" i="18"/>
  <c r="P816" i="18"/>
  <c r="N817" i="18"/>
  <c r="P817" i="18"/>
  <c r="B593" i="22"/>
  <c r="B660" i="22"/>
  <c r="N494" i="18"/>
  <c r="M495" i="18"/>
  <c r="L495" i="18"/>
  <c r="N493" i="18"/>
  <c r="M497" i="18"/>
  <c r="M494" i="18"/>
  <c r="N495" i="18"/>
  <c r="P498" i="18"/>
  <c r="O494" i="18"/>
  <c r="L493" i="18"/>
  <c r="P493" i="18"/>
  <c r="P494" i="18"/>
  <c r="O496" i="18"/>
  <c r="L498" i="18"/>
  <c r="L496" i="18"/>
  <c r="O497" i="18"/>
  <c r="O498" i="18"/>
  <c r="P497" i="18"/>
  <c r="L494" i="18"/>
  <c r="P495" i="18"/>
  <c r="O493" i="18"/>
  <c r="N497" i="18"/>
  <c r="M498" i="18"/>
  <c r="B594" i="22"/>
  <c r="L497" i="18"/>
  <c r="P496" i="18"/>
  <c r="O495" i="18"/>
  <c r="N498" i="18"/>
  <c r="N496" i="18"/>
  <c r="M493" i="18"/>
  <c r="M496" i="18"/>
  <c r="B661" i="22"/>
  <c r="AX72" i="23"/>
  <c r="B589" i="22"/>
  <c r="B663" i="22"/>
  <c r="O680" i="18"/>
  <c r="L681" i="18"/>
  <c r="O681" i="18"/>
  <c r="M680" i="18"/>
  <c r="P681" i="18"/>
  <c r="L680" i="18"/>
  <c r="N680" i="18"/>
  <c r="P680" i="18"/>
  <c r="N681" i="18"/>
  <c r="M681" i="18"/>
  <c r="B595" i="22"/>
  <c r="BA141" i="23"/>
  <c r="B588" i="22"/>
  <c r="AU141" i="23"/>
  <c r="B590" i="22"/>
  <c r="B662" i="22"/>
  <c r="L269" i="18"/>
  <c r="L271" i="18"/>
  <c r="N271" i="18"/>
  <c r="O268" i="18"/>
  <c r="O272" i="18"/>
  <c r="O270" i="18"/>
  <c r="M268" i="18"/>
  <c r="N269" i="18"/>
  <c r="M273" i="18"/>
  <c r="N272" i="18"/>
  <c r="P273" i="18"/>
  <c r="L272" i="18"/>
  <c r="L273" i="18"/>
  <c r="M270" i="18"/>
  <c r="L270" i="18"/>
  <c r="M271" i="18"/>
  <c r="M272" i="18"/>
  <c r="P271" i="18"/>
  <c r="P268" i="18"/>
  <c r="O273" i="18"/>
  <c r="N270" i="18"/>
  <c r="O269" i="18"/>
  <c r="P272" i="18"/>
  <c r="O271" i="18"/>
  <c r="M269" i="18"/>
  <c r="N273" i="18"/>
  <c r="L268" i="18"/>
  <c r="N268" i="18"/>
  <c r="P270" i="18"/>
  <c r="P269" i="18"/>
  <c r="B596" i="22"/>
  <c r="M953" i="18"/>
  <c r="O952" i="18"/>
  <c r="P952" i="18"/>
  <c r="M952" i="18"/>
  <c r="P953" i="18"/>
  <c r="N953" i="18"/>
  <c r="L952" i="18"/>
  <c r="L953" i="18"/>
  <c r="N952" i="18"/>
  <c r="O953" i="18"/>
  <c r="B597" i="22"/>
  <c r="B591" i="22"/>
  <c r="BG141" i="23"/>
  <c r="B592" i="22"/>
  <c r="B14" i="22"/>
  <c r="B323" i="22"/>
  <c r="B210" i="22"/>
  <c r="B325" i="22"/>
  <c r="B212" i="22"/>
  <c r="B16" i="22"/>
  <c r="P13" i="23"/>
  <c r="P12" i="23"/>
  <c r="L827" i="18"/>
  <c r="O828" i="18"/>
  <c r="M828" i="18"/>
  <c r="N828" i="18"/>
  <c r="B550" i="22"/>
  <c r="O827" i="18"/>
  <c r="P827" i="18"/>
  <c r="N827" i="18"/>
  <c r="B371" i="22"/>
  <c r="M827" i="18"/>
  <c r="B370" i="22"/>
  <c r="B388" i="22"/>
  <c r="P828" i="18"/>
  <c r="L828" i="18"/>
  <c r="B407" i="22"/>
  <c r="O13" i="23"/>
  <c r="O12" i="23"/>
  <c r="L692" i="18"/>
  <c r="M692" i="18"/>
  <c r="P692" i="18"/>
  <c r="B379" i="22"/>
  <c r="N692" i="18"/>
  <c r="N691" i="18"/>
  <c r="L691" i="18"/>
  <c r="O692" i="18"/>
  <c r="O691" i="18"/>
  <c r="B420" i="22"/>
  <c r="B552" i="22"/>
  <c r="M691" i="18"/>
  <c r="P691" i="18"/>
  <c r="B390" i="22"/>
  <c r="B378" i="22"/>
  <c r="B211" i="22"/>
  <c r="B324" i="22"/>
  <c r="B15" i="22"/>
  <c r="N13" i="23"/>
  <c r="N12" i="23"/>
  <c r="O513" i="18"/>
  <c r="L512" i="18"/>
  <c r="N512" i="18"/>
  <c r="B376" i="22"/>
  <c r="O512" i="18"/>
  <c r="B389" i="22"/>
  <c r="N513" i="18"/>
  <c r="B375" i="22"/>
  <c r="M512" i="18"/>
  <c r="B374" i="22"/>
  <c r="L513" i="18"/>
  <c r="B372" i="22"/>
  <c r="B377" i="22"/>
  <c r="B411" i="22"/>
  <c r="P513" i="18"/>
  <c r="B373" i="22"/>
  <c r="M513" i="18"/>
  <c r="P512" i="18"/>
  <c r="B551" i="22"/>
  <c r="L826" i="18"/>
  <c r="P826" i="18"/>
  <c r="M826" i="18"/>
  <c r="O826" i="18"/>
  <c r="N826" i="18"/>
  <c r="L690" i="18"/>
  <c r="P690" i="18"/>
  <c r="N690" i="18"/>
  <c r="M690" i="18"/>
  <c r="O690" i="18"/>
  <c r="B826" i="22"/>
  <c r="BH91" i="23"/>
  <c r="B3" i="22"/>
  <c r="B4" i="22"/>
  <c r="BF91" i="23"/>
  <c r="BF111" i="23"/>
  <c r="B678" i="22"/>
  <c r="B752" i="22"/>
  <c r="B452" i="22"/>
  <c r="B320" i="22"/>
  <c r="B315" i="22"/>
  <c r="B7" i="22"/>
  <c r="K28" i="23"/>
  <c r="L28" i="23"/>
  <c r="B836" i="22"/>
  <c r="C29" i="23"/>
  <c r="D29" i="23"/>
  <c r="B5" i="22"/>
  <c r="B832" i="22"/>
  <c r="B2" i="22"/>
  <c r="BD111" i="23"/>
  <c r="B674" i="22"/>
  <c r="B440" i="22"/>
  <c r="B748" i="22"/>
  <c r="B327" i="22"/>
  <c r="B18" i="22"/>
  <c r="B214" i="22"/>
  <c r="B17" i="22"/>
  <c r="B213" i="22"/>
  <c r="B326" i="22"/>
  <c r="Q12" i="23"/>
  <c r="Q13" i="23"/>
  <c r="M964" i="18"/>
  <c r="B392" i="22"/>
  <c r="B554" i="22"/>
  <c r="P963" i="18"/>
  <c r="L964" i="18"/>
  <c r="N964" i="18"/>
  <c r="B434" i="22"/>
  <c r="L963" i="18"/>
  <c r="B386" i="22"/>
  <c r="B387" i="22"/>
  <c r="O963" i="18"/>
  <c r="O964" i="18"/>
  <c r="P964" i="18"/>
  <c r="N963" i="18"/>
  <c r="M963" i="18"/>
  <c r="M12" i="23"/>
  <c r="M13" i="23"/>
  <c r="N288" i="18"/>
  <c r="L288" i="18"/>
  <c r="M287" i="18"/>
  <c r="B380" i="22"/>
  <c r="P288" i="18"/>
  <c r="O288" i="18"/>
  <c r="B553" i="22"/>
  <c r="B381" i="22"/>
  <c r="B385" i="22"/>
  <c r="B391" i="22"/>
  <c r="N287" i="18"/>
  <c r="O287" i="18"/>
  <c r="L287" i="18"/>
  <c r="B384" i="22"/>
  <c r="B383" i="22"/>
  <c r="M288" i="18"/>
  <c r="B426" i="22"/>
  <c r="P287" i="18"/>
  <c r="B382" i="22"/>
  <c r="AX164" i="23"/>
  <c r="B681" i="22"/>
  <c r="B755" i="22"/>
  <c r="B475" i="22"/>
  <c r="B314" i="22"/>
  <c r="B319" i="22"/>
  <c r="B825" i="22"/>
  <c r="BJ164" i="23"/>
  <c r="B756" i="22"/>
  <c r="B478" i="22"/>
  <c r="B682" i="22"/>
  <c r="B827" i="22"/>
  <c r="BD164" i="23"/>
  <c r="B754" i="22"/>
  <c r="B458" i="22"/>
  <c r="B680" i="22"/>
  <c r="L962" i="18"/>
  <c r="N962" i="18"/>
  <c r="M962" i="18"/>
  <c r="P962" i="18"/>
  <c r="O962" i="18"/>
  <c r="K32" i="23"/>
  <c r="L32" i="23"/>
  <c r="K33" i="23"/>
  <c r="L33" i="23"/>
  <c r="B8" i="22"/>
  <c r="P286" i="18"/>
  <c r="N286" i="18"/>
  <c r="O286" i="18"/>
  <c r="L286" i="18"/>
  <c r="M286" i="18"/>
  <c r="L511" i="18"/>
  <c r="O511" i="18"/>
  <c r="P511" i="18"/>
  <c r="M511" i="18"/>
  <c r="N511" i="18"/>
  <c r="B6" i="22"/>
  <c r="B834" i="22"/>
  <c r="B829" i="22"/>
  <c r="B831" i="22"/>
  <c r="B835" i="22"/>
  <c r="B483" i="22"/>
  <c r="B572" i="22"/>
  <c r="B530" i="22"/>
  <c r="B581" i="22"/>
  <c r="B525" i="22"/>
  <c r="B493" i="22"/>
  <c r="B498" i="22"/>
  <c r="B580" i="22"/>
  <c r="B521" i="22"/>
  <c r="B579" i="22"/>
  <c r="B517" i="22"/>
  <c r="B577" i="22"/>
  <c r="B582" i="22"/>
  <c r="B574" i="22"/>
  <c r="B487" i="22"/>
  <c r="B513" i="22"/>
  <c r="B576" i="22"/>
  <c r="B479" i="22"/>
  <c r="B507" i="22"/>
  <c r="B578" i="22"/>
  <c r="B502" i="22"/>
  <c r="B573" i="22"/>
  <c r="B820" i="22"/>
  <c r="B824" i="22"/>
  <c r="B822" i="22"/>
  <c r="B828" i="22"/>
  <c r="B833" i="22"/>
  <c r="B830" i="22"/>
  <c r="B819" i="22"/>
  <c r="B821" i="22"/>
  <c r="B823" i="22"/>
  <c r="BH111" i="23"/>
  <c r="B750" i="22"/>
  <c r="B446" i="22"/>
  <c r="B676" i="22"/>
  <c r="B313" i="22"/>
  <c r="B318" i="22"/>
  <c r="B205" i="22"/>
  <c r="B202" i="22"/>
  <c r="BF27" i="23"/>
  <c r="BF47" i="23"/>
  <c r="B679" i="22"/>
  <c r="B753" i="22"/>
  <c r="B455" i="22"/>
  <c r="B321" i="22"/>
  <c r="B316" i="22"/>
  <c r="BH47" i="23"/>
  <c r="B449" i="22"/>
  <c r="B677" i="22"/>
  <c r="B751" i="22"/>
  <c r="B322" i="22"/>
  <c r="B317" i="22"/>
  <c r="B203" i="22"/>
  <c r="B356" i="22"/>
  <c r="B657" i="22"/>
  <c r="B542" i="22"/>
  <c r="B347" i="22"/>
  <c r="B647" i="22"/>
  <c r="B340" i="22"/>
  <c r="B342" i="22"/>
  <c r="B349" i="22"/>
  <c r="B353" i="22"/>
  <c r="B645" i="22"/>
  <c r="B643" i="22"/>
  <c r="B541" i="22"/>
  <c r="B351" i="22"/>
  <c r="B344" i="22"/>
  <c r="B540" i="22"/>
  <c r="B355" i="22"/>
  <c r="B346" i="22"/>
  <c r="B656" i="22"/>
  <c r="B348" i="22"/>
  <c r="B357" i="22"/>
  <c r="B544" i="22"/>
  <c r="B658" i="22"/>
  <c r="D95" i="11"/>
  <c r="BH27" i="23"/>
  <c r="BD47" i="23"/>
  <c r="B675" i="22"/>
  <c r="B749" i="22"/>
  <c r="B443" i="22"/>
  <c r="B649" i="22"/>
  <c r="BJ151" i="23"/>
  <c r="B692" i="22"/>
  <c r="B650" i="22"/>
  <c r="BD91" i="23"/>
  <c r="B689" i="22"/>
  <c r="B655" i="22"/>
  <c r="B688" i="22"/>
  <c r="B359" i="22"/>
  <c r="V15" i="20"/>
  <c r="I15" i="20"/>
  <c r="M15" i="20"/>
  <c r="AU40" i="23"/>
  <c r="B759" i="22"/>
  <c r="M463" i="18"/>
  <c r="O463" i="18"/>
  <c r="L463" i="18"/>
  <c r="N463" i="18"/>
  <c r="B363" i="22"/>
  <c r="P463" i="18"/>
  <c r="B652" i="22"/>
  <c r="B204" i="22"/>
  <c r="B201" i="22"/>
  <c r="B651" i="22"/>
  <c r="B207" i="22"/>
  <c r="AX151" i="23"/>
  <c r="B690" i="22"/>
  <c r="B548" i="22"/>
  <c r="B545" i="22"/>
  <c r="B547" i="22"/>
  <c r="B549" i="22"/>
  <c r="B546" i="22"/>
  <c r="B758" i="22"/>
  <c r="N232" i="18"/>
  <c r="O232" i="18"/>
  <c r="M232" i="18"/>
  <c r="B361" i="22"/>
  <c r="P232" i="18"/>
  <c r="L232" i="18"/>
  <c r="Y15" i="20"/>
  <c r="W15" i="20"/>
  <c r="AY96" i="23"/>
  <c r="B654" i="22"/>
  <c r="B644" i="22"/>
  <c r="B343" i="22"/>
  <c r="B345" i="22"/>
  <c r="B350" i="22"/>
  <c r="B648" i="22"/>
  <c r="B352" i="22"/>
  <c r="B543" i="22"/>
  <c r="B341" i="22"/>
  <c r="B354" i="22"/>
  <c r="B646" i="22"/>
  <c r="B206" i="22"/>
  <c r="P793" i="18"/>
  <c r="N793" i="18"/>
  <c r="B362" i="22"/>
  <c r="M793" i="18"/>
  <c r="O793" i="18"/>
  <c r="L793" i="18"/>
  <c r="B763" i="22"/>
  <c r="O930" i="18"/>
  <c r="L930" i="18"/>
  <c r="B369" i="22"/>
  <c r="P930" i="18"/>
  <c r="M930" i="18"/>
  <c r="N930" i="18"/>
  <c r="B761" i="22"/>
  <c r="L794" i="18"/>
  <c r="M794" i="18"/>
  <c r="P794" i="18"/>
  <c r="O794" i="18"/>
  <c r="B367" i="22"/>
  <c r="N794" i="18"/>
  <c r="N657" i="18"/>
  <c r="M657" i="18"/>
  <c r="L657" i="18"/>
  <c r="P657" i="18"/>
  <c r="O657" i="18"/>
  <c r="B364" i="22"/>
  <c r="M929" i="18"/>
  <c r="L929" i="18"/>
  <c r="B366" i="22"/>
  <c r="N929" i="18"/>
  <c r="O929" i="18"/>
  <c r="P929" i="18"/>
  <c r="B459" i="22"/>
  <c r="B564" i="22"/>
  <c r="B562" i="22"/>
  <c r="B465" i="22"/>
  <c r="B565" i="22"/>
  <c r="B568" i="22"/>
  <c r="B566" i="22"/>
  <c r="B463" i="22"/>
  <c r="B469" i="22"/>
  <c r="B461" i="22"/>
  <c r="B467" i="22"/>
  <c r="B563" i="22"/>
  <c r="B567" i="22"/>
  <c r="B471" i="22"/>
  <c r="B757" i="22"/>
  <c r="O457" i="18"/>
  <c r="M457" i="18"/>
  <c r="P457" i="18"/>
  <c r="N457" i="18"/>
  <c r="L457" i="18"/>
  <c r="B360" i="22"/>
  <c r="B653" i="22"/>
  <c r="B760" i="22"/>
  <c r="N238" i="18"/>
  <c r="M238" i="18"/>
  <c r="B365" i="22"/>
  <c r="P238" i="18"/>
  <c r="L238" i="18"/>
  <c r="O238" i="18"/>
  <c r="L451" i="18"/>
  <c r="O451" i="18"/>
  <c r="B358" i="22"/>
  <c r="N451" i="18"/>
  <c r="P451" i="18"/>
  <c r="M451" i="18"/>
  <c r="B762" i="22"/>
  <c r="N658" i="18"/>
  <c r="L658" i="18"/>
  <c r="O658" i="18"/>
  <c r="P658" i="18"/>
  <c r="B368" i="22"/>
  <c r="M658" i="18"/>
  <c r="O226" i="18"/>
  <c r="M226" i="18"/>
  <c r="P226" i="18"/>
  <c r="N226" i="18"/>
  <c r="L226" i="18"/>
  <c r="BD27" i="23"/>
  <c r="B691" i="22"/>
  <c r="P15" i="20"/>
  <c r="AH15" i="20"/>
  <c r="AM15" i="20"/>
  <c r="Z15" i="20"/>
  <c r="O15" i="20"/>
  <c r="S15" i="20"/>
  <c r="J15" i="20"/>
  <c r="X15" i="20"/>
  <c r="K74" i="3"/>
  <c r="K75" i="3"/>
  <c r="AD15" i="20"/>
  <c r="AS75" i="23"/>
  <c r="AC15" i="20"/>
  <c r="R15" i="20"/>
  <c r="AJ15" i="20"/>
  <c r="G15" i="20"/>
  <c r="B620" i="22"/>
  <c r="B635" i="22"/>
  <c r="B638" i="22"/>
  <c r="B639" i="22"/>
  <c r="B642" i="22"/>
  <c r="B641" i="22"/>
  <c r="B637" i="22"/>
  <c r="B636" i="22"/>
  <c r="B640" i="22"/>
  <c r="B629" i="22"/>
  <c r="B621" i="22"/>
  <c r="B616" i="22"/>
  <c r="B630" i="22"/>
  <c r="B615" i="22"/>
  <c r="B623" i="22"/>
  <c r="B622" i="22"/>
  <c r="B617" i="22"/>
  <c r="B619" i="22"/>
  <c r="B618" i="22"/>
  <c r="B627" i="22"/>
  <c r="B625" i="22"/>
  <c r="B624" i="22"/>
  <c r="B626" i="22"/>
  <c r="B628" i="22"/>
  <c r="B632" i="22"/>
  <c r="B631" i="22"/>
  <c r="B633" i="22"/>
  <c r="B634" i="22"/>
  <c r="B438" i="22"/>
  <c r="B473" i="22"/>
  <c r="B450" i="22"/>
  <c r="B456" i="22"/>
  <c r="B444" i="22"/>
  <c r="B476" i="22"/>
  <c r="B441" i="22"/>
  <c r="B447" i="22"/>
  <c r="B453" i="22"/>
  <c r="B570" i="22"/>
  <c r="B561" i="22"/>
  <c r="B556" i="22"/>
  <c r="B558" i="22"/>
  <c r="B557" i="22"/>
  <c r="B569" i="22"/>
  <c r="B560" i="22"/>
  <c r="B555" i="22"/>
  <c r="B559" i="22"/>
  <c r="AI15" i="20"/>
  <c r="AE15" i="20"/>
  <c r="N15" i="20"/>
  <c r="AT138" i="23"/>
  <c r="I23" i="16"/>
  <c r="BJ99" i="23"/>
  <c r="I21" i="16"/>
  <c r="BJ36" i="23"/>
  <c r="I11" i="16"/>
  <c r="I27" i="16"/>
  <c r="BJ35" i="23"/>
  <c r="BJ34" i="23"/>
  <c r="AX161" i="23"/>
  <c r="I31" i="16"/>
  <c r="I12" i="16"/>
  <c r="I13" i="16"/>
  <c r="I18" i="16"/>
  <c r="I33" i="16"/>
  <c r="BJ161" i="23"/>
  <c r="I10" i="16"/>
  <c r="BJ100" i="23"/>
  <c r="I19" i="16"/>
  <c r="AS29" i="23"/>
  <c r="I20" i="16"/>
  <c r="AC49" i="23"/>
  <c r="AS11" i="23"/>
  <c r="AZ138" i="23"/>
  <c r="BF138" i="23"/>
  <c r="I32" i="16"/>
  <c r="B605" i="22"/>
  <c r="B610" i="22"/>
  <c r="B606" i="22"/>
  <c r="B603" i="22"/>
  <c r="B608" i="22"/>
  <c r="B604" i="22"/>
  <c r="I7" i="16"/>
  <c r="L63" i="3"/>
  <c r="K62" i="3"/>
  <c r="K49" i="3"/>
  <c r="K63" i="3"/>
  <c r="L61" i="3"/>
  <c r="L54" i="3"/>
  <c r="L42" i="3"/>
  <c r="K58" i="3"/>
  <c r="K61" i="3"/>
  <c r="K44" i="3"/>
  <c r="K64" i="3"/>
  <c r="K59" i="3"/>
  <c r="K51" i="3"/>
  <c r="K42" i="3"/>
  <c r="L52" i="3"/>
  <c r="K46" i="3"/>
  <c r="L62" i="3"/>
  <c r="L48" i="3"/>
  <c r="K54" i="3"/>
  <c r="K53" i="3"/>
  <c r="K52" i="3"/>
  <c r="L60" i="3"/>
  <c r="K47" i="3"/>
  <c r="L64" i="3"/>
  <c r="K55" i="3"/>
  <c r="K56" i="3"/>
  <c r="L53" i="3"/>
  <c r="L51" i="3"/>
  <c r="L46" i="3"/>
  <c r="K50" i="3"/>
  <c r="K60" i="3"/>
  <c r="L59" i="3"/>
  <c r="L57" i="3"/>
  <c r="L50" i="3"/>
  <c r="L55" i="3"/>
  <c r="L58" i="3"/>
  <c r="K57" i="3"/>
  <c r="K48" i="3"/>
  <c r="L47" i="3"/>
  <c r="L56" i="3"/>
  <c r="I25" i="16"/>
  <c r="I24" i="16"/>
  <c r="I17" i="16"/>
  <c r="BD161" i="23"/>
  <c r="I29" i="16"/>
  <c r="I28" i="16"/>
  <c r="I16" i="16"/>
  <c r="I15" i="16"/>
  <c r="A6" i="2"/>
  <c r="L6" i="2"/>
  <c r="R6" i="2"/>
  <c r="I6" i="2"/>
  <c r="K6" i="2"/>
  <c r="J6" i="2"/>
  <c r="X6" i="2"/>
  <c r="N6" i="2"/>
  <c r="E6" i="2"/>
  <c r="BQ12" i="23"/>
  <c r="G6" i="2"/>
  <c r="Y6" i="2"/>
  <c r="D6" i="2"/>
  <c r="BP12" i="23"/>
  <c r="Z6" i="2"/>
  <c r="Q6" i="2"/>
  <c r="C6" i="2"/>
  <c r="U6" i="2"/>
  <c r="W6" i="2"/>
  <c r="F6" i="2"/>
  <c r="T6" i="2"/>
  <c r="O6" i="2"/>
  <c r="S6" i="2"/>
  <c r="B6" i="2"/>
  <c r="P6" i="2"/>
  <c r="V6" i="2"/>
  <c r="M6" i="2"/>
  <c r="H6" i="2"/>
  <c r="I8" i="16"/>
  <c r="J44" i="3"/>
  <c r="I9" i="16"/>
  <c r="B537" i="22"/>
  <c r="B535" i="22"/>
  <c r="B536" i="22"/>
  <c r="B539" i="22"/>
  <c r="B538" i="22"/>
  <c r="J58" i="3"/>
  <c r="J55" i="3"/>
  <c r="I44" i="3"/>
  <c r="J52" i="3"/>
  <c r="J57" i="3"/>
  <c r="J62" i="3"/>
  <c r="I49" i="3"/>
  <c r="I47" i="3"/>
  <c r="I58" i="3"/>
  <c r="J42" i="3"/>
  <c r="I57" i="3"/>
  <c r="J59" i="3"/>
  <c r="J63" i="3"/>
  <c r="I52" i="3"/>
  <c r="J50" i="3"/>
  <c r="I51" i="3"/>
  <c r="J48" i="3"/>
  <c r="I56" i="3"/>
  <c r="J46" i="3"/>
  <c r="I64" i="3"/>
  <c r="I63" i="3"/>
  <c r="I48" i="3"/>
  <c r="I42" i="3"/>
  <c r="J53" i="3"/>
  <c r="I46" i="3"/>
  <c r="L49" i="3"/>
  <c r="K37" i="3"/>
  <c r="I53" i="3"/>
  <c r="J47" i="3"/>
  <c r="I59" i="3"/>
  <c r="J54" i="3"/>
  <c r="J61" i="3"/>
  <c r="I54" i="3"/>
  <c r="J51" i="3"/>
  <c r="J64" i="3"/>
  <c r="I61" i="3"/>
  <c r="J60" i="3"/>
  <c r="I60" i="3"/>
  <c r="I55" i="3"/>
  <c r="I50" i="3"/>
  <c r="J49" i="3"/>
  <c r="J56" i="3"/>
  <c r="I62" i="3"/>
  <c r="M650" i="18"/>
  <c r="L445" i="18"/>
  <c r="M786" i="18"/>
  <c r="M922" i="18"/>
  <c r="N786" i="18"/>
  <c r="M652" i="18"/>
  <c r="M445" i="18"/>
  <c r="N447" i="18"/>
  <c r="L922" i="18"/>
  <c r="O447" i="18"/>
  <c r="L924" i="18"/>
  <c r="O786" i="18"/>
  <c r="B722" i="22"/>
  <c r="P222" i="18"/>
  <c r="M222" i="18"/>
  <c r="L650" i="18"/>
  <c r="O222" i="18"/>
  <c r="L447" i="18"/>
  <c r="L652" i="18"/>
  <c r="P786" i="18"/>
  <c r="P650" i="18"/>
  <c r="P445" i="18"/>
  <c r="P922" i="18"/>
  <c r="L788" i="18"/>
  <c r="B724" i="22"/>
  <c r="N652" i="18"/>
  <c r="N650" i="18"/>
  <c r="L220" i="18"/>
  <c r="B721" i="22"/>
  <c r="P652" i="18"/>
  <c r="N445" i="18"/>
  <c r="N922" i="18"/>
  <c r="L222" i="18"/>
  <c r="P447" i="18"/>
  <c r="O220" i="18"/>
  <c r="N924" i="18"/>
  <c r="B723" i="22"/>
  <c r="L786" i="18"/>
  <c r="N220" i="18"/>
  <c r="O922" i="18"/>
  <c r="M447" i="18"/>
  <c r="M788" i="18"/>
  <c r="M220" i="18"/>
  <c r="N788" i="18"/>
  <c r="B725" i="22"/>
  <c r="O445" i="18"/>
  <c r="P788" i="18"/>
  <c r="M924" i="18"/>
  <c r="O788" i="18"/>
  <c r="O650" i="18"/>
  <c r="N222" i="18"/>
  <c r="O924" i="18"/>
  <c r="P220" i="18"/>
  <c r="O652" i="18"/>
  <c r="B401" i="22"/>
  <c r="P924" i="18"/>
  <c r="B208" i="22"/>
  <c r="B700" i="22"/>
  <c r="B696" i="22"/>
  <c r="B699" i="22"/>
  <c r="B694" i="22"/>
  <c r="K156" i="3"/>
  <c r="L156" i="3"/>
  <c r="B209" i="22"/>
  <c r="B698" i="22"/>
  <c r="B702" i="22"/>
  <c r="B701" i="22"/>
  <c r="B695" i="22"/>
  <c r="B693" i="22"/>
  <c r="B697" i="22"/>
  <c r="K155" i="3"/>
  <c r="L155" i="3"/>
  <c r="B328" i="22"/>
  <c r="B329" i="22"/>
  <c r="B330" i="22"/>
  <c r="B333" i="22"/>
  <c r="B339" i="22"/>
  <c r="B334" i="22"/>
  <c r="B331" i="22"/>
  <c r="B335" i="22"/>
  <c r="B332" i="22"/>
  <c r="B338" i="22"/>
  <c r="B336" i="22"/>
  <c r="B337" i="22"/>
  <c r="F5" i="20"/>
  <c r="K6" i="3"/>
  <c r="I17" i="18"/>
  <c r="AY132" i="23"/>
  <c r="P17" i="3"/>
  <c r="C5" i="23"/>
  <c r="BO12" i="23"/>
  <c r="AB5" i="23"/>
  <c r="BO5" i="23"/>
  <c r="AY3" i="23"/>
  <c r="AY67" i="23"/>
  <c r="BN1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<sst xmlns="http://schemas.openxmlformats.org/spreadsheetml/2006/main" count="14979" uniqueCount="4054">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</sst>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4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1.0271107499999999E-5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0.11374484010070846</v>
      </c>
      <c r="AY8" s="75"/>
      <c r="AZ8" s="295">
        <f>output!AF12</f>
        <v>4.6193529897176866E-6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1.8845875282077781E-3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0.11878757872854774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12609.955285345508</v>
      </c>
      <c r="D11" s="117">
        <f>C11/$C$51</f>
        <v>1.0782151680842908E-3</v>
      </c>
      <c r="E11" s="517">
        <f>M.aC*Molweight</f>
        <v>6273.8040471067879</v>
      </c>
      <c r="F11" s="117">
        <f>E11/$E$51</f>
        <v>3.2514503594849166E-3</v>
      </c>
      <c r="G11" s="517">
        <f>M.aM*Molweight</f>
        <v>473.01604298227835</v>
      </c>
      <c r="H11" s="117">
        <f>G11/$G$51</f>
        <v>8.9682228218853071E-4</v>
      </c>
      <c r="I11" s="517">
        <f>M.aA*Molweight</f>
        <v>10.76623701453024</v>
      </c>
      <c r="J11" s="117">
        <f>I11/$I$51</f>
        <v>4.1214098799946809E-5</v>
      </c>
      <c r="K11" s="517">
        <f>M.aT*Molweight</f>
        <v>16.296535523187078</v>
      </c>
      <c r="L11" s="118">
        <f>K11/$K$51</f>
        <v>5.5271972253164098E-3</v>
      </c>
      <c r="M11" s="320">
        <f>C.aR*(Molweight*1000)</f>
        <v>5.4928585117156024E-8</v>
      </c>
      <c r="N11" s="320">
        <f>C.aC*(Molweight*1000)</f>
        <v>8.7145244950609964E-10</v>
      </c>
      <c r="O11" s="320">
        <f>C.aM*(Molweight*1000)</f>
        <v>6.0978322488104256E-12</v>
      </c>
      <c r="P11" s="320">
        <f>C.aA*(Molweight*1000)</f>
        <v>2.5332322387129975E-13</v>
      </c>
      <c r="Q11" s="321">
        <f>C.aT*(Molweight*1000)</f>
        <v>1.278159648877418E-13</v>
      </c>
      <c r="R11" s="119" t="s">
        <v>1493</v>
      </c>
      <c r="S11" s="323">
        <f>F.aR</f>
        <v>5.8046888390531631E-7</v>
      </c>
      <c r="T11" s="323">
        <f>F.aC</f>
        <v>9.2092492399438404E-9</v>
      </c>
      <c r="U11" s="323">
        <f>F.aM</f>
        <v>6.4440070177655054E-11</v>
      </c>
      <c r="V11" s="323">
        <f>F.aA</f>
        <v>2.470395154308065E-12</v>
      </c>
      <c r="W11" s="324">
        <f>F.aT</f>
        <v>1.4123327792295612E-12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1.0782151680842908E-3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12308.235538989111</v>
      </c>
      <c r="D12" s="122">
        <f>C12/$C$51</f>
        <v>1.0524165986468498E-3</v>
      </c>
      <c r="E12" s="318">
        <f>FRgas.aC*E11</f>
        <v>6123.6900678778011</v>
      </c>
      <c r="F12" s="122">
        <f>E12/$E$51</f>
        <v>3.1736525596073629E-3</v>
      </c>
      <c r="G12" s="318">
        <f>FRgas.aM*G11</f>
        <v>461.69813762245695</v>
      </c>
      <c r="H12" s="122">
        <f>G12/$G$51</f>
        <v>8.7536391969749545E-4</v>
      </c>
      <c r="I12" s="318">
        <f>FRgas.aA*I11</f>
        <v>10.382585895760242</v>
      </c>
      <c r="J12" s="122">
        <f>I12/$I$51</f>
        <v>3.9745448695703605E-5</v>
      </c>
      <c r="K12" s="318">
        <f>FRgas.aT*K11</f>
        <v>15.911878430638035</v>
      </c>
      <c r="L12" s="123">
        <f>K12/$K$51</f>
        <v>5.3967354095758608E-3</v>
      </c>
      <c r="M12" s="320">
        <f>FRgas.aR*M11</f>
        <v>5.3614302996859824E-8</v>
      </c>
      <c r="N12" s="320">
        <f>FRgas.aC*N11</f>
        <v>8.5060111371015054E-10</v>
      </c>
      <c r="O12" s="320">
        <f>FRgas.aM*O11</f>
        <v>5.9519287655860971E-12</v>
      </c>
      <c r="P12" s="320">
        <f>FRgas.aA*P11</f>
        <v>2.4429613872377037E-13</v>
      </c>
      <c r="Q12" s="320">
        <f>FRgas.aT*Q11</f>
        <v>1.2479904651480812E-13</v>
      </c>
      <c r="R12" s="120" t="s">
        <v>1493</v>
      </c>
      <c r="S12" s="325">
        <f>S11*FRgas.aR</f>
        <v>5.6657994294902057E-7</v>
      </c>
      <c r="T12" s="325">
        <f>T11*FRgas.aC</f>
        <v>8.9888985501965234E-9</v>
      </c>
      <c r="U12" s="325">
        <f>U11*FRgas.aM</f>
        <v>6.2898205738866301E-11</v>
      </c>
      <c r="V12" s="325">
        <f>V11*FRgas.aA</f>
        <v>2.3823634805231435E-12</v>
      </c>
      <c r="W12" s="326">
        <f>W11*FRgas.aT</f>
        <v>1.3789966250637151E-12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1.8845875282077781E-3</v>
      </c>
      <c r="AE12" s="325">
        <f>k.aR.aC*M.aR*Molweight</f>
        <v>0.11878757872854774</v>
      </c>
      <c r="AF12" s="325">
        <f>kesc.aR*M.aR*Molweight</f>
        <v>4.6193529897176866E-6</v>
      </c>
      <c r="AG12" s="326">
        <f>KDEG.aR*M.aR*Molweight</f>
        <v>0.11374484010070846</v>
      </c>
      <c r="AH12" s="325">
        <f>SUM(AH13:AH15)</f>
        <v>4.1161332644058003E-3</v>
      </c>
      <c r="AI12" s="325">
        <f>SUM(AI13:AI15)</f>
        <v>1.3210425043192687E-4</v>
      </c>
      <c r="AJ12" s="325">
        <f>SUM(AJ18:AJ20)</f>
        <v>8.2644182663480906E-2</v>
      </c>
      <c r="AK12" s="325">
        <f>SUM(AK18:AK20)</f>
        <v>1.827424938469787E-4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56239.208301424973</v>
      </c>
      <c r="BS12" s="425"/>
      <c r="BT12" s="425">
        <f>engine!F45</f>
        <v>9211394.5679841731</v>
      </c>
      <c r="BU12" s="425">
        <f>engine!G45</f>
        <v>460739.95565237693</v>
      </c>
      <c r="BV12" s="425">
        <f>engine!H45</f>
        <v>3324057.5095885447</v>
      </c>
      <c r="BW12" s="425">
        <f>engine!I45</f>
        <v>42032.559824838609</v>
      </c>
      <c r="BX12" s="425">
        <f>engine!J45</f>
        <v>2133176.8650566116</v>
      </c>
      <c r="BY12" s="425">
        <f>engine!K45</f>
        <v>36044236.340144292</v>
      </c>
      <c r="BZ12" s="425">
        <f>engine!L45</f>
        <v>790009.42809725145</v>
      </c>
      <c r="CA12" s="425">
        <f>engine!M45</f>
        <v>27980.572861951601</v>
      </c>
      <c r="CB12" s="425">
        <f>engine!N45</f>
        <v>8999.6020138761633</v>
      </c>
      <c r="CC12" s="425">
        <f>engine!O45</f>
        <v>54023.658536044553</v>
      </c>
      <c r="CD12" s="425">
        <f>engine!P45</f>
        <v>6547786.6418460812</v>
      </c>
      <c r="CE12" s="425">
        <f>engine!Q45</f>
        <v>19495.17486487229</v>
      </c>
      <c r="CF12" s="425">
        <f>engine!R45</f>
        <v>29867.198445376969</v>
      </c>
      <c r="CG12" s="425">
        <f>engine!S45</f>
        <v>515965.56616744318</v>
      </c>
      <c r="CH12" s="425">
        <f>engine!T45</f>
        <v>1210363.8998756921</v>
      </c>
      <c r="CI12" s="425">
        <f>engine!U45</f>
        <v>191084.36129638978</v>
      </c>
      <c r="CJ12" s="425">
        <f>engine!V45</f>
        <v>2109.6068280362069</v>
      </c>
      <c r="CK12" s="425">
        <f>engine!W45</f>
        <v>608156.05405291496</v>
      </c>
      <c r="CL12" s="611"/>
      <c r="CM12" s="425">
        <f>engine!Y45</f>
        <v>484.25278418636606</v>
      </c>
      <c r="CN12" s="425">
        <f>engine!Z45</f>
        <v>149121.96962959922</v>
      </c>
      <c r="CO12" s="425">
        <f>engine!AA45</f>
        <v>48.016399137143161</v>
      </c>
      <c r="CP12" s="425">
        <f>engine!AB45</f>
        <v>114974.54111009699</v>
      </c>
      <c r="CQ12" s="425"/>
      <c r="CR12" s="425">
        <f>engine!AD45</f>
        <v>366.61636711696735</v>
      </c>
      <c r="CS12" s="425">
        <f>engine!AE45</f>
        <v>11901.473653662735</v>
      </c>
      <c r="CT12" s="425">
        <f>engine!AF45</f>
        <v>72.681007596053334</v>
      </c>
      <c r="CU12" s="425">
        <f>engine!AG45</f>
        <v>1250.6535132592071</v>
      </c>
      <c r="CV12" s="425"/>
      <c r="CW12" s="425">
        <f>engine!AI45</f>
        <v>2.5477447217679825</v>
      </c>
      <c r="CX12" s="425">
        <f>engine!AJ45</f>
        <v>1265.6161061004577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301.71974635639799</v>
      </c>
      <c r="D13" s="122">
        <f>C13/$C$51</f>
        <v>2.5798569437441081E-5</v>
      </c>
      <c r="E13" s="318">
        <f>(1-FRgas.aC)*E11</f>
        <v>150.11397922898641</v>
      </c>
      <c r="F13" s="122">
        <f>E13/$E$51</f>
        <v>7.7797799877553502E-5</v>
      </c>
      <c r="G13" s="318">
        <f>(1-FRgas.aM)*G11</f>
        <v>11.317905359821395</v>
      </c>
      <c r="H13" s="122">
        <f>G13/$G$51</f>
        <v>2.1458362491035225E-5</v>
      </c>
      <c r="I13" s="318">
        <f>(1-FRgas.aA)*I11</f>
        <v>0.38365111876999819</v>
      </c>
      <c r="J13" s="122">
        <f>I13/$I$51</f>
        <v>1.4686501042431995E-6</v>
      </c>
      <c r="K13" s="318">
        <f>(1-FRgas.aT)*K11</f>
        <v>0.38465709254904351</v>
      </c>
      <c r="L13" s="123">
        <f>K13/$K$51</f>
        <v>1.3046181574054942E-4</v>
      </c>
      <c r="M13" s="320">
        <f>(1-FRgas.aR)*M11</f>
        <v>1.3142821202961971E-9</v>
      </c>
      <c r="N13" s="320">
        <f>(1-FRgas.aC)*N11</f>
        <v>2.085133579594908E-11</v>
      </c>
      <c r="O13" s="320">
        <f>(1-FRgas.aM)*O11</f>
        <v>1.4590348322432887E-13</v>
      </c>
      <c r="P13" s="320">
        <f>(1-FRgas.aA)*P11</f>
        <v>9.0270851475293679E-15</v>
      </c>
      <c r="Q13" s="320">
        <f>(1-FRgas.aT)*Q11</f>
        <v>3.0169183729336751E-15</v>
      </c>
      <c r="R13" s="120" t="s">
        <v>1493</v>
      </c>
      <c r="S13" s="325">
        <f>S11*(1-FRgas.aR)</f>
        <v>1.3888940956295764E-8</v>
      </c>
      <c r="T13" s="325">
        <f>T11*(1-FRgas.aC)</f>
        <v>2.2035068974731684E-10</v>
      </c>
      <c r="U13" s="325">
        <f>U11*(1-FRgas.aM)</f>
        <v>1.5418644387887567E-12</v>
      </c>
      <c r="V13" s="325">
        <f>V11*(1-FRgas.aA)</f>
        <v>8.8031673784921321E-14</v>
      </c>
      <c r="W13" s="326">
        <f>W11*(1-FRgas.aT)</f>
        <v>3.3336154165846177E-14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5.249068401331413E-5</v>
      </c>
      <c r="AF13" s="330"/>
      <c r="AG13" s="326">
        <f>KDEG.w0R*M.w0R*Molweight</f>
        <v>1.9018298991021129E-3</v>
      </c>
      <c r="AH13" s="325">
        <f>k.aR.w0R*M.aR*Molweight</f>
        <v>2.9935490837752911E-4</v>
      </c>
      <c r="AI13" s="325">
        <f>k.w0R.aR*M.w0R*Molweight</f>
        <v>4.1459731772457088E-8</v>
      </c>
      <c r="AJ13" s="325"/>
      <c r="AK13" s="325"/>
      <c r="AL13" s="631">
        <f>SUM(AL18:AL20)*AREAFRAC.w0R/(AREAFRAC.w0R+AREAFRAC.w1R)</f>
        <v>1.6550071344696702E-3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5.249068401331413E-5</v>
      </c>
      <c r="AE14" s="325">
        <f>(WATERflow.w1R.w0R+WATERflow.w1R.w2R)*C.w1R*Molweight</f>
        <v>0.15003790193268862</v>
      </c>
      <c r="AF14" s="330"/>
      <c r="AG14" s="326">
        <f>KDEG.w1R*M.w1R*Molweight</f>
        <v>0.17912716677685983</v>
      </c>
      <c r="AH14" s="325">
        <f>k.aR.w1R*M.aR*Molweight</f>
        <v>3.2929039921528206E-3</v>
      </c>
      <c r="AI14" s="325">
        <f>k.w1R.aR*M.w1R*Molweight</f>
        <v>1.3016523877407062E-4</v>
      </c>
      <c r="AJ14" s="325"/>
      <c r="AK14" s="325"/>
      <c r="AL14" s="631">
        <f>SUM(AL18:AL20)*AREAFRAC.w1R/(AREAFRAC.w0R+AREAFRAC.w1R)</f>
        <v>1.8205078479166373E-2</v>
      </c>
      <c r="AM14" s="325">
        <f>k.w1R.sd1R*M.w1R*Molweight</f>
        <v>5.4635685535293188E-2</v>
      </c>
      <c r="AN14" s="326">
        <f>k.sd1R.w1R*M.sd1R*Molweight</f>
        <v>4.5282526490637375E-2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21896.113902696754</v>
      </c>
      <c r="D15" s="122">
        <f>C15/$C$51</f>
        <v>1.8722288539298406E-3</v>
      </c>
      <c r="E15" s="318">
        <f>M.w0C*Molweight</f>
        <v>2017.8907635513133</v>
      </c>
      <c r="F15" s="122">
        <f>E15/$E$51</f>
        <v>1.0457884242616564E-3</v>
      </c>
      <c r="G15" s="318"/>
      <c r="H15" s="122"/>
      <c r="I15" s="318"/>
      <c r="J15" s="122"/>
      <c r="K15" s="318"/>
      <c r="L15" s="123"/>
      <c r="M15" s="320">
        <f>C.w0R*Molweight</f>
        <v>3.8318438819961946E-7</v>
      </c>
      <c r="N15" s="320">
        <f>C.w0C*Molweight</f>
        <v>2.3155288407400379E-9</v>
      </c>
      <c r="O15" s="320"/>
      <c r="P15" s="320"/>
      <c r="Q15" s="320"/>
      <c r="R15" s="120" t="s">
        <v>1489</v>
      </c>
      <c r="S15" s="325">
        <f>F.w0R</f>
        <v>1.9906202795861278E-10</v>
      </c>
      <c r="T15" s="325">
        <f>F.w0C</f>
        <v>1.2029035655655278E-12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0.15006227346887621</v>
      </c>
      <c r="AE15" s="325">
        <f>k.w2R.w2C*M.w2R*Molweight</f>
        <v>0.14151570847523351</v>
      </c>
      <c r="AF15" s="330"/>
      <c r="AG15" s="326">
        <f>KDEG.w2R*M.w2R*Molweight</f>
        <v>8.9689422460150423E-3</v>
      </c>
      <c r="AH15" s="325">
        <f>k.aR.w2R*M.aR*Molweight</f>
        <v>5.2387436387545073E-4</v>
      </c>
      <c r="AI15" s="325">
        <f>k.w2R.aR*M.w2R*Molweight</f>
        <v>1.8975519260837944E-6</v>
      </c>
      <c r="AJ15" s="325"/>
      <c r="AK15" s="325"/>
      <c r="AL15" s="631"/>
      <c r="AM15" s="325">
        <f>k.w2R.sd2R*M.w2R*Molweight</f>
        <v>5.1129123059893641E-4</v>
      </c>
      <c r="AN15" s="326">
        <f>k.sd2R.w2R*M.sd2R*Molweight</f>
        <v>4.1169167102196564E-4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21889.216375102758</v>
      </c>
      <c r="D16" s="122">
        <f>C16/$C$51</f>
        <v>1.871639080317973E-3</v>
      </c>
      <c r="E16" s="318">
        <f>FRw.w0C*E15</f>
        <v>2017.2551047634061</v>
      </c>
      <c r="F16" s="122">
        <f>E16/$E$51</f>
        <v>1.0454589888857773E-3</v>
      </c>
      <c r="G16" s="318"/>
      <c r="H16" s="122"/>
      <c r="I16" s="318"/>
      <c r="J16" s="122"/>
      <c r="K16" s="318"/>
      <c r="L16" s="123"/>
      <c r="M16" s="320">
        <f>M15*FRw.w0R</f>
        <v>3.8306368071230272E-7</v>
      </c>
      <c r="N16" s="320">
        <f>N15*FRw.w0C</f>
        <v>2.3147994225362108E-9</v>
      </c>
      <c r="O16" s="320"/>
      <c r="P16" s="320"/>
      <c r="Q16" s="320"/>
      <c r="R16" s="120" t="s">
        <v>1489</v>
      </c>
      <c r="S16" s="325">
        <f>S15*FRw.w0R</f>
        <v>1.9899932113141672E-10</v>
      </c>
      <c r="T16" s="325">
        <f>T15*FRw.w0C</f>
        <v>1.2025246371139644E-12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2.1579763749585081E-3</v>
      </c>
      <c r="AG16" s="326">
        <f>KDEG.sd1R*M.sd1R*Molweight</f>
        <v>7.1951826696973128E-3</v>
      </c>
      <c r="AH16" s="325"/>
      <c r="AI16" s="325"/>
      <c r="AJ16" s="325"/>
      <c r="AK16" s="325"/>
      <c r="AL16" s="631"/>
      <c r="AM16" s="325">
        <f>k.w1R.sd1R*M.w1R*Molweight</f>
        <v>5.4635685535293188E-2</v>
      </c>
      <c r="AN16" s="326">
        <f>k.sd1R.w1R*M.sd1R*Molweight</f>
        <v>4.5282526490637375E-2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6.8975275939972018</v>
      </c>
      <c r="D17" s="122">
        <f>C17/$C$51</f>
        <v>5.8977361186764554E-7</v>
      </c>
      <c r="E17" s="318">
        <f>(1-FRw.w0C)*E15</f>
        <v>0.63565878790724828</v>
      </c>
      <c r="F17" s="122">
        <f>E17/$E$51</f>
        <v>3.2943537587915188E-7</v>
      </c>
      <c r="G17" s="318"/>
      <c r="H17" s="122"/>
      <c r="I17" s="318"/>
      <c r="J17" s="122"/>
      <c r="K17" s="318"/>
      <c r="L17" s="123"/>
      <c r="M17" s="320">
        <f>M16*Kp.susp1R</f>
        <v>3.9149232903673175E-5</v>
      </c>
      <c r="N17" s="320">
        <f>N16*Kp.susp1C</f>
        <v>2.3657325473834145E-7</v>
      </c>
      <c r="O17" s="320"/>
      <c r="P17" s="320"/>
      <c r="Q17" s="320"/>
      <c r="R17" s="120" t="s">
        <v>1494</v>
      </c>
      <c r="S17" s="325">
        <f>S15*(1-FRw.w0R)</f>
        <v>6.2706827196056436E-14</v>
      </c>
      <c r="T17" s="325">
        <f>T15*(1-FRw.w0C)</f>
        <v>3.7892845156345182E-16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8.6167937426547673E-6</v>
      </c>
      <c r="AG17" s="326">
        <f>KDEG.sd2R*M.sd2R*Molweight</f>
        <v>9.0982765834316025E-5</v>
      </c>
      <c r="AH17" s="325"/>
      <c r="AI17" s="325"/>
      <c r="AJ17" s="325"/>
      <c r="AK17" s="325"/>
      <c r="AL17" s="631"/>
      <c r="AM17" s="325">
        <f>k.w2R.sd2R*M.w2R*Molweight</f>
        <v>5.1129123059893641E-4</v>
      </c>
      <c r="AN17" s="326">
        <f>k.sd2R.w2R*M.sd2R*Molweight</f>
        <v>4.1169167102196564E-4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1.4683054870256017E-5</v>
      </c>
      <c r="AG18" s="326">
        <f>KDEG.s1R*M.s1R*Molweight</f>
        <v>2.077842734357354E-2</v>
      </c>
      <c r="AH18" s="325"/>
      <c r="AI18" s="325"/>
      <c r="AJ18" s="325">
        <f>k.aR.s1R*M.aR*Molweight</f>
        <v>2.3004050844474069E-2</v>
      </c>
      <c r="AK18" s="325">
        <f>k.s1R.aR*M.s1R*Molweight</f>
        <v>2.0217970512544485E-5</v>
      </c>
      <c r="AL18" s="631">
        <f>(k.s1R.w1R+k.s1R.w0R)*M.s1R*Molweight</f>
        <v>2.1907224755177224E-3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2065378.8900334113</v>
      </c>
      <c r="D19" s="122">
        <f>C19/$C$51</f>
        <v>0.17660037618556104</v>
      </c>
      <c r="E19" s="318">
        <f>M.w1C*Molweight</f>
        <v>12113.18471695191</v>
      </c>
      <c r="F19" s="122">
        <f>E19/$E$51</f>
        <v>6.2777572437257376E-3</v>
      </c>
      <c r="G19" s="318"/>
      <c r="H19" s="122"/>
      <c r="I19" s="318"/>
      <c r="J19" s="122"/>
      <c r="K19" s="318"/>
      <c r="L19" s="123"/>
      <c r="M19" s="320">
        <f>C.w1R*Molweight</f>
        <v>1.0952835296306874E-4</v>
      </c>
      <c r="N19" s="320">
        <f>C.w1C*Molweight</f>
        <v>4.2120832114382446E-8</v>
      </c>
      <c r="O19" s="320"/>
      <c r="P19" s="320"/>
      <c r="Q19" s="320"/>
      <c r="R19" s="120" t="s">
        <v>1489</v>
      </c>
      <c r="S19" s="325">
        <f>F.w1R</f>
        <v>5.6899332883147069E-8</v>
      </c>
      <c r="T19" s="325">
        <f>F.w1C</f>
        <v>2.1881523669031253E-11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1.1298530980156868E-4</v>
      </c>
      <c r="AG19" s="326">
        <f>KDEG.s2R*M.s2R*Molweight</f>
        <v>0.35109256912384768</v>
      </c>
      <c r="AH19" s="325"/>
      <c r="AI19" s="325"/>
      <c r="AJ19" s="325">
        <f>k.aR.s2R*M.aR*Molweight</f>
        <v>5.1120112987720144E-2</v>
      </c>
      <c r="AK19" s="325">
        <f>k.s2R.aR*M.s2R*Molweight</f>
        <v>1.5505621131340586E-4</v>
      </c>
      <c r="AL19" s="631">
        <f>(k.s2R.w1R+k.s2R.w0R)*M.s2R*Molweight</f>
        <v>1.6857422180403384E-2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2061674.0298850876</v>
      </c>
      <c r="D20" s="122">
        <f>C20/$C$51</f>
        <v>0.176283591841988</v>
      </c>
      <c r="E20" s="318">
        <f>FRw.w1C*E19</f>
        <v>12091.456183004129</v>
      </c>
      <c r="F20" s="122">
        <f>E20/$E$51</f>
        <v>6.2664962529480339E-3</v>
      </c>
      <c r="G20" s="318"/>
      <c r="H20" s="122"/>
      <c r="I20" s="318"/>
      <c r="J20" s="122"/>
      <c r="K20" s="318"/>
      <c r="L20" s="123"/>
      <c r="M20" s="320">
        <f>M19*FRw.w1R</f>
        <v>1.0933188187877396E-4</v>
      </c>
      <c r="N20" s="320">
        <f>N19*FRw.w1C</f>
        <v>4.2045276102326813E-8</v>
      </c>
      <c r="O20" s="320"/>
      <c r="P20" s="320"/>
      <c r="Q20" s="320"/>
      <c r="R20" s="120" t="s">
        <v>1489</v>
      </c>
      <c r="S20" s="325">
        <f>S19*FRw.w1R</f>
        <v>5.6797267314508685E-8</v>
      </c>
      <c r="T20" s="325">
        <f>T19*FRw.w1C</f>
        <v>2.184227276673086E-11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5.4419590175921841E-6</v>
      </c>
      <c r="AG20" s="326">
        <f>KDEG.s3R*M.s3R*Molweight</f>
        <v>7.6951676025331294E-3</v>
      </c>
      <c r="AH20" s="325"/>
      <c r="AI20" s="325"/>
      <c r="AJ20" s="325">
        <f>k.aR.s3R*M.aR*Molweight</f>
        <v>8.5200188312866913E-3</v>
      </c>
      <c r="AK20" s="325">
        <f>k.s3R.aR*M.s3R*Molweight</f>
        <v>7.4683120210283549E-6</v>
      </c>
      <c r="AL20" s="631">
        <f>(k.s3R.w1R+k.s3R.w0R)*M.s3R*Molweight</f>
        <v>8.1194095771493831E-4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2.0217970512544485E-5</v>
      </c>
      <c r="BE20" s="2"/>
      <c r="BF20" s="296">
        <f>IF(output!AK20&lt;0,"",output!AK20)</f>
        <v>7.4683120210283549E-6</v>
      </c>
      <c r="BG20" s="75"/>
      <c r="BH20" s="296">
        <f>IF(output!AK19&lt;0,"",output!AK19)</f>
        <v>1.5505621131340586E-4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3704.8601483237726</v>
      </c>
      <c r="D21" s="122">
        <f>C21/$C$51</f>
        <v>3.1678434357305143E-4</v>
      </c>
      <c r="E21" s="318">
        <f>(1-FRw.w1C)*E19</f>
        <v>21.728533947780267</v>
      </c>
      <c r="F21" s="122">
        <f>E21/$E$51</f>
        <v>1.1260990777703807E-5</v>
      </c>
      <c r="G21" s="318"/>
      <c r="H21" s="122"/>
      <c r="I21" s="318"/>
      <c r="J21" s="122"/>
      <c r="K21" s="318"/>
      <c r="L21" s="123"/>
      <c r="M21" s="320">
        <f>M20*Kp.susp1R</f>
        <v>1.1173753929137607E-2</v>
      </c>
      <c r="N21" s="320">
        <f>N20*Kp.susp1C</f>
        <v>4.2970409086250157E-6</v>
      </c>
      <c r="O21" s="320"/>
      <c r="P21" s="320"/>
      <c r="Q21" s="320"/>
      <c r="R21" s="120" t="s">
        <v>1494</v>
      </c>
      <c r="S21" s="325">
        <f>S19*(1-FRw.w1R)</f>
        <v>1.0206556863838664E-10</v>
      </c>
      <c r="T21" s="325">
        <f>T19*(1-FRw.w1C)</f>
        <v>3.9250902300393826E-14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1.8975519260837944E-6</v>
      </c>
      <c r="AV21" s="75"/>
      <c r="AW21" s="75"/>
      <c r="AX21" s="288">
        <f>IF(output!AI14&lt;0,"",output!AI14)</f>
        <v>1.3016523877407062E-4</v>
      </c>
      <c r="AY21" s="75"/>
      <c r="AZ21" s="75"/>
      <c r="BA21" s="296">
        <f>IF(output!AI13&lt;0,"",output!AI13)</f>
        <v>4.1459731772457088E-8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0.11884823888528043</v>
      </c>
      <c r="AE22" s="325">
        <f>(k.aC.aM+k.aC.aR)*M.aC*Molweight</f>
        <v>1.0553642368546294E-2</v>
      </c>
      <c r="AF22" s="325">
        <f>kesc.aC*M.aC*Molweight</f>
        <v>2.2982567999733876E-6</v>
      </c>
      <c r="AG22" s="326">
        <f>KDEG.aC*M.aC*Molweight</f>
        <v>5.6591226694566857E-2</v>
      </c>
      <c r="AH22" s="325">
        <f>SUM(AH23:AH25)</f>
        <v>3.1725414828545122E-2</v>
      </c>
      <c r="AI22" s="325">
        <f>SUM(AI23:AI25)</f>
        <v>2.1155724065964617E-6</v>
      </c>
      <c r="AJ22" s="325">
        <f>SUM(AJ28:AJ30)</f>
        <v>1.9989693867825082E-2</v>
      </c>
      <c r="AK22" s="325">
        <f>SUM(AK28:AK30)</f>
        <v>1.1921558596330473E-5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2.3004050844474069E-2</v>
      </c>
      <c r="BE22" s="2"/>
      <c r="BF22" s="296">
        <f>IF(output!AJ20&lt;0,"",output!AJ20)</f>
        <v>8.5200188312866913E-3</v>
      </c>
      <c r="BG22" s="75"/>
      <c r="BH22" s="296">
        <f>IF(output!AJ19&lt;0,"",output!AJ19)</f>
        <v>5.1120112987720144E-2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745320.17479994346</v>
      </c>
      <c r="D23" s="122">
        <f>C23/$C$51</f>
        <v>6.3728657189010426E-2</v>
      </c>
      <c r="E23" s="318">
        <f>M.sd1C*Molweight</f>
        <v>4371.2081082016648</v>
      </c>
      <c r="F23" s="122">
        <f>E23/$E$51</f>
        <v>2.2654144229050334E-3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3.0403693657115689E-3</v>
      </c>
      <c r="N23" s="320">
        <f>C.sd1C*(Molweight*1000)/(FRACw.sdC*1000+FRACs.sdC*RHOsolid)</f>
        <v>1.1692213399943051E-6</v>
      </c>
      <c r="O23" s="320"/>
      <c r="P23" s="320"/>
      <c r="Q23" s="320"/>
      <c r="R23" s="120" t="s">
        <v>1495</v>
      </c>
      <c r="S23" s="325">
        <f>F.sd1R</f>
        <v>7.7748178567799814E-8</v>
      </c>
      <c r="T23" s="325">
        <f>F.sd1C</f>
        <v>2.9899271632045275E-11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4.8374093646778061E-6</v>
      </c>
      <c r="AF23" s="330"/>
      <c r="AG23" s="326">
        <f>KDEG.w0C*M.w0C*Molweight</f>
        <v>1.7526785822808612E-4</v>
      </c>
      <c r="AH23" s="325">
        <f>k.aC.w0C*M.aC*Molweight</f>
        <v>7.241366469017203E-5</v>
      </c>
      <c r="AI23" s="325">
        <f>k.w0C.aC*M.w0C*Molweight</f>
        <v>3.8208245615973098E-9</v>
      </c>
      <c r="AJ23" s="325"/>
      <c r="AK23" s="325"/>
      <c r="AL23" s="631">
        <f>SUM(AL28:AL30)*AREAFRAC.w0C/(AREAFRAC.w1C+AREAFRAC.w0C)</f>
        <v>1.0769542372715347E-4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5.2387436387545073E-4</v>
      </c>
      <c r="AV23" s="75"/>
      <c r="AW23" s="75"/>
      <c r="AX23" s="288">
        <f>IF(output!AH14&lt;0,"",output!AH14)</f>
        <v>3.2929039921528206E-3</v>
      </c>
      <c r="AY23" s="291">
        <f>output!AL14</f>
        <v>1.8205078479166373E-2</v>
      </c>
      <c r="AZ23" s="87"/>
      <c r="BA23" s="296">
        <f>IF(output!AH13&lt;0,"",output!AH13)</f>
        <v>2.9935490837752911E-4</v>
      </c>
      <c r="BB23" s="291">
        <f>output!AL13</f>
        <v>1.6550071344696702E-3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596256.13983995479</v>
      </c>
      <c r="D24" s="122">
        <f>C24/$C$51</f>
        <v>5.0982925751208344E-2</v>
      </c>
      <c r="E24" s="318">
        <f>E23*FRACw.sdC</f>
        <v>3496.9664865613322</v>
      </c>
      <c r="F24" s="122">
        <f>E24/$E$51</f>
        <v>1.8123315383240268E-3</v>
      </c>
      <c r="G24" s="318"/>
      <c r="H24" s="122"/>
      <c r="I24" s="318"/>
      <c r="J24" s="122"/>
      <c r="K24" s="318"/>
      <c r="L24" s="123"/>
      <c r="M24" s="320">
        <f>M25/Kp.sd1R</f>
        <v>1.4966133191575445E-4</v>
      </c>
      <c r="N24" s="320">
        <f>N25/Kp.sd1C</f>
        <v>5.7554593537656182E-8</v>
      </c>
      <c r="O24" s="320"/>
      <c r="P24" s="320"/>
      <c r="Q24" s="320"/>
      <c r="R24" s="120" t="s">
        <v>1489</v>
      </c>
      <c r="S24" s="325">
        <f>S23*FRACw.sdR</f>
        <v>6.2198542854239854E-8</v>
      </c>
      <c r="T24" s="325">
        <f>T23*FRACw.sdC</f>
        <v>2.3919417305636221E-11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4.8374093646778061E-6</v>
      </c>
      <c r="AE24" s="325">
        <f>(k.w1C.w0C+k.w1C.w1R+k.w1C.w2C)*M.w1C*Molweight</f>
        <v>8.799532276739661E-4</v>
      </c>
      <c r="AF24" s="330"/>
      <c r="AG24" s="326">
        <f>KDEG.w1C*M.w1C*Molweight</f>
        <v>1.0505580692544282E-3</v>
      </c>
      <c r="AH24" s="325">
        <f>k.aC.w1C*M.aC*Molweight</f>
        <v>7.9655031159189208E-4</v>
      </c>
      <c r="AI24" s="325">
        <f>k.w1C.aC*M.w1C*Molweight</f>
        <v>7.6340258371235812E-7</v>
      </c>
      <c r="AJ24" s="518"/>
      <c r="AK24" s="518"/>
      <c r="AL24" s="631">
        <f>SUM(AL28:AL30)*AREAFRAC.w1C/(AREAFRAC.w1C+AREAFRAC.w0C)</f>
        <v>1.1846496609986879E-3</v>
      </c>
      <c r="AM24" s="325">
        <f>k.w1C.sd1C*M.w1C*Molweight</f>
        <v>3.2043135243606458E-4</v>
      </c>
      <c r="AN24" s="326">
        <f>k.sd1C.w1C*M.sd1C*Molweight</f>
        <v>2.6566866999291406E-4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5.249068401331413E-5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149064.03495998867</v>
      </c>
      <c r="D25" s="122">
        <f>C25/$C$51</f>
        <v>1.2745731437802083E-2</v>
      </c>
      <c r="E25" s="318">
        <f>E23*FRACs.sdC</f>
        <v>874.24162164033271</v>
      </c>
      <c r="F25" s="122">
        <f>E25/$E$51</f>
        <v>4.5308288458100648E-4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7.6655022197848737E-3</v>
      </c>
      <c r="N25" s="320">
        <f>C.sd1C*FRACs.sdC/(FRACw.sdC/(Kp.sd1C*RHOsolid/1000)+FRACs.sdC)*(Molweight*1000)/(FRACs.sdC*RHOsolid)</f>
        <v>2.947888134324944E-6</v>
      </c>
      <c r="O25" s="320"/>
      <c r="P25" s="320"/>
      <c r="Q25" s="320"/>
      <c r="R25" s="120" t="s">
        <v>1494</v>
      </c>
      <c r="S25" s="325">
        <f>S23*(1-FRACw.sdR)</f>
        <v>1.554963571355996E-8</v>
      </c>
      <c r="T25" s="325">
        <f>T23*(1-FRACw.sdC)</f>
        <v>5.9798543264090536E-12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0.14322315137357608</v>
      </c>
      <c r="AE25" s="325">
        <f>(k.w2C.w2M+k.w2C.w2R)*M.w2C*Molweight</f>
        <v>4.655185575126608E-2</v>
      </c>
      <c r="AF25" s="330"/>
      <c r="AG25" s="326">
        <f>KDEG.w2C*M.w2C*Molweight</f>
        <v>0.12746174823668846</v>
      </c>
      <c r="AH25" s="325">
        <f>k.aC.w2C*M.aC*Molweight</f>
        <v>3.0856450852263059E-2</v>
      </c>
      <c r="AI25" s="325">
        <f>k.w2C.aC*M.w2C*Molweight</f>
        <v>1.3483489983225065E-6</v>
      </c>
      <c r="AJ25" s="325"/>
      <c r="AK25" s="325"/>
      <c r="AL25" s="631"/>
      <c r="AM25" s="325">
        <f>k.w2C.sd2C*M.w2C*Molweight</f>
        <v>3.6330969875061767E-4</v>
      </c>
      <c r="AN25" s="326">
        <f>k.sd2C.w2C*M.sd2C*Molweight</f>
        <v>2.9865980986431271E-4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0.15003790193268862</v>
      </c>
      <c r="AT25" s="75"/>
      <c r="AU25" s="75"/>
      <c r="AV25" s="87"/>
      <c r="AW25" s="75"/>
      <c r="AX25" s="289">
        <f>output!AD14</f>
        <v>5.249068401331413E-5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1.2563850465718694E-5</v>
      </c>
      <c r="AG26" s="326">
        <f>KDEG.sd1C*M.sd1C*Molweight</f>
        <v>4.2198831977431899E-5</v>
      </c>
      <c r="AH26" s="325"/>
      <c r="AI26" s="325"/>
      <c r="AJ26" s="325"/>
      <c r="AK26" s="325"/>
      <c r="AL26" s="631"/>
      <c r="AM26" s="325">
        <f>k.w1C.sd1C*M.w1C*Molweight</f>
        <v>3.2043135243606458E-4</v>
      </c>
      <c r="AN26" s="326">
        <f>k.sd1C.w1C*M.sd1C*Molweight</f>
        <v>2.6566866999291406E-4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0.14151570847523351</v>
      </c>
      <c r="AT26" s="75"/>
      <c r="AU26" s="285">
        <f>output!AD15</f>
        <v>0.15006227346887621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103307.11285637596</v>
      </c>
      <c r="D27" s="122">
        <f>C27/$C$51</f>
        <v>8.8332823972966396E-3</v>
      </c>
      <c r="E27" s="318">
        <f>M.w2C*Molweight</f>
        <v>1468144.7208347283</v>
      </c>
      <c r="F27" s="122">
        <f>E27/$E$51</f>
        <v>0.76087803260851627</v>
      </c>
      <c r="G27" s="318">
        <f>M.w2M*Molweight</f>
        <v>136360.75043974459</v>
      </c>
      <c r="H27" s="122">
        <f>G27/$G$51</f>
        <v>0.25853533135850554</v>
      </c>
      <c r="I27" s="318">
        <f>M.w2A*Molweight</f>
        <v>25779.591607705948</v>
      </c>
      <c r="J27" s="122">
        <f>I27/$I$51</f>
        <v>9.8686535890704752E-2</v>
      </c>
      <c r="K27" s="318">
        <f>M.w2T*Molweight</f>
        <v>280.42153074297943</v>
      </c>
      <c r="L27" s="123">
        <f>K27/$K$51</f>
        <v>9.5108871725298874E-2</v>
      </c>
      <c r="M27" s="320">
        <f>C.w2R*Molweight</f>
        <v>1.0330711285637585E-5</v>
      </c>
      <c r="N27" s="320">
        <f>C.w2C*Molweight</f>
        <v>1.9768147347515199E-9</v>
      </c>
      <c r="O27" s="320">
        <f>C.w2M*Molweight</f>
        <v>3.5157580544667385E-11</v>
      </c>
      <c r="P27" s="320">
        <f>C.w2A*Molweight</f>
        <v>1.0109643767727824E-11</v>
      </c>
      <c r="Q27" s="320">
        <f>C.w2T*Molweight</f>
        <v>3.1419779354955678E-14</v>
      </c>
      <c r="R27" s="120" t="s">
        <v>1489</v>
      </c>
      <c r="S27" s="325">
        <f>F.w2R</f>
        <v>5.3667435368025454E-9</v>
      </c>
      <c r="T27" s="325">
        <f>F.w2C</f>
        <v>1.026943586733776E-12</v>
      </c>
      <c r="U27" s="325">
        <f>F.w2M</f>
        <v>1.8264155578524977E-14</v>
      </c>
      <c r="V27" s="325">
        <f>F.w2A</f>
        <v>1.5351003395846835E-16</v>
      </c>
      <c r="W27" s="326">
        <f>F.w2T</f>
        <v>1.0300759033010278E-16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6.4649888886304918E-5</v>
      </c>
      <c r="AH27" s="325"/>
      <c r="AI27" s="325"/>
      <c r="AJ27" s="325"/>
      <c r="AK27" s="325"/>
      <c r="AL27" s="631"/>
      <c r="AM27" s="325">
        <f>k.w2C.sd2C*M.w2C*Molweight</f>
        <v>3.6330969875061767E-4</v>
      </c>
      <c r="AN27" s="326">
        <f>k.sd2C.w2C*M.sd2C*Molweight</f>
        <v>2.9865980986431271E-4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1.9018298991021129E-3</v>
      </c>
      <c r="BB27" s="264">
        <f>IF(ISERROR(output!D15),0,output!D15)</f>
        <v>1.8722288539298406E-3</v>
      </c>
      <c r="BC27" s="86"/>
      <c r="BD27" s="295">
        <f>output!AG18</f>
        <v>2.077842734357354E-2</v>
      </c>
      <c r="BE27" s="75"/>
      <c r="BF27" s="295">
        <f>output!AG19</f>
        <v>0.35109256912384768</v>
      </c>
      <c r="BG27" s="75"/>
      <c r="BH27" s="256">
        <f>output!AG20</f>
        <v>7.6951676025331294E-3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103228.53666961011</v>
      </c>
      <c r="D28" s="122">
        <f>C28/$C$51</f>
        <v>8.8265637345810305E-3</v>
      </c>
      <c r="E28" s="318">
        <f>FRw.w2C*E27</f>
        <v>1467028.038637405</v>
      </c>
      <c r="F28" s="122">
        <f>E28/$E$51</f>
        <v>0.76029930290885472</v>
      </c>
      <c r="G28" s="318">
        <f>FRw.w2M*G27</f>
        <v>136257.03340131589</v>
      </c>
      <c r="H28" s="122">
        <f>G28/$G$51</f>
        <v>0.25833868739159266</v>
      </c>
      <c r="I28" s="318">
        <f>FRw.w2A*I27</f>
        <v>25759.98345151122</v>
      </c>
      <c r="J28" s="122">
        <f>I28/$I$51</f>
        <v>9.8611474150413908E-2</v>
      </c>
      <c r="K28" s="318">
        <f>FRw.w2T*K27</f>
        <v>280.20823996402351</v>
      </c>
      <c r="L28" s="123">
        <f>K28/$K$51</f>
        <v>9.5036531183963976E-2</v>
      </c>
      <c r="M28" s="320">
        <f>M27*FRw.w2R</f>
        <v>1.0322853666961001E-5</v>
      </c>
      <c r="N28" s="320">
        <f>N27*FRw.w2C</f>
        <v>1.9753111542186358E-9</v>
      </c>
      <c r="O28" s="320">
        <f>O27*FRw.w2M</f>
        <v>3.5130839417762081E-11</v>
      </c>
      <c r="P28" s="320">
        <f>P27*FRw.w2A</f>
        <v>1.0101954294710283E-11</v>
      </c>
      <c r="Q28" s="320">
        <f>Q27*FRw.w2T</f>
        <v>3.139588122846202E-14</v>
      </c>
      <c r="R28" s="120" t="s">
        <v>1489</v>
      </c>
      <c r="S28" s="325">
        <f>S27*FRw.w2R</f>
        <v>5.3626615502789413E-9</v>
      </c>
      <c r="T28" s="325">
        <f>T27*FRw.w2C</f>
        <v>1.0261624855216905E-12</v>
      </c>
      <c r="U28" s="325">
        <f>U27*FRw.w2M</f>
        <v>1.8250263720934748E-14</v>
      </c>
      <c r="V28" s="325">
        <f>V27*FRw.w2A</f>
        <v>1.5339327304273624E-16</v>
      </c>
      <c r="W28" s="326">
        <f>W27*FRw.w2T</f>
        <v>1.029292419624804E-16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3.551487381707669E-6</v>
      </c>
      <c r="AG28" s="326">
        <f>KDEG.s1C*M.s1C*Molweight</f>
        <v>5.0258153479981055E-3</v>
      </c>
      <c r="AH28" s="325"/>
      <c r="AI28" s="325"/>
      <c r="AJ28" s="325">
        <f>k.aC.s1C*M.aC*Molweight</f>
        <v>5.5641415920750243E-3</v>
      </c>
      <c r="AK28" s="325">
        <f>k.s1C.aC*M.s1C*Molweight</f>
        <v>4.8902539555644589E-6</v>
      </c>
      <c r="AL28" s="631">
        <f>(k.s1C.w1C+k.s1C.w0C)*M.s1C*Molweight</f>
        <v>5.298845027396483E-4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78.576186765841996</v>
      </c>
      <c r="D29" s="122">
        <f>C29/$C$51</f>
        <v>6.7186627156095902E-6</v>
      </c>
      <c r="E29" s="318">
        <f>(1-FRw.w2C)*E27</f>
        <v>1116.6821973234019</v>
      </c>
      <c r="F29" s="122">
        <f>E29/$E$51</f>
        <v>5.7872969966155845E-4</v>
      </c>
      <c r="G29" s="318">
        <f>(1-FRw.w2M)*G27</f>
        <v>103.71703842870919</v>
      </c>
      <c r="H29" s="122">
        <f>G29/$G$51</f>
        <v>1.966439669128841E-4</v>
      </c>
      <c r="I29" s="318">
        <f>(1-FRw.w2A)*I27</f>
        <v>19.60815619472822</v>
      </c>
      <c r="J29" s="122">
        <f>I29/$I$51</f>
        <v>7.5061740290841898E-5</v>
      </c>
      <c r="K29" s="318">
        <f>(1-FRw.w2T)*K27</f>
        <v>0.21329077895592086</v>
      </c>
      <c r="L29" s="123">
        <f>K29/$K$51</f>
        <v>7.2340541334897578E-5</v>
      </c>
      <c r="M29" s="320">
        <f>M28*Kp.susp2R</f>
        <v>1.0264551843561622E-3</v>
      </c>
      <c r="N29" s="320">
        <f>N28*Kp.susp2C</f>
        <v>1.9641549133391718E-7</v>
      </c>
      <c r="O29" s="320">
        <f>O28*Kp.susp2M</f>
        <v>3.4932426066019855E-9</v>
      </c>
      <c r="P29" s="320">
        <f>P28*Kp.susp2A</f>
        <v>1.0044900075568943E-9</v>
      </c>
      <c r="Q29" s="320">
        <f>Q28*Kp.susp2T</f>
        <v>3.1218562322091384E-12</v>
      </c>
      <c r="R29" s="120" t="s">
        <v>1494</v>
      </c>
      <c r="S29" s="325">
        <f>S27*(1-FRw.w2R)</f>
        <v>4.0819865236040779E-12</v>
      </c>
      <c r="T29" s="325">
        <f>T27*(1-FRw.w2C)</f>
        <v>7.8110121208557783E-16</v>
      </c>
      <c r="U29" s="325">
        <f>U27*(1-FRw.w2M)</f>
        <v>1.3891857590229806E-17</v>
      </c>
      <c r="V29" s="325">
        <f>V27*(1-FRw.w2A)</f>
        <v>1.167609157321145E-19</v>
      </c>
      <c r="W29" s="326">
        <f>W27*(1-FRw.w2T)</f>
        <v>7.8348367622374708E-20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3.794041824317438E-6</v>
      </c>
      <c r="AG29" s="326">
        <f>KDEG.s2C*M.s2C*Molweight</f>
        <v>1.1789673310648788E-2</v>
      </c>
      <c r="AH29" s="325"/>
      <c r="AI29" s="325"/>
      <c r="AJ29" s="325">
        <f>k.aC.s2C*M.aC*Molweight</f>
        <v>1.2364759093500051E-2</v>
      </c>
      <c r="AK29" s="325">
        <f>k.s2C.aC*M.s2C*Molweight</f>
        <v>5.2202321294408556E-6</v>
      </c>
      <c r="AL29" s="631">
        <f>(k.s2C.w1C+k.s2C.w0C)*M.s2C*Molweight</f>
        <v>5.6607150889751248E-4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1.3162795608430648E-6</v>
      </c>
      <c r="AG30" s="326">
        <f>KDEG.s3C*M.s3C*Molweight</f>
        <v>1.8612767570891601E-3</v>
      </c>
      <c r="AH30" s="325"/>
      <c r="AI30" s="325"/>
      <c r="AJ30" s="325">
        <f>k.aC.s3C*M.aC*Molweight</f>
        <v>2.0607931822500085E-3</v>
      </c>
      <c r="AK30" s="325">
        <f>k.s3C.aC*M.s3C*Molweight</f>
        <v>1.811072511325158E-6</v>
      </c>
      <c r="AL30" s="631">
        <f>(k.s3C.w1C+k.s3C.w0C)*M.s3C*Molweight</f>
        <v>1.9638907308868074E-4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0.17660037618556104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357057.17592811817</v>
      </c>
      <c r="H31" s="122">
        <f>G31/$G$51</f>
        <v>0.67696822578942351</v>
      </c>
      <c r="I31" s="318">
        <f>M.w3A*Molweight</f>
        <v>232685.93049528272</v>
      </c>
      <c r="J31" s="122">
        <f>I31/$I$51</f>
        <v>0.89074213356509246</v>
      </c>
      <c r="K31" s="318">
        <f>M.w3T*Molweight</f>
        <v>2367.3608713989865</v>
      </c>
      <c r="L31" s="123">
        <f>K31/$K$51</f>
        <v>0.80292344474699351</v>
      </c>
      <c r="M31" s="320"/>
      <c r="N31" s="320"/>
      <c r="O31" s="320">
        <f>C.w3M*Molweight</f>
        <v>3.0686411794356119E-12</v>
      </c>
      <c r="P31" s="320">
        <f>C.w3A*Molweight</f>
        <v>3.0416461502651339E-12</v>
      </c>
      <c r="Q31" s="320">
        <f>C.w3T*Molweight</f>
        <v>8.8416839267936021E-15</v>
      </c>
      <c r="R31" s="120" t="s">
        <v>1489</v>
      </c>
      <c r="S31" s="325"/>
      <c r="T31" s="325"/>
      <c r="U31" s="325">
        <f>F.w3M</f>
        <v>1.5941409803406206E-15</v>
      </c>
      <c r="V31" s="325">
        <f>F.w3A</f>
        <v>4.6185920547207159E-17</v>
      </c>
      <c r="W31" s="326">
        <f>F.w3T</f>
        <v>2.8986853964515837E-17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0.17912716677685983</v>
      </c>
      <c r="AY31" s="75"/>
      <c r="AZ31" s="75"/>
      <c r="BA31" s="87"/>
      <c r="BB31" s="2"/>
      <c r="BC31" s="86"/>
      <c r="BD31" s="277">
        <f>IF(ISERROR(output!D39),0,output!D39)</f>
        <v>4.0897155589088505E-2</v>
      </c>
      <c r="BE31" s="75"/>
      <c r="BF31" s="277">
        <f>IF(ISERROR(output!D43),0,output!D43)</f>
        <v>0.69103821902439311</v>
      </c>
      <c r="BG31" s="75"/>
      <c r="BH31" s="273">
        <f>IF(ISERROR(output!D47),0,output!D47)</f>
        <v>1.5146019548117815E-2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356785.59548640338</v>
      </c>
      <c r="H32" s="122">
        <f>G32/$G$51</f>
        <v>0.67645331853595947</v>
      </c>
      <c r="I32" s="318">
        <f>FRw.w3A*I31</f>
        <v>232508.9477820227</v>
      </c>
      <c r="J32" s="122">
        <f>I32/$I$51</f>
        <v>0.89006462822870269</v>
      </c>
      <c r="K32" s="318">
        <f>FRw.w3T*K31</f>
        <v>2365.5602384625904</v>
      </c>
      <c r="L32" s="123">
        <f>K32/$K$51</f>
        <v>0.80231273498259592</v>
      </c>
      <c r="M32" s="320"/>
      <c r="N32" s="320"/>
      <c r="O32" s="320">
        <f>O31*FRw.w3M</f>
        <v>3.0663071472884943E-12</v>
      </c>
      <c r="P32" s="320">
        <f>P31*FRw.w3A</f>
        <v>3.0393326507453948E-12</v>
      </c>
      <c r="Q32" s="320">
        <f>Q31*FRw.w3T</f>
        <v>8.8349588738098626E-15</v>
      </c>
      <c r="R32" s="120" t="s">
        <v>1489</v>
      </c>
      <c r="S32" s="325"/>
      <c r="T32" s="325"/>
      <c r="U32" s="325">
        <f>U31*FRw.w3M</f>
        <v>1.5929284644166061E-15</v>
      </c>
      <c r="V32" s="325">
        <f>V31*FRw.w3A</f>
        <v>4.6150791179842928E-17</v>
      </c>
      <c r="W32" s="326">
        <f>W31*FRw.w3T</f>
        <v>2.89648063398374E-17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8.6830228691838641E-3</v>
      </c>
      <c r="AE32" s="325">
        <f>(k.aM.aA+k.aM.aC+k.aM.aT)*M.aM*Molweight</f>
        <v>5.5086066817917141E-4</v>
      </c>
      <c r="AF32" s="325">
        <f>kesc.aM*M.aM*Molweight</f>
        <v>1.7327801906434347E-7</v>
      </c>
      <c r="AG32" s="326">
        <f>KDEG.aM*M.aM*Molweight</f>
        <v>4.266718870654179E-3</v>
      </c>
      <c r="AH32" s="325">
        <f>AH33</f>
        <v>2.2588115393586531E-3</v>
      </c>
      <c r="AI32" s="325">
        <f>AI33</f>
        <v>2.504683341590445E-7</v>
      </c>
      <c r="AJ32" s="325">
        <f>AJ36</f>
        <v>1.608122339774381E-3</v>
      </c>
      <c r="AK32" s="325">
        <f>AK36</f>
        <v>1.4133584674254279E-6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4.5282526490637375E-2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271.58044171476746</v>
      </c>
      <c r="H33" s="122">
        <f>G33/$G$51</f>
        <v>5.149072534639845E-4</v>
      </c>
      <c r="I33" s="318">
        <f>(1-FRw.w3A)*I31</f>
        <v>176.98271326002535</v>
      </c>
      <c r="J33" s="122">
        <f>I33/$I$51</f>
        <v>6.7750533638977347E-4</v>
      </c>
      <c r="K33" s="318">
        <f>(1-FRw.w3T)*K31</f>
        <v>1.8006329363962326</v>
      </c>
      <c r="L33" s="123">
        <f>K33/$K$51</f>
        <v>6.1070976439759369E-4</v>
      </c>
      <c r="M33" s="320"/>
      <c r="N33" s="320"/>
      <c r="O33" s="320">
        <f>O32*Kp.susp3M</f>
        <v>3.0489891358589967E-10</v>
      </c>
      <c r="P33" s="320">
        <f>P32*Kp.susp3A</f>
        <v>3.0221669869500378E-10</v>
      </c>
      <c r="Q33" s="320">
        <f>Q32*Kp.susp3T</f>
        <v>8.7850604417851772E-13</v>
      </c>
      <c r="R33" s="120" t="s">
        <v>1494</v>
      </c>
      <c r="S33" s="325"/>
      <c r="T33" s="325"/>
      <c r="U33" s="325">
        <f>U31*(1-FRw.w3M)</f>
        <v>1.2125159240145787E-18</v>
      </c>
      <c r="V33" s="325">
        <f>V31*(1-FRw.w3A)</f>
        <v>3.512936736423087E-20</v>
      </c>
      <c r="W33" s="326">
        <f>W31*(1-FRw.w3T)</f>
        <v>2.2047624678433834E-20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4.9497103178819342E-2</v>
      </c>
      <c r="AE33" s="325">
        <f>(k.w2M.w2C+k.w2M.w2A+k.w2M.w2T+k.w2M.w3M)*M.w2M*Molweight</f>
        <v>4.0070207950176677E-2</v>
      </c>
      <c r="AF33" s="330"/>
      <c r="AG33" s="326">
        <f>KDEG.w2M*M.w2M*Molweight</f>
        <v>1.1838601055647031E-2</v>
      </c>
      <c r="AH33" s="325">
        <f>k.aM.w2M*M.aM*Molweight</f>
        <v>2.2588115393586531E-3</v>
      </c>
      <c r="AI33" s="325">
        <f>k.w2M.aM*M.w2M*Molweight</f>
        <v>2.504683341590445E-7</v>
      </c>
      <c r="AJ33" s="325"/>
      <c r="AK33" s="325"/>
      <c r="AL33" s="325">
        <f>AL36</f>
        <v>1.5314475597988657E-4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8.9689422460150423E-3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3.4425328120347744E-2</v>
      </c>
      <c r="AE34" s="325">
        <f>(k.w3M.w2M+k.w3M.w3A+k.w3M.w3T)*M.w3M*Molweight</f>
        <v>3.4252021737529491E-3</v>
      </c>
      <c r="AF34" s="330"/>
      <c r="AG34" s="326">
        <f>KDEG.w3M*M.w3M*Molweight</f>
        <v>3.0999077419545516E-2</v>
      </c>
      <c r="AH34" s="325"/>
      <c r="AI34" s="325"/>
      <c r="AJ34" s="325"/>
      <c r="AK34" s="325"/>
      <c r="AL34" s="325"/>
      <c r="AM34" s="325">
        <f>k.w3M.sdM*M.w3M*Molweight</f>
        <v>5.8905335049638246E-6</v>
      </c>
      <c r="AN34" s="326">
        <f>k.sdM.w3M*M.sdM*Molweight</f>
        <v>4.8420064556860838E-6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5.4635685535293188E-2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9424.5405639253131</v>
      </c>
      <c r="D35" s="122">
        <f>C35/$C$51</f>
        <v>8.0584604451842999E-4</v>
      </c>
      <c r="E35" s="318">
        <f>M.sd2C*Molweight</f>
        <v>6696.8232354224237</v>
      </c>
      <c r="F35" s="122">
        <f>E35/$E$51</f>
        <v>3.4706835203535892E-3</v>
      </c>
      <c r="G35" s="318">
        <f>M.sdM*Molweight</f>
        <v>108.579159270267</v>
      </c>
      <c r="H35" s="122">
        <f>G35/$G$51</f>
        <v>2.0586238217404611E-4</v>
      </c>
      <c r="I35" s="318">
        <f>M.sdA*Molweight</f>
        <v>82.202721834966425</v>
      </c>
      <c r="J35" s="122">
        <f>I35/$I$51</f>
        <v>3.1467922308959817E-4</v>
      </c>
      <c r="K35" s="318">
        <f>M.sdT*Molweight</f>
        <v>0.57125532151481706</v>
      </c>
      <c r="L35" s="123">
        <f>K35/$K$51</f>
        <v>1.93749206604769E-4</v>
      </c>
      <c r="M35" s="320">
        <f>C.sd2R*(Molweight*1000)/(FRACw.sdR*1000+FRACs.sdR*RHOsolid)</f>
        <v>2.4165488625449495E-4</v>
      </c>
      <c r="N35" s="320">
        <f>C.sd2C*(Molweight*1000)/(FRACw.sdC*1000+FRACs.sdC*RHOsolid)</f>
        <v>4.6241437463916637E-8</v>
      </c>
      <c r="O35" s="320">
        <f>C.sdM*(Molweight*1000)/(FRACw.sdM*1000+FRACs.sdM*RHOsolid)</f>
        <v>7.1781324118826678E-11</v>
      </c>
      <c r="P35" s="320">
        <f>C.sdA*(Molweight*1000)/(FRACw.sdA*1000+FRACs.sdA*RHOsolid)</f>
        <v>8.2657337189508716E-11</v>
      </c>
      <c r="Q35" s="320">
        <f>C.sdT*(Molweight*1000)/(FRACw.sdT*1000+FRACs.sdT*RHOsolid)</f>
        <v>1.6411845766424393E-13</v>
      </c>
      <c r="R35" s="120" t="s">
        <v>1495</v>
      </c>
      <c r="S35" s="325">
        <f>F.sd2R</f>
        <v>6.2216294499926104E-9</v>
      </c>
      <c r="T35" s="325">
        <f>F.sd2C</f>
        <v>1.1905287478131595E-12</v>
      </c>
      <c r="U35" s="325">
        <f>F.sdM</f>
        <v>1.8480768463619258E-15</v>
      </c>
      <c r="V35" s="325">
        <f>F.sdA</f>
        <v>6.2202847853363954E-17</v>
      </c>
      <c r="W35" s="326">
        <f>F.sdT</f>
        <v>2.6665606560792196E-17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3.2399307920306597E-10</v>
      </c>
      <c r="AG35" s="326">
        <f>KDEG.sdM*M.sdM*Molweight</f>
        <v>1.048203056198538E-6</v>
      </c>
      <c r="AH35" s="325"/>
      <c r="AI35" s="325"/>
      <c r="AJ35" s="325"/>
      <c r="AK35" s="325"/>
      <c r="AL35" s="325"/>
      <c r="AM35" s="325">
        <f>k.w3M.sdM*M.w3M*Molweight</f>
        <v>5.8905335049638246E-6</v>
      </c>
      <c r="AN35" s="326">
        <f>k.sdM.w3M*M.sdM*Molweight</f>
        <v>4.8420064556860838E-6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7.1951826696973128E-3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7539.6324511402509</v>
      </c>
      <c r="D36" s="122">
        <f>C36/$C$51</f>
        <v>6.4467683561474402E-4</v>
      </c>
      <c r="E36" s="318">
        <f>E35*FRACw.sdC</f>
        <v>5357.4585883379395</v>
      </c>
      <c r="F36" s="122">
        <f>E36/$E$51</f>
        <v>2.7765468162828716E-3</v>
      </c>
      <c r="G36" s="318">
        <f>G35*FRACw.sdM</f>
        <v>86.863327416213608</v>
      </c>
      <c r="H36" s="122">
        <f>G36/$G$51</f>
        <v>1.646899057392369E-4</v>
      </c>
      <c r="I36" s="318">
        <f>I35*FRACw.sdA</f>
        <v>65.762177467973146</v>
      </c>
      <c r="J36" s="122">
        <f>I36/$I$51</f>
        <v>2.5174337847167855E-4</v>
      </c>
      <c r="K36" s="318">
        <f>K35*FRACw.sdT</f>
        <v>0.45700425721185367</v>
      </c>
      <c r="L36" s="123">
        <f>K36/$K$51</f>
        <v>1.549993652838152E-4</v>
      </c>
      <c r="M36" s="320">
        <f>M37/Kp.sd2R</f>
        <v>1.1976323655739203E-5</v>
      </c>
      <c r="N36" s="320">
        <f>N37/Kp.sd2C</f>
        <v>2.2917079391941694E-9</v>
      </c>
      <c r="O36" s="320">
        <f>O37/Kp.sdM</f>
        <v>3.5574549449798114E-12</v>
      </c>
      <c r="P36" s="320">
        <f>P37/Kp.sdA</f>
        <v>4.0964659893555607E-12</v>
      </c>
      <c r="Q36" s="320">
        <f>Q37/Kp.sdT</f>
        <v>8.133647936246343E-15</v>
      </c>
      <c r="R36" s="120" t="s">
        <v>1489</v>
      </c>
      <c r="S36" s="325">
        <f>S35*FRACw.sdR</f>
        <v>4.9773035599940885E-9</v>
      </c>
      <c r="T36" s="325">
        <f>T35*FRACw.sdC</f>
        <v>9.5242299825052755E-13</v>
      </c>
      <c r="U36" s="325">
        <f>U35*FRACw.sdM</f>
        <v>1.4784614770895408E-15</v>
      </c>
      <c r="V36" s="325">
        <f>V35*FRACw.sdA</f>
        <v>4.9762278282691166E-17</v>
      </c>
      <c r="W36" s="326">
        <f>W35*FRACw.sdT</f>
        <v>2.1332485248633759E-17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1.026434375085888E-6</v>
      </c>
      <c r="AG36" s="326">
        <f>KDEG.sM*M.sM*Molweight</f>
        <v>1.4525377909519832E-3</v>
      </c>
      <c r="AH36" s="325"/>
      <c r="AI36" s="325"/>
      <c r="AJ36" s="325">
        <f>k.aM.sM*M.aM*Molweight</f>
        <v>1.608122339774381E-3</v>
      </c>
      <c r="AK36" s="325">
        <f>k.sM.aM*M.sM*Molweight</f>
        <v>1.4133584674254279E-6</v>
      </c>
      <c r="AL36" s="325">
        <f>k.sM.w2M*M.sM*Molweight</f>
        <v>1.5314475597988657E-4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1884.9081127850623</v>
      </c>
      <c r="D37" s="122">
        <f>C37/$C$51</f>
        <v>1.6116920890368598E-4</v>
      </c>
      <c r="E37" s="318">
        <f>E35*FRACs.sdC</f>
        <v>1339.3646470844844</v>
      </c>
      <c r="F37" s="122">
        <f>E37/$E$51</f>
        <v>6.9413670407071767E-4</v>
      </c>
      <c r="G37" s="318">
        <f>G35*FRACs.sdM</f>
        <v>21.715831854053395</v>
      </c>
      <c r="H37" s="122">
        <f>G37/$G$51</f>
        <v>4.1172476434809212E-5</v>
      </c>
      <c r="I37" s="318">
        <f>I35*FRACs.sdA</f>
        <v>16.440544366993283</v>
      </c>
      <c r="J37" s="122">
        <f>I37/$I$51</f>
        <v>6.2935844617919624E-5</v>
      </c>
      <c r="K37" s="318">
        <f>K35*FRACs.sdT</f>
        <v>0.11425106430296339</v>
      </c>
      <c r="L37" s="123">
        <f>K37/$K$51</f>
        <v>3.8749841320953792E-5</v>
      </c>
      <c r="M37" s="320">
        <f>C.sd2R*FRACs.sdR/(FRACw.sdR/(Kp.sd2R*RHOsolid/1000)+FRACs.sdR)*(Molweight*1000)/(FRACs.sdR*RHOsolid)</f>
        <v>6.0914058641250426E-4</v>
      </c>
      <c r="N37" s="320">
        <f>C.sd2C*FRACs.sdC/(FRACw.sdC/(Kp.sd2C*RHOsolid/1000)+FRACs.sdC)*(Molweight*1000)/(FRACs.sdC*RHOsolid)</f>
        <v>1.1656100470347264E-7</v>
      </c>
      <c r="O37" s="320">
        <f>C.sdM*FRACs.sdM/(FRACw.sdM/(Kp.sdM*RHOsolid/1000)+FRACs.sdM)*(Molweight*1000)/(FRACs.sdM*RHOsolid)</f>
        <v>1.8093951479698168E-10</v>
      </c>
      <c r="P37" s="320">
        <f>C.sdA*FRACs.sdA/(FRACw.sdA/(Kp.sdA*RHOsolid/1000)+FRACs.sdA)*(Molweight*1000)/(FRACs.sdA*RHOsolid)</f>
        <v>2.0835473110975382E-10</v>
      </c>
      <c r="Q37" s="320">
        <f>C.sdT*FRACs.sdT/(FRACw.sdT/(Kp.sdT*RHOsolid/1000)+FRACs.sdT)*(Molweight*1000)/(FRACs.sdT*RHOsolid)</f>
        <v>4.1369415322904013E-13</v>
      </c>
      <c r="R37" s="120" t="s">
        <v>1494</v>
      </c>
      <c r="S37" s="325">
        <f>S35*(1-FRACw.sdR)</f>
        <v>1.2443258899985217E-9</v>
      </c>
      <c r="T37" s="325">
        <f>T35*(1-FRACw.sdC)</f>
        <v>2.3810574956263184E-13</v>
      </c>
      <c r="U37" s="325">
        <f>U35*(1-FRACw.sdM)</f>
        <v>3.696153692723851E-16</v>
      </c>
      <c r="V37" s="325">
        <f>V35*(1-FRACw.sdA)</f>
        <v>1.2440569570672788E-17</v>
      </c>
      <c r="W37" s="326">
        <f>W35*(1-FRACw.sdT)</f>
        <v>5.3331213121584381E-18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8.8332823972966396E-3</v>
      </c>
      <c r="AW37" s="75"/>
      <c r="AX37" s="75"/>
      <c r="AY37" s="300">
        <f>IF(ISERROR(output!D23),0,output!D23)</f>
        <v>6.3728657189010426E-2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1.7942584013753851E-4</v>
      </c>
      <c r="AE38" s="325">
        <f>k.aA.aM*M.aA*Molweight</f>
        <v>7.4539164763551338E-6</v>
      </c>
      <c r="AF38" s="325">
        <f>kesc.aA*M.aA*Molweight</f>
        <v>3.9439512683186192E-9</v>
      </c>
      <c r="AG38" s="326">
        <f>KDEG.aA*M.aA*Molweight</f>
        <v>8.0240946958281501E-5</v>
      </c>
      <c r="AH38" s="325">
        <f>AH39</f>
        <v>6.2062417122425226E-5</v>
      </c>
      <c r="AI38" s="325">
        <f>AI39</f>
        <v>1.4999108130288359E-9</v>
      </c>
      <c r="AJ38" s="325">
        <f>AJ42</f>
        <v>2.9669689609076234E-5</v>
      </c>
      <c r="AK38" s="325">
        <f>AK42</f>
        <v>3.5740690548597237E-9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478300.91668299347</v>
      </c>
      <c r="D39" s="122">
        <f>C39/$C$51</f>
        <v>4.0897155589088505E-2</v>
      </c>
      <c r="E39" s="318">
        <f>M.s1C*Molweight</f>
        <v>115689.79924606411</v>
      </c>
      <c r="F39" s="122">
        <f>E39/$E$51</f>
        <v>5.9957186504864118E-2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9.1179938523334544E-5</v>
      </c>
      <c r="N39" s="320">
        <f>C.s1C*(Molweight*1000)/(FRACw.s1C*1000+(1-FRACa.s1C-FRACw.s1C)*RHOsolid)</f>
        <v>1.4461219844331061E-6</v>
      </c>
      <c r="O39" s="320"/>
      <c r="P39" s="320"/>
      <c r="Q39" s="320"/>
      <c r="R39" s="120" t="s">
        <v>1495</v>
      </c>
      <c r="S39" s="325">
        <f>F.s1R</f>
        <v>2.6013327427380484E-9</v>
      </c>
      <c r="T39" s="325">
        <f>F.s1C</f>
        <v>4.1257370086254661E-11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7.3620804863897297E-3</v>
      </c>
      <c r="AE39" s="325">
        <f>(k.w2A.w2M+k.w2A.w3A)*M.w2A*Molweight</f>
        <v>6.9414447991040275E-3</v>
      </c>
      <c r="AF39" s="330"/>
      <c r="AG39" s="326">
        <f>KDEG.w2A*M.w2A*Molweight</f>
        <v>4.8710327071679947E-4</v>
      </c>
      <c r="AH39" s="325">
        <f>k.aA.w2A*M.aA*Molweight</f>
        <v>6.2062417122425226E-5</v>
      </c>
      <c r="AI39" s="325">
        <f>k.w2A.aA*M.w2A*Molweight</f>
        <v>1.4999108130288359E-9</v>
      </c>
      <c r="AJ39" s="325"/>
      <c r="AK39" s="325"/>
      <c r="AL39" s="325">
        <f>AL42</f>
        <v>4.4066662194847409E-6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3090.2832100806913</v>
      </c>
      <c r="D40" s="122">
        <f>C40/$C$51</f>
        <v>2.6423489658662332E-4</v>
      </c>
      <c r="E40" s="318">
        <f>E39*FRw.s1C</f>
        <v>747.46719422381898</v>
      </c>
      <c r="F40" s="122">
        <f>E40/$E$51</f>
        <v>3.8738099869137509E-4</v>
      </c>
      <c r="G40" s="318"/>
      <c r="H40" s="122"/>
      <c r="I40" s="318"/>
      <c r="J40" s="122"/>
      <c r="K40" s="318"/>
      <c r="L40" s="123"/>
      <c r="M40" s="320">
        <f>M41/Kp.s1R</f>
        <v>5.0074346461343244E-6</v>
      </c>
      <c r="N40" s="320">
        <f>N41/Kp.s1C</f>
        <v>7.9418361589854173E-8</v>
      </c>
      <c r="O40" s="320"/>
      <c r="P40" s="320"/>
      <c r="Q40" s="320"/>
      <c r="R40" s="120" t="s">
        <v>1489</v>
      </c>
      <c r="S40" s="325">
        <f>S39*FRACw.s1R</f>
        <v>5.2026654854760975E-10</v>
      </c>
      <c r="T40" s="325">
        <f>T39*FRACw.s1C</f>
        <v>8.2514740172509325E-12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6.9414447991040275E-3</v>
      </c>
      <c r="AE40" s="325">
        <f>(k.w3A.w2A+k.w3A.w3M)*M.w3A*Molweight</f>
        <v>2.5446903272293908E-3</v>
      </c>
      <c r="AF40" s="330"/>
      <c r="AG40" s="326">
        <f>KDEG.w3A*M.w3A*Molweight</f>
        <v>4.3965815874350105E-3</v>
      </c>
      <c r="AH40" s="325"/>
      <c r="AI40" s="325"/>
      <c r="AJ40" s="325"/>
      <c r="AK40" s="325"/>
      <c r="AL40" s="325"/>
      <c r="AM40" s="325">
        <f>k.w3A.sdA*M.w3A*Molweight</f>
        <v>3.8387248937186505E-6</v>
      </c>
      <c r="AN40" s="326">
        <f>k.sdA.w3A*M.sdA*Molweight</f>
        <v>3.6658404540942541E-6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4.1169167102196564E-4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475210.6333210037</v>
      </c>
      <c r="D41" s="122">
        <f>C41/$C$51</f>
        <v>4.0632920679512886E-2</v>
      </c>
      <c r="E41" s="318">
        <f>E39*FRs.s1C</f>
        <v>114942.33201509704</v>
      </c>
      <c r="F41" s="122">
        <f>E41/$E$51</f>
        <v>5.9569805487130249E-2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1.0266960567414117E-4</v>
      </c>
      <c r="N41" s="320">
        <f>C.s1C*FRs.s1C*(Molweight*1000)/(FRACs.s1C*RHOsolid)</f>
        <v>1.6283491336250103E-6</v>
      </c>
      <c r="O41" s="320"/>
      <c r="P41" s="320"/>
      <c r="Q41" s="320"/>
      <c r="R41" s="120" t="s">
        <v>1494</v>
      </c>
      <c r="S41" s="325">
        <f>S39*(1-FRACw.s1R)</f>
        <v>2.081066194190439E-9</v>
      </c>
      <c r="T41" s="325">
        <f>T39*(1-FRACw.s1C)</f>
        <v>3.300589606900373E-11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1.7377541399240136E-10</v>
      </c>
      <c r="AG41" s="326">
        <f>KDEG.sdA*M.sdA*Molweight</f>
        <v>1.7271066421040292E-7</v>
      </c>
      <c r="AH41" s="325"/>
      <c r="AI41" s="325"/>
      <c r="AJ41" s="325"/>
      <c r="AK41" s="325"/>
      <c r="AL41" s="325"/>
      <c r="AM41" s="325">
        <f>k.w3A.sdA*M.w3A*Molweight</f>
        <v>3.8387248937186505E-6</v>
      </c>
      <c r="AN41" s="326">
        <f>k.sdA.w3A*M.sdA*Molweight</f>
        <v>3.6658404540942541E-6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2.9257166624836126E-8</v>
      </c>
      <c r="AG42" s="326">
        <f>KDEG.sA*M.sA*Molweight</f>
        <v>2.5230192153911805E-5</v>
      </c>
      <c r="AH42" s="325"/>
      <c r="AI42" s="325"/>
      <c r="AJ42" s="325">
        <f>k.aA.sA*M.aA*Molweight</f>
        <v>2.9669689609076234E-5</v>
      </c>
      <c r="AK42" s="325">
        <f>k.sA.aA*M.sA*Molweight</f>
        <v>3.5740690548597237E-9</v>
      </c>
      <c r="AL42" s="325">
        <f>k.sA.w2A*M.sA*Molweight</f>
        <v>4.4066662194847409E-6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5.1129123059893641E-4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8081838.6721871532</v>
      </c>
      <c r="D43" s="122">
        <f>C43/$C$51</f>
        <v>0.69103821902439311</v>
      </c>
      <c r="E43" s="318">
        <f>M.s2C*Molweight</f>
        <v>271387.79363012768</v>
      </c>
      <c r="F43" s="122">
        <f>E43/$E$51</f>
        <v>0.14064894799598088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1.7332482931360863E-4</v>
      </c>
      <c r="N43" s="320">
        <f>C.s2C*(Molweight*1000)/(FRACw.s2C*1000+(1-FRACa.s2C-FRACw.s2C)*RHOsolid)</f>
        <v>3.8163895121873406E-7</v>
      </c>
      <c r="O43" s="320"/>
      <c r="P43" s="320"/>
      <c r="Q43" s="320"/>
      <c r="R43" s="120" t="s">
        <v>1495</v>
      </c>
      <c r="S43" s="325">
        <f>F.s2R</f>
        <v>4.9486966107924135E-9</v>
      </c>
      <c r="T43" s="325">
        <f>F.s2C</f>
        <v>1.0896392582192116E-11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8.0584604451842999E-4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52256.54372165625</v>
      </c>
      <c r="D44" s="122">
        <f>C44/$C$51</f>
        <v>4.468199672193039E-3</v>
      </c>
      <c r="E44" s="318">
        <f>E43*FRw.s2C</f>
        <v>1754.7724816831358</v>
      </c>
      <c r="F44" s="122">
        <f>E44/$E$51</f>
        <v>9.0942521850264529E-4</v>
      </c>
      <c r="G44" s="318"/>
      <c r="H44" s="122"/>
      <c r="I44" s="318"/>
      <c r="J44" s="122"/>
      <c r="K44" s="318"/>
      <c r="L44" s="123"/>
      <c r="M44" s="320">
        <f>M45/Kp.s2R</f>
        <v>9.5259919867101714E-6</v>
      </c>
      <c r="N44" s="320">
        <f>N45/Kp.s2C</f>
        <v>2.0975007478866109E-8</v>
      </c>
      <c r="O44" s="320"/>
      <c r="P44" s="320"/>
      <c r="Q44" s="320"/>
      <c r="R44" s="120" t="s">
        <v>1489</v>
      </c>
      <c r="S44" s="325">
        <f>S43*FRACw.s2R</f>
        <v>9.8973932215848273E-10</v>
      </c>
      <c r="T44" s="325">
        <f>T43*FRACw.s2C</f>
        <v>2.1792785164384233E-12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3.1077467130894782E-4</v>
      </c>
      <c r="AE44" s="325">
        <f>k.aT.aM*M.aT*Molweight</f>
        <v>6.5141123689935866E-6</v>
      </c>
      <c r="AF44" s="325">
        <f>kesc.aT*M.aT*Molweight</f>
        <v>5.9698427462752183E-9</v>
      </c>
      <c r="AG44" s="326">
        <f>KDEG.aT*M.aT*Molweight</f>
        <v>1.6343261388801456E-4</v>
      </c>
      <c r="AH44" s="325">
        <f>AH45</f>
        <v>1.0804618992937422E-4</v>
      </c>
      <c r="AI44" s="325">
        <f>AI45</f>
        <v>3.1081561318774068E-9</v>
      </c>
      <c r="AJ44" s="325">
        <f>AJ48</f>
        <v>3.2851251266519514E-5</v>
      </c>
      <c r="AK44" s="325">
        <f>AK48</f>
        <v>7.235783056845294E-8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9.0982765834316025E-5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8029582.1259053089</v>
      </c>
      <c r="D45" s="122">
        <f>C45/$C$51</f>
        <v>0.68657001913329097</v>
      </c>
      <c r="E45" s="318">
        <f>E43*FRs.s2C</f>
        <v>269633.02106247353</v>
      </c>
      <c r="F45" s="122">
        <f>E45/$E$51</f>
        <v>0.13973952273292306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1.9516467422830129E-4</v>
      </c>
      <c r="N45" s="320">
        <f>C.s2C*FRs.s2C*(Molweight*1000)/(FRACs.s2C*RHOsolid)</f>
        <v>4.2972747691370013E-7</v>
      </c>
      <c r="O45" s="320"/>
      <c r="P45" s="320"/>
      <c r="Q45" s="320"/>
      <c r="R45" s="120" t="s">
        <v>1494</v>
      </c>
      <c r="S45" s="325">
        <f>S43*(1-FRACw.s2R)</f>
        <v>3.9589572886339309E-9</v>
      </c>
      <c r="T45" s="325">
        <f>T43*(1-FRACw.s2C)</f>
        <v>8.7171140657536933E-12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1.7932319307586567E-5</v>
      </c>
      <c r="AE45" s="325">
        <f>(k.w2T.w2M+k.w2T.w3T)*M.w2T*Molweight</f>
        <v>6.8437198693477316E-5</v>
      </c>
      <c r="AF45" s="330"/>
      <c r="AG45" s="326">
        <f>KDEG.w2T*M.w2T*Molweight</f>
        <v>5.9946157870594905E-5</v>
      </c>
      <c r="AH45" s="325">
        <f>k.aT.w2T*M.aT*Molweight</f>
        <v>1.0804618992937422E-4</v>
      </c>
      <c r="AI45" s="325">
        <f>k.w2T.aT*M.w2T*Molweight</f>
        <v>3.1081561318774068E-9</v>
      </c>
      <c r="AJ45" s="325"/>
      <c r="AK45" s="325"/>
      <c r="AL45" s="325">
        <f>AL48</f>
        <v>2.4079554832433238E-6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5.2402040870557572E-4</v>
      </c>
      <c r="AE46" s="325">
        <f>(k.w3T.w2T+k.w3T.w3M)*M.w3T*Molweight</f>
        <v>1.7932319307586567E-5</v>
      </c>
      <c r="AF46" s="330"/>
      <c r="AG46" s="326">
        <f>KDEG.w3T*M.w3T*Molweight</f>
        <v>5.0607450917748654E-4</v>
      </c>
      <c r="AH46" s="325"/>
      <c r="AI46" s="325"/>
      <c r="AJ46" s="325"/>
      <c r="AK46" s="325"/>
      <c r="AL46" s="325"/>
      <c r="AM46" s="325">
        <f>k.w3T.sdT*M.w3T*Molweight</f>
        <v>3.9055421572379946E-8</v>
      </c>
      <c r="AN46" s="326">
        <f>k.sdT.w3T*M.sdT*Molweight</f>
        <v>2.5475201069739511E-8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177135.91396796572</v>
      </c>
      <c r="D47" s="122">
        <f>C47/$C$51</f>
        <v>1.5146019548117815E-2</v>
      </c>
      <c r="E47" s="318">
        <f>M.s3C*Molweight</f>
        <v>42844.935489876516</v>
      </c>
      <c r="F47" s="122">
        <f>E47/$E$51</f>
        <v>2.2204738919907784E-2</v>
      </c>
      <c r="G47" s="318">
        <f>M.sM*Molweight</f>
        <v>33436.128030348737</v>
      </c>
      <c r="H47" s="122">
        <f>G47/$G$51</f>
        <v>6.3393758187708441E-2</v>
      </c>
      <c r="I47" s="318">
        <f>M.sA*Molweight</f>
        <v>2668.5484226242584</v>
      </c>
      <c r="J47" s="122">
        <f>I47/$I$51</f>
        <v>1.0215437222313203E-2</v>
      </c>
      <c r="K47" s="318">
        <f>M.sT*Molweight</f>
        <v>283.77644330984464</v>
      </c>
      <c r="L47" s="123">
        <f>K47/$K$51</f>
        <v>9.624673709578653E-2</v>
      </c>
      <c r="M47" s="320">
        <f>C.s3R*(Molweight*1000)/(FRACw.s3R*1000+(1-FRACa.s3R-FRACw.s3R)*RHOsolid)</f>
        <v>9.1173466729443521E-5</v>
      </c>
      <c r="N47" s="320">
        <f>C.s3C*(Molweight*1000)/(FRACw.s3C*1000+(1-FRACa.s3C-FRACw.s3C)*RHOsolid)</f>
        <v>1.446016066677709E-6</v>
      </c>
      <c r="O47" s="320">
        <f>C.sM*(Molweight*1000)/(FRACw.sM*1000+(1-FRACa.sM-FRACw.sM)*RHOsolid)</f>
        <v>1.0142071117694737E-8</v>
      </c>
      <c r="P47" s="320">
        <f>C.sA*(Molweight*1000)/(FRACw.sA*1000+(1-FRACa.sA-FRACw.sA)*RHOsolid)</f>
        <v>1.8467463132347807E-9</v>
      </c>
      <c r="Q47" s="320">
        <f>C.sT*(Molweight*1000)/(FRACw.sT*1000+(1-FRACa.sT-FRACw.sT)*RHOsolid)</f>
        <v>8.7282258611255524E-11</v>
      </c>
      <c r="R47" s="120" t="s">
        <v>1495</v>
      </c>
      <c r="S47" s="325">
        <f>F.s3R</f>
        <v>2.6031459403997042E-9</v>
      </c>
      <c r="T47" s="325">
        <f>F.s3C</f>
        <v>4.1286034070581407E-11</v>
      </c>
      <c r="U47" s="325">
        <f>F.sM</f>
        <v>2.89349851567243E-13</v>
      </c>
      <c r="V47" s="325">
        <f>F.sA</f>
        <v>1.5400121623536173E-15</v>
      </c>
      <c r="W47" s="326">
        <f>F.sT</f>
        <v>1.5714771372095118E-14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1.2076258276568997E-12</v>
      </c>
      <c r="AG47" s="326">
        <f>KDEG.sdT*M.sdT*Molweight</f>
        <v>1.3579012876812772E-8</v>
      </c>
      <c r="AH47" s="325"/>
      <c r="AI47" s="325"/>
      <c r="AJ47" s="325"/>
      <c r="AK47" s="325"/>
      <c r="AL47" s="325"/>
      <c r="AM47" s="325">
        <f>k.w3T.sdT*M.w3T*Molweight</f>
        <v>3.9055421572379946E-8</v>
      </c>
      <c r="AN47" s="326">
        <f>k.sdT.w3T*M.sdT*Molweight</f>
        <v>2.5475201069739511E-8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8.6167937426547673E-6</v>
      </c>
      <c r="AW47" s="75"/>
      <c r="AX47" s="290">
        <f>output!AF16</f>
        <v>2.1579763749585081E-3</v>
      </c>
      <c r="AY47" s="75"/>
      <c r="AZ47" s="75"/>
      <c r="BA47" s="75"/>
      <c r="BB47" s="75"/>
      <c r="BC47" s="2"/>
      <c r="BD47" s="295">
        <f>output!AF18</f>
        <v>1.4683054870256017E-5</v>
      </c>
      <c r="BE47" s="75"/>
      <c r="BF47" s="295">
        <f>output!AF20</f>
        <v>5.4419590175921841E-6</v>
      </c>
      <c r="BG47" s="75"/>
      <c r="BH47" s="299">
        <f>output!AF19</f>
        <v>1.1298530980156868E-4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1145.3471181994644</v>
      </c>
      <c r="D48" s="122">
        <f>C48/$C$51</f>
        <v>9.7932990848861439E-5</v>
      </c>
      <c r="E48" s="318">
        <f>E47*FRw.s3C</f>
        <v>277.03203880860963</v>
      </c>
      <c r="F48" s="122">
        <f>E48/$E$51</f>
        <v>1.4357412431274189E-4</v>
      </c>
      <c r="G48" s="318">
        <f>G47*FRw.sM</f>
        <v>216.02949410773937</v>
      </c>
      <c r="H48" s="122">
        <f>G48/$G$51</f>
        <v>4.0958455172945385E-4</v>
      </c>
      <c r="I48" s="318">
        <f>I47*FRw.sA</f>
        <v>17.241385288259554</v>
      </c>
      <c r="J48" s="122">
        <f>I48/$I$51</f>
        <v>6.6001533846901235E-5</v>
      </c>
      <c r="K48" s="318">
        <f>K47*FRw.sT</f>
        <v>1.8334683170920132</v>
      </c>
      <c r="L48" s="123">
        <f>K48/$K$51</f>
        <v>6.2184634154404924E-4</v>
      </c>
      <c r="M48" s="320">
        <f>M49/Kp.s3R</f>
        <v>5.0109249604036591E-6</v>
      </c>
      <c r="N48" s="320">
        <f>N49/Kp.s3C</f>
        <v>7.947353831748148E-8</v>
      </c>
      <c r="O48" s="320">
        <f>O49/Kp.sM</f>
        <v>5.5698390589840014E-10</v>
      </c>
      <c r="P48" s="320">
        <f>P49/Kp.sA</f>
        <v>1.0141991346035033E-10</v>
      </c>
      <c r="Q48" s="320">
        <f>Q49/Kp.sT</f>
        <v>4.7933812211555883E-12</v>
      </c>
      <c r="R48" s="120" t="s">
        <v>1489</v>
      </c>
      <c r="S48" s="325">
        <f>S47*FRACw.s3R</f>
        <v>5.2062918807994081E-10</v>
      </c>
      <c r="T48" s="325">
        <f>T47*FRACw.s3C</f>
        <v>8.2572068141162821E-12</v>
      </c>
      <c r="U48" s="325">
        <f>U47*FRACw.sM</f>
        <v>5.7869970313448607E-14</v>
      </c>
      <c r="V48" s="325">
        <f>V47*FRACw.sA</f>
        <v>3.0800243247072348E-16</v>
      </c>
      <c r="W48" s="326">
        <f>W47*FRACw.sT</f>
        <v>3.1429542744190236E-15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1.6178448147866662E-8</v>
      </c>
      <c r="AG48" s="326">
        <f>KDEG.sT*M.sT*Molweight</f>
        <v>3.0354759504559875E-5</v>
      </c>
      <c r="AH48" s="325"/>
      <c r="AI48" s="325"/>
      <c r="AJ48" s="325">
        <f>k.aT.sT*M.aT*Molweight</f>
        <v>3.2851251266519514E-5</v>
      </c>
      <c r="AK48" s="325">
        <f>k.sT.aT*M.sT*Molweight</f>
        <v>7.235783056845294E-8</v>
      </c>
      <c r="AL48" s="333">
        <f>k.sT.w2T*M.sT*Molweight</f>
        <v>2.4079554832433238E-6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175990.56679365263</v>
      </c>
      <c r="D49" s="122">
        <f>C49/$C$51</f>
        <v>1.5048086552470955E-2</v>
      </c>
      <c r="E49" s="318">
        <f>E47*FRs.s3C</f>
        <v>42567.903437495363</v>
      </c>
      <c r="F49" s="122">
        <f>E49/$E$51</f>
        <v>2.2061164788560961E-2</v>
      </c>
      <c r="G49" s="318">
        <f>G47*FRs.sM</f>
        <v>33220.09852562163</v>
      </c>
      <c r="H49" s="122">
        <f>G49/$G$51</f>
        <v>6.2984173615845032E-2</v>
      </c>
      <c r="I49" s="318">
        <f>I47*FRs.sA</f>
        <v>2651.3070373091537</v>
      </c>
      <c r="J49" s="122">
        <f>I49/$I$51</f>
        <v>1.0149435688363536E-2</v>
      </c>
      <c r="K49" s="318">
        <f>K47*FRs.sT</f>
        <v>281.94297444878521</v>
      </c>
      <c r="L49" s="123">
        <f>K49/$K$51</f>
        <v>9.562489056974835E-2</v>
      </c>
      <c r="M49" s="320">
        <f>C.s3R*FRs.s3R*(Molweight*1000)/(FRACs.s3R*RHOsolid)</f>
        <v>1.0266180559924904E-4</v>
      </c>
      <c r="N49" s="320">
        <f>C.s3C*FRs.s3C*(Molweight*1000)/(FRACs.s3C*RHOsolid)</f>
        <v>1.6282217366065897E-6</v>
      </c>
      <c r="O49" s="320">
        <f>C.sM*FRs.sM*(Molweight*1000)/(FRACs.sM*RHOsolid)</f>
        <v>1.1420082742283624E-8</v>
      </c>
      <c r="P49" s="320">
        <f>C.sA*FRs.sA*(Molweight*1000)/(FRACs.sA*RHOsolid)</f>
        <v>2.0794564998503166E-9</v>
      </c>
      <c r="Q49" s="320">
        <f>C.sT*FRs.sT*(Molweight*1000)/(FRACs.sT*RHOsolid)</f>
        <v>9.8280775406983922E-11</v>
      </c>
      <c r="R49" s="120" t="s">
        <v>1494</v>
      </c>
      <c r="S49" s="325">
        <f>S47*(1-FRACw.s3R)</f>
        <v>2.0825167523197633E-9</v>
      </c>
      <c r="T49" s="325">
        <f>T47*(1-FRACw.s3C)</f>
        <v>3.3028827256465129E-11</v>
      </c>
      <c r="U49" s="325">
        <f>U47*(1-FRACw.sM)</f>
        <v>2.3147988125379443E-13</v>
      </c>
      <c r="V49" s="325">
        <f>V47*(1-FRACw.sA)</f>
        <v>1.2320097298828939E-15</v>
      </c>
      <c r="W49" s="326">
        <f>W47*(1-FRACw.sT)</f>
        <v>1.2571817097676094E-14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2.3291023221919151E-3</v>
      </c>
      <c r="AG49" s="336">
        <f>SUM(AG11:AG48)</f>
        <v>0.94896465719074574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11695212.290279809</v>
      </c>
      <c r="D51" s="130">
        <f>C51/SUM($C$51,$E$51,$G$51,$I$51,$K$51)</f>
        <v>0.81124565405681703</v>
      </c>
      <c r="E51" s="317">
        <f>SUM(E11,E15,E19,E23,E27,E31,E35,E39,E43,E47)</f>
        <v>1929540.1600720307</v>
      </c>
      <c r="F51" s="130">
        <f>E51/SUM($C$51,$E$51,$G$51,$I$51,$K$51)</f>
        <v>0.13384374993239898</v>
      </c>
      <c r="G51" s="317">
        <f>SUM(G11,G15,G19,G23,G27,G31,G35,G39,G43,G47)</f>
        <v>527435.64960046404</v>
      </c>
      <c r="H51" s="130">
        <f>G51/SUM($C$51,$E$51,$G$51,$I$51,$K$51)</f>
        <v>3.6585900957833192E-2</v>
      </c>
      <c r="I51" s="317">
        <f>SUM(I11,I15,I19,I23,I27,I31,I35,I39,I43,I47)</f>
        <v>261227.03948446244</v>
      </c>
      <c r="J51" s="130">
        <f>I51/SUM($C$51,$E$51,$G$51,$I$51,$K$51)</f>
        <v>1.812017561066679E-2</v>
      </c>
      <c r="K51" s="317">
        <f>SUM(K11,K15,K19,K23,K27,K31,K35,K39,K43,K47)</f>
        <v>2948.4266362965122</v>
      </c>
      <c r="L51" s="130">
        <f>K51/SUM($C$51,$E$51,$G$51,$I$51,$K$51)</f>
        <v>2.045194422839911E-4</v>
      </c>
      <c r="M51" s="199"/>
      <c r="N51" s="199"/>
      <c r="O51" s="199"/>
      <c r="P51" s="199"/>
      <c r="Q51" s="199"/>
      <c r="R51" s="199"/>
      <c r="S51" s="328">
        <f>SUM(S11,S15,S19,S23,S27,S35,S39,S43,S47)</f>
        <v>7.3705700566494712E-7</v>
      </c>
      <c r="T51" s="328">
        <f>SUM(T11,T15,T19,T23,T27,T35,T39,T43,T47)</f>
        <v>9.3578902078840568E-9</v>
      </c>
      <c r="U51" s="328">
        <f>SUM(U11,U15,U19,U23,U27,U35,U39,U43,U47)</f>
        <v>6.474953226164719E-11</v>
      </c>
      <c r="V51" s="328">
        <f>SUM(V11,V15,V19,V23,V27,V35,V39,V43,V47)</f>
        <v>2.4721508793522304E-12</v>
      </c>
      <c r="W51" s="328">
        <f>SUM(W11,W15,W19,W23,W27,W35,W39,W43,W47)</f>
        <v>1.4281772237985473E-12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5.4928585117156024E-8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3.8318438819961946E-7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1.0952835296306874E-4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1.0330711285637585E-5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3.0403693657115689E-3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2.4165488625449495E-4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9.1179938523334544E-5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1.7332482931360863E-4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9.1173466729443521E-5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5.6591226694566857E-2</v>
      </c>
      <c r="AY72" s="75"/>
      <c r="AZ72" s="256">
        <f>output!AF22</f>
        <v>2.2982567999733876E-6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0.11884823888528043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1.0553642368546294E-2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3.2514503594849166E-3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4.8902539555644589E-6</v>
      </c>
      <c r="BE84" s="2"/>
      <c r="BF84" s="304">
        <f>IF(output!AK30&lt;0,"",output!AK30)</f>
        <v>1.811072511325158E-6</v>
      </c>
      <c r="BG84" s="75"/>
      <c r="BH84" s="311">
        <f>IF(output!AK29&lt;0,"",output!AK29)</f>
        <v>5.2202321294408556E-6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1.3483489983225065E-6</v>
      </c>
      <c r="AV85" s="87"/>
      <c r="AW85" s="75"/>
      <c r="AX85" s="304">
        <f>output!AL24</f>
        <v>1.1846496609986879E-3</v>
      </c>
      <c r="AY85" s="87"/>
      <c r="AZ85" s="201"/>
      <c r="BA85" s="311">
        <f>IF(output!AI23&lt;0,"",output!AI23)</f>
        <v>3.8208245615973098E-9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5.5641415920750243E-3</v>
      </c>
      <c r="BE86" s="87"/>
      <c r="BF86" s="304">
        <f>IF(output!AJ30&lt;0,"",output!AJ30)</f>
        <v>2.0607931822500085E-3</v>
      </c>
      <c r="BG86" s="75"/>
      <c r="BH86" s="311">
        <f>IF(output!AJ29&lt;0,"",output!AJ29)</f>
        <v>1.2364759093500051E-2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3.0856450852263059E-2</v>
      </c>
      <c r="AV87" s="200"/>
      <c r="AW87" s="84"/>
      <c r="AX87" s="304">
        <f>IF(output!AH24&lt;0,"",output!AH24)</f>
        <v>7.9655031159189208E-4</v>
      </c>
      <c r="AY87" s="291">
        <f>output!AL24</f>
        <v>1.1846496609986879E-3</v>
      </c>
      <c r="AZ87" s="75"/>
      <c r="BA87" s="311">
        <f>IF(output!AH23&lt;0,"",output!AH23)</f>
        <v>7.241366469017203E-5</v>
      </c>
      <c r="BB87" s="291">
        <f>output!AL23</f>
        <v>1.0769542372715347E-4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4.8374093646778061E-6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8.799532276739661E-4</v>
      </c>
      <c r="AT89" s="83"/>
      <c r="AU89" s="302"/>
      <c r="AV89" s="75"/>
      <c r="AW89" s="81"/>
      <c r="AX89" s="265">
        <f>output!AD24</f>
        <v>4.8374093646778061E-6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4.655185575126608E-2</v>
      </c>
      <c r="AT90" s="81"/>
      <c r="AU90" s="278">
        <f>output!AD25</f>
        <v>0.14322315137357608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1.7526785822808612E-4</v>
      </c>
      <c r="BB91" s="309">
        <f>IF(ISERROR(output!F15),0,output!F15)</f>
        <v>1.0457884242616564E-3</v>
      </c>
      <c r="BC91" s="2"/>
      <c r="BD91" s="295">
        <f>output!AG28</f>
        <v>5.0258153479981055E-3</v>
      </c>
      <c r="BE91" s="2"/>
      <c r="BF91" s="312">
        <f>output!AG30</f>
        <v>1.8612767570891601E-3</v>
      </c>
      <c r="BG91" s="75"/>
      <c r="BH91" s="295">
        <f>output!AG29</f>
        <v>1.1789673310648788E-2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6.2777572437257376E-3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1.0505580692544282E-3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2.6566866999291406E-4</v>
      </c>
      <c r="AZ96" s="75"/>
      <c r="BA96" s="75"/>
      <c r="BB96" s="43"/>
      <c r="BC96" s="2"/>
      <c r="BD96" s="277">
        <f>IF(ISERROR(output!F39),0,output!F39)</f>
        <v>5.9957186504864118E-2</v>
      </c>
      <c r="BE96" s="43"/>
      <c r="BF96" s="277">
        <f>IF(ISERROR(output!F47),0,output!F47)</f>
        <v>2.2204738919907784E-2</v>
      </c>
      <c r="BG96" s="43"/>
      <c r="BH96" s="277">
        <f>IF(ISERROR(output!F43),0,output!F43)</f>
        <v>0.14064894799598088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0.12746174823668846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3.2043135243606458E-4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4.2198831977431899E-5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0.76087803260851627</v>
      </c>
      <c r="AW101" s="56"/>
      <c r="AX101" s="307"/>
      <c r="AY101" s="276">
        <f>IF(ISERROR(output!F23),0,output!F23)</f>
        <v>2.2654144229050334E-3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2.9865980986431271E-4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3.6330969875061767E-4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3.4706835203535892E-3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6.4649888886304918E-5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1.2563850465718694E-5</v>
      </c>
      <c r="AY111" s="75"/>
      <c r="AZ111" s="75"/>
      <c r="BA111" s="75"/>
      <c r="BB111" s="76"/>
      <c r="BC111" s="2"/>
      <c r="BD111" s="295">
        <f>output!AF28</f>
        <v>3.551487381707669E-6</v>
      </c>
      <c r="BE111" s="76"/>
      <c r="BF111" s="295">
        <f>output!AF30</f>
        <v>1.3162795608430648E-6</v>
      </c>
      <c r="BG111" s="43"/>
      <c r="BH111" s="294">
        <f>output!AF29</f>
        <v>3.794041824317438E-6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8.7145244950609964E-10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2.3155288407400379E-9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4.2120832114382446E-8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1.9768147347515199E-9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1.1692213399943051E-6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4.6241437463916637E-8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1.4461219844331061E-6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3.8163895121873406E-7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1.446016066677709E-6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5.5086066817917141E-4</v>
      </c>
      <c r="AT136" s="81">
        <f>output!AD32</f>
        <v>8.6830228691838641E-3</v>
      </c>
      <c r="AU136" s="268">
        <f>output!AF32</f>
        <v>1.7327801906434347E-7</v>
      </c>
      <c r="AV136" s="221"/>
      <c r="AW136" s="221"/>
      <c r="AX136" s="221"/>
      <c r="AY136" s="279">
        <f>output!AE38</f>
        <v>7.4539164763551338E-6</v>
      </c>
      <c r="AZ136" s="266">
        <f>output!AD38</f>
        <v>1.7942584013753851E-4</v>
      </c>
      <c r="BA136" s="268">
        <f>output!AF38</f>
        <v>3.9439512683186192E-9</v>
      </c>
      <c r="BB136" s="75"/>
      <c r="BC136" s="75"/>
      <c r="BD136" s="75"/>
      <c r="BE136" s="279">
        <f>output!AE44</f>
        <v>6.5141123689935866E-6</v>
      </c>
      <c r="BF136" s="266">
        <f>output!AD44</f>
        <v>3.1077467130894782E-4</v>
      </c>
      <c r="BG136" s="268">
        <f>output!AF44</f>
        <v>5.9698427462752183E-9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4.266718870654179E-3</v>
      </c>
      <c r="AV141" s="223" t="s">
        <v>446</v>
      </c>
      <c r="AW141" s="221"/>
      <c r="AX141" s="221"/>
      <c r="AY141" s="2"/>
      <c r="AZ141" s="202"/>
      <c r="BA141" s="269">
        <f>output!AG38</f>
        <v>8.0240946958281501E-5</v>
      </c>
      <c r="BB141" s="47" t="s">
        <v>446</v>
      </c>
      <c r="BC141" s="75"/>
      <c r="BD141" s="75"/>
      <c r="BE141" s="2"/>
      <c r="BF141" s="202"/>
      <c r="BG141" s="269">
        <f>output!AG44</f>
        <v>1.6343261388801456E-4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8.9682228218853071E-4</v>
      </c>
      <c r="AW142" s="221"/>
      <c r="AX142" s="221"/>
      <c r="AY142" s="203"/>
      <c r="AZ142" s="202"/>
      <c r="BA142" s="75"/>
      <c r="BB142" s="277">
        <f>IF(ISERROR(output!J11),0,output!J11)</f>
        <v>4.1214098799946809E-5</v>
      </c>
      <c r="BC142" s="75"/>
      <c r="BD142" s="75"/>
      <c r="BE142" s="203"/>
      <c r="BF142" s="75"/>
      <c r="BG142" s="75"/>
      <c r="BH142" s="277">
        <f>IF(ISERROR(output!L11),0,output!L11)</f>
        <v>5.5271972253164098E-3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1.4133584674254279E-6</v>
      </c>
      <c r="AY144" s="2"/>
      <c r="AZ144" s="75"/>
      <c r="BA144" s="75"/>
      <c r="BB144" s="75"/>
      <c r="BC144" s="75"/>
      <c r="BD144" s="270">
        <f>k.sA.aA*M.sA*Molweight</f>
        <v>3.5740690548597237E-9</v>
      </c>
      <c r="BE144" s="2"/>
      <c r="BF144" s="75"/>
      <c r="BG144" s="75"/>
      <c r="BH144" s="75"/>
      <c r="BI144" s="75"/>
      <c r="BJ144" s="270">
        <f>k.sT.aT*M.sT*Molweight</f>
        <v>7.235783056845294E-8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2.504683341590445E-7</v>
      </c>
      <c r="AV145" s="221"/>
      <c r="AW145" s="221"/>
      <c r="AX145" s="221"/>
      <c r="AY145" s="2"/>
      <c r="AZ145" s="75"/>
      <c r="BA145" s="270">
        <f>k.w2A.aA*M.w2A*Molweight</f>
        <v>1.4999108130288359E-9</v>
      </c>
      <c r="BB145" s="75"/>
      <c r="BC145" s="75"/>
      <c r="BD145" s="221"/>
      <c r="BE145" s="2"/>
      <c r="BF145" s="75"/>
      <c r="BG145" s="270">
        <f>k.w2T.aT*M.w2T*Molweight</f>
        <v>3.1081561318774068E-9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1.608122339774381E-3</v>
      </c>
      <c r="AY146" s="2"/>
      <c r="AZ146" s="75"/>
      <c r="BA146" s="221"/>
      <c r="BB146" s="75"/>
      <c r="BC146" s="75"/>
      <c r="BD146" s="270">
        <f>IF(output!AJ42&lt;0,"",output!AJ42)</f>
        <v>2.9669689609076234E-5</v>
      </c>
      <c r="BE146" s="2"/>
      <c r="BF146" s="75"/>
      <c r="BG146" s="221"/>
      <c r="BH146" s="75"/>
      <c r="BI146" s="75"/>
      <c r="BJ146" s="270">
        <f>IF(output!AJ48&lt;0,"",output!AJ48)</f>
        <v>3.2851251266519514E-5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4.0070207950176677E-2</v>
      </c>
      <c r="AT147" s="81">
        <f>output!AD33</f>
        <v>4.9497103178819342E-2</v>
      </c>
      <c r="AU147" s="270">
        <f>IF(output!AH33&lt;0,"",output!AH33)</f>
        <v>2.2588115393586531E-3</v>
      </c>
      <c r="AV147" s="272">
        <f>output!AL33</f>
        <v>1.5314475597988657E-4</v>
      </c>
      <c r="AW147" s="221"/>
      <c r="AX147" s="221"/>
      <c r="AY147" s="279">
        <f>output!AE39</f>
        <v>6.9414447991040275E-3</v>
      </c>
      <c r="AZ147" s="266">
        <f>output!AD39</f>
        <v>7.3620804863897297E-3</v>
      </c>
      <c r="BA147" s="270">
        <f>IF(output!AH39&lt;0,"",output!AH39)</f>
        <v>6.2062417122425226E-5</v>
      </c>
      <c r="BB147" s="272">
        <f>output!AL39</f>
        <v>4.4066662194847409E-6</v>
      </c>
      <c r="BC147" s="75"/>
      <c r="BD147" s="75"/>
      <c r="BE147" s="279">
        <f>output!AE45</f>
        <v>6.8437198693477316E-5</v>
      </c>
      <c r="BF147" s="266">
        <f>output!AD45</f>
        <v>1.7932319307586567E-5</v>
      </c>
      <c r="BG147" s="270">
        <f>IF(output!AH45&lt;0,"",output!AH45)</f>
        <v>1.0804618992937422E-4</v>
      </c>
      <c r="BH147" s="272">
        <f>output!AL45</f>
        <v>2.4079554832433238E-6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0.25853533135850554</v>
      </c>
      <c r="AW150" s="221"/>
      <c r="AX150" s="221"/>
      <c r="AY150" s="2"/>
      <c r="AZ150" s="75"/>
      <c r="BA150" s="59"/>
      <c r="BB150" s="273">
        <f>IF(ISERROR(output!J27),0,output!J27)</f>
        <v>9.8686535890704752E-2</v>
      </c>
      <c r="BC150" s="78"/>
      <c r="BD150" s="75"/>
      <c r="BE150" s="2"/>
      <c r="BF150" s="75"/>
      <c r="BG150" s="59"/>
      <c r="BH150" s="273">
        <f>IF(ISERROR(output!L27),0,output!L27)</f>
        <v>9.5108871725298874E-2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1.4525377909519832E-3</v>
      </c>
      <c r="AY151" s="2"/>
      <c r="AZ151" s="75"/>
      <c r="BA151" s="59"/>
      <c r="BB151" s="49"/>
      <c r="BC151" s="75"/>
      <c r="BD151" s="274">
        <f>output!AJ42</f>
        <v>2.9669689609076234E-5</v>
      </c>
      <c r="BE151" s="2"/>
      <c r="BF151" s="75"/>
      <c r="BG151" s="59"/>
      <c r="BH151" s="59"/>
      <c r="BI151" s="75"/>
      <c r="BJ151" s="274">
        <f>output!AG48</f>
        <v>3.0354759504559875E-5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1.1838601055647031E-2</v>
      </c>
      <c r="AW152" s="221"/>
      <c r="AX152" s="221"/>
      <c r="AY152" s="2"/>
      <c r="AZ152" s="75"/>
      <c r="BA152" s="59"/>
      <c r="BB152" s="257">
        <f>output!AG39</f>
        <v>4.8710327071679947E-4</v>
      </c>
      <c r="BC152" s="2"/>
      <c r="BD152" s="75"/>
      <c r="BE152" s="2"/>
      <c r="BF152" s="75"/>
      <c r="BG152" s="59"/>
      <c r="BH152" s="257">
        <f>output!AG45</f>
        <v>5.9946157870594905E-5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2.9649059968376076E-3</v>
      </c>
      <c r="AU153" s="224"/>
      <c r="AV153" s="225"/>
      <c r="AW153" s="221"/>
      <c r="AX153" s="221"/>
      <c r="AY153" s="2"/>
      <c r="AZ153" s="275">
        <f>k.w3A.w2A*M.w3A*Molweight</f>
        <v>2.0884434046896209E-3</v>
      </c>
      <c r="BA153" s="59"/>
      <c r="BB153" s="49"/>
      <c r="BC153" s="2"/>
      <c r="BD153" s="75"/>
      <c r="BE153" s="2"/>
      <c r="BF153" s="275">
        <f>k.w3T.w2T*M.w3T*Molweight</f>
        <v>1.7932319307586567E-5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3.3969081197807977E-2</v>
      </c>
      <c r="AU155" s="221"/>
      <c r="AV155" s="223" t="s">
        <v>2166</v>
      </c>
      <c r="AW155" s="221"/>
      <c r="AX155" s="271">
        <f>IF(ISERROR(output!H47),0,output!H47)</f>
        <v>6.3393758187708441E-2</v>
      </c>
      <c r="AY155" s="2"/>
      <c r="AZ155" s="275">
        <f>k.w2A.w3A*M.w2A*Molweight</f>
        <v>6.9414447991040275E-3</v>
      </c>
      <c r="BA155" s="75"/>
      <c r="BB155" s="223" t="s">
        <v>2166</v>
      </c>
      <c r="BC155" s="47"/>
      <c r="BD155" s="271">
        <f>IF(ISERROR(output!J47),0,output!J47)</f>
        <v>1.0215437222313203E-2</v>
      </c>
      <c r="BE155" s="2"/>
      <c r="BF155" s="275">
        <f>k.w2T.w3T*M.w2T*Molweight</f>
        <v>6.3724231790233967E-5</v>
      </c>
      <c r="BG155" s="75"/>
      <c r="BH155" s="223" t="s">
        <v>2166</v>
      </c>
      <c r="BI155" s="47"/>
      <c r="BJ155" s="271">
        <f>IF(ISERROR(output!L47),0,output!L47)</f>
        <v>9.624673709578653E-2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0.67696822578942351</v>
      </c>
      <c r="AW156" s="221"/>
      <c r="AX156" s="221"/>
      <c r="AY156" s="203"/>
      <c r="AZ156" s="2"/>
      <c r="BA156" s="75"/>
      <c r="BB156" s="273">
        <f>IF(ISERROR(output!J31),0,output!J31)</f>
        <v>0.89074213356509246</v>
      </c>
      <c r="BC156" s="75"/>
      <c r="BD156" s="75"/>
      <c r="BE156" s="203"/>
      <c r="BF156" s="2"/>
      <c r="BG156" s="75"/>
      <c r="BH156" s="273">
        <f>IF(ISERROR(output!L31),0,output!L31)</f>
        <v>0.80292344474699351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3.4252021737529491E-3</v>
      </c>
      <c r="AT157" s="266">
        <f>output!AD34</f>
        <v>3.4425328120347744E-2</v>
      </c>
      <c r="AU157" s="221"/>
      <c r="AV157" s="225"/>
      <c r="AW157" s="226"/>
      <c r="AX157" s="221"/>
      <c r="AY157" s="279">
        <f>output!AE40</f>
        <v>2.5446903272293908E-3</v>
      </c>
      <c r="AZ157" s="266">
        <f>output!AD40</f>
        <v>6.9414447991040275E-3</v>
      </c>
      <c r="BA157" s="75"/>
      <c r="BB157" s="2"/>
      <c r="BC157" s="76"/>
      <c r="BD157" s="75"/>
      <c r="BE157" s="279">
        <f>output!AE46</f>
        <v>1.7932319307586567E-5</v>
      </c>
      <c r="BF157" s="266">
        <f>output!AD46</f>
        <v>5.2402040870557572E-4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3.0999077419545516E-2</v>
      </c>
      <c r="AW158" s="226"/>
      <c r="AX158" s="221"/>
      <c r="AY158" s="2"/>
      <c r="AZ158" s="75"/>
      <c r="BA158" s="75"/>
      <c r="BB158" s="274">
        <f>output!AG40</f>
        <v>4.3965815874350105E-3</v>
      </c>
      <c r="BC158" s="2"/>
      <c r="BD158" s="75"/>
      <c r="BE158" s="2"/>
      <c r="BF158" s="75"/>
      <c r="BG158" s="75"/>
      <c r="BH158" s="274">
        <f>output!AG46</f>
        <v>5.0607450917748654E-4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4.8420064556860838E-6</v>
      </c>
      <c r="AU159" s="221"/>
      <c r="AV159" s="221"/>
      <c r="AW159" s="226"/>
      <c r="AX159" s="221"/>
      <c r="AY159" s="2"/>
      <c r="AZ159" s="272">
        <f>k.sdA.w3A*M.sdA*Molweight</f>
        <v>3.6658404540942541E-6</v>
      </c>
      <c r="BA159" s="2"/>
      <c r="BB159" s="75"/>
      <c r="BC159" s="2"/>
      <c r="BD159" s="75"/>
      <c r="BE159" s="2"/>
      <c r="BF159" s="275">
        <f>k.sdT.w3T*M.sdT*Molweight</f>
        <v>2.5475201069739511E-8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5.8905335049638246E-6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3.8387248937186505E-6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3.9055421572379946E-8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2.0586238217404611E-4</v>
      </c>
      <c r="AW162" s="221"/>
      <c r="AX162" s="221"/>
      <c r="AY162" s="2"/>
      <c r="AZ162" s="75"/>
      <c r="BA162" s="47"/>
      <c r="BB162" s="276">
        <f>IF(ISERROR(output!J35),0,output!J35)</f>
        <v>3.1467922308959817E-4</v>
      </c>
      <c r="BC162" s="75"/>
      <c r="BD162" s="75"/>
      <c r="BE162" s="2"/>
      <c r="BF162" s="75"/>
      <c r="BG162" s="47"/>
      <c r="BH162" s="276">
        <f>IF(ISERROR(output!L35),0,output!L35)</f>
        <v>1.93749206604769E-4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1.048203056198538E-6</v>
      </c>
      <c r="AV164" s="269">
        <f>output!AF35</f>
        <v>3.2399307920306597E-10</v>
      </c>
      <c r="AW164" s="221"/>
      <c r="AX164" s="274">
        <f>output!AF36</f>
        <v>1.026434375085888E-6</v>
      </c>
      <c r="AY164" s="2"/>
      <c r="AZ164" s="2"/>
      <c r="BA164" s="269">
        <f>output!AG41</f>
        <v>1.7271066421040292E-7</v>
      </c>
      <c r="BB164" s="269">
        <f>output!AF41</f>
        <v>1.7377541399240136E-10</v>
      </c>
      <c r="BC164" s="75"/>
      <c r="BD164" s="274">
        <f>output!AF42</f>
        <v>2.9257166624836126E-8</v>
      </c>
      <c r="BE164" s="2"/>
      <c r="BF164" s="2"/>
      <c r="BG164" s="269">
        <f>output!AG47</f>
        <v>1.3579012876812772E-8</v>
      </c>
      <c r="BH164" s="269">
        <f>output!AF47</f>
        <v>1.2076258276568997E-12</v>
      </c>
      <c r="BI164" s="75"/>
      <c r="BJ164" s="274">
        <f>output!AF48</f>
        <v>1.6178448147866662E-8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473.01604298227835</v>
      </c>
      <c r="BA172" s="128">
        <f>output!I11</f>
        <v>10.76623701453024</v>
      </c>
      <c r="BB172" s="128">
        <f>output!K11</f>
        <v>16.296535523187078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136360.75043974459</v>
      </c>
      <c r="BA173" s="128">
        <f>output!I27</f>
        <v>25779.591607705948</v>
      </c>
      <c r="BB173" s="128">
        <f>output!K27</f>
        <v>280.42153074297943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357057.17592811817</v>
      </c>
      <c r="BA174" s="128">
        <f>output!I31</f>
        <v>232685.93049528272</v>
      </c>
      <c r="BB174" s="128">
        <f>output!K31</f>
        <v>2367.3608713989865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108.579159270267</v>
      </c>
      <c r="BA175" s="128">
        <f>output!I35</f>
        <v>82.202721834966425</v>
      </c>
      <c r="BB175" s="128">
        <f>output!K35</f>
        <v>0.57125532151481706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33436.128030348737</v>
      </c>
      <c r="BA176" s="128">
        <f>output!I47</f>
        <v>2668.5484226242584</v>
      </c>
      <c r="BB176" s="128">
        <f>output!K47</f>
        <v>283.77644330984464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0.48054545220243544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1.4416363566073063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1.4416363566073063</v>
      </c>
      <c r="G11" s="508">
        <f>2*Scale*(M.tot/Emis.tot)/(3600*24*365)</f>
        <v>2.8832727132146125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1.9754002880121276E-3</v>
      </c>
      <c r="M271" s="451">
        <f>((DRYDEPaerosol.R+AerosolWashout.R+GasWashout.R+GASABS.aR.sR)/HEIGHT.aR)*AREAFRAC.s1R</f>
        <v>1.9754002880121276E-3</v>
      </c>
      <c r="N271" s="451">
        <f>((DRYDEPaerosol.R+AerosolWashout.R+GasWashout.R+GASABS.aR.sR)/HEIGHT.aR)*AREAFRAC.s1R</f>
        <v>1.9754002880121276E-3</v>
      </c>
      <c r="O271" s="451">
        <f>((DRYDEPaerosol.R+AerosolWashout.R+GasWashout.R+GASABS.aR.sR)/HEIGHT.aR)*AREAFRAC.s1R</f>
        <v>1.9754002880121276E-3</v>
      </c>
      <c r="P271" s="451">
        <f>((DRYDEPaerosol.R+AerosolWashout.R+GasWashout.R+GASABS.aR.sR)/HEIGHT.aR)*AREAFRAC.s1R</f>
        <v>1.9754002880121276E-3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4.389778417804727E-3</v>
      </c>
      <c r="M272" s="451">
        <f>((DRYDEPaerosol.R+AerosolWashout.R+GasWashout.R+GASABS.aR.sR)/HEIGHT.aR)*AREAFRAC.s2R</f>
        <v>4.389778417804727E-3</v>
      </c>
      <c r="N272" s="451">
        <f>((DRYDEPaerosol.R+AerosolWashout.R+GasWashout.R+GASABS.aR.sR)/HEIGHT.aR)*AREAFRAC.s2R</f>
        <v>4.389778417804727E-3</v>
      </c>
      <c r="O272" s="451">
        <f>((DRYDEPaerosol.R+AerosolWashout.R+GasWashout.R+GASABS.aR.sR)/HEIGHT.aR)*AREAFRAC.s2R</f>
        <v>4.389778417804727E-3</v>
      </c>
      <c r="P272" s="451">
        <f>((DRYDEPaerosol.R+AerosolWashout.R+GasWashout.R+GASABS.aR.sR)/HEIGHT.aR)*AREAFRAC.s2R</f>
        <v>4.389778417804727E-3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7.3162973630078783E-4</v>
      </c>
      <c r="M273" s="451">
        <f>((DRYDEPaerosol.R+AerosolWashout.R+GasWashout.R+GASABS.aR.sR)/HEIGHT.aR)*AREAFRAC.s3R</f>
        <v>7.3162973630078783E-4</v>
      </c>
      <c r="N273" s="451">
        <f>((DRYDEPaerosol.R+AerosolWashout.R+GasWashout.R+GASABS.aR.sR)/HEIGHT.aR)*AREAFRAC.s3R</f>
        <v>7.3162973630078783E-4</v>
      </c>
      <c r="O273" s="451">
        <f>((DRYDEPaerosol.R+AerosolWashout.R+GasWashout.R+GASABS.aR.sR)/HEIGHT.aR)*AREAFRAC.s3R</f>
        <v>7.3162973630078783E-4</v>
      </c>
      <c r="P273" s="451">
        <f>((DRYDEPaerosol.R+AerosolWashout.R+GasWashout.R+GASABS.aR.sR)/HEIGHT.aR)*AREAFRAC.s3R</f>
        <v>7.3162973630078783E-4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9.6066332869602325E-4</v>
      </c>
      <c r="M496" s="451">
        <f>((DRYDEPaerosol.C+AerosolWashout.C+GasWashout.C+GASABS.aC.sC)/HEIGHT.aC)*AREAFRAC.s1C</f>
        <v>9.6066332869602325E-4</v>
      </c>
      <c r="N496" s="451">
        <f>((DRYDEPaerosol.C+AerosolWashout.C+GasWashout.C+GASABS.aC.sC)/HEIGHT.aC)*AREAFRAC.s1C</f>
        <v>9.6066332869602325E-4</v>
      </c>
      <c r="O496" s="451">
        <f>((DRYDEPaerosol.C+AerosolWashout.C+GasWashout.C+GASABS.aC.sC)/HEIGHT.aC)*AREAFRAC.s1C</f>
        <v>9.6066332869602325E-4</v>
      </c>
      <c r="P496" s="451">
        <f>((DRYDEPaerosol.C+AerosolWashout.C+GasWashout.C+GASABS.aC.sC)/HEIGHT.aC)*AREAFRAC.s1C</f>
        <v>9.6066332869602325E-4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2.1348073971022737E-3</v>
      </c>
      <c r="M497" s="451">
        <f>((DRYDEPaerosol.C+AerosolWashout.C+GasWashout.C+GASABS.aC.sC)/HEIGHT.aC)*AREAFRAC.s2C</f>
        <v>2.1348073971022737E-3</v>
      </c>
      <c r="N497" s="451">
        <f>((DRYDEPaerosol.C+AerosolWashout.C+GasWashout.C+GASABS.aC.sC)/HEIGHT.aC)*AREAFRAC.s2C</f>
        <v>2.1348073971022737E-3</v>
      </c>
      <c r="O497" s="451">
        <f>((DRYDEPaerosol.C+AerosolWashout.C+GasWashout.C+GASABS.aC.sC)/HEIGHT.aC)*AREAFRAC.s2C</f>
        <v>2.1348073971022737E-3</v>
      </c>
      <c r="P497" s="451">
        <f>((DRYDEPaerosol.C+AerosolWashout.C+GasWashout.C+GASABS.aC.sC)/HEIGHT.aC)*AREAFRAC.s2C</f>
        <v>2.1348073971022737E-3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3.5580123285037889E-4</v>
      </c>
      <c r="M498" s="451">
        <f>((DRYDEPaerosol.C+AerosolWashout.C+GasWashout.C+GASABS.aC.sC)/HEIGHT.aC)*AREAFRAC.s3C</f>
        <v>3.5580123285037889E-4</v>
      </c>
      <c r="N498" s="451">
        <f>((DRYDEPaerosol.C+AerosolWashout.C+GasWashout.C+GASABS.aC.sC)/HEIGHT.aC)*AREAFRAC.s3C</f>
        <v>3.5580123285037889E-4</v>
      </c>
      <c r="O498" s="451">
        <f>((DRYDEPaerosol.C+AerosolWashout.C+GasWashout.C+GASABS.aC.sC)/HEIGHT.aC)*AREAFRAC.s3C</f>
        <v>3.5580123285037889E-4</v>
      </c>
      <c r="P498" s="451">
        <f>((DRYDEPaerosol.C+AerosolWashout.C+GasWashout.C+GASABS.aC.sC)/HEIGHT.aC)*AREAFRAC.s3C</f>
        <v>3.5580123285037889E-4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3.6741531820136471E-3</v>
      </c>
      <c r="M681" s="452">
        <f>((DRYDEPaerosol.M+AerosolWashout.M+GasWashout.M+GASABS.aM.sM)/HEIGHT.aC)*AREAFRAC.sM</f>
        <v>3.6741531820136471E-3</v>
      </c>
      <c r="N681" s="452">
        <f>((DRYDEPaerosol.M+AerosolWashout.M+GasWashout.M+GASABS.aM.sM)/HEIGHT.aC)*AREAFRAC.sM</f>
        <v>3.6741531820136471E-3</v>
      </c>
      <c r="O681" s="452">
        <f>((DRYDEPaerosol.M+AerosolWashout.M+GasWashout.M+GASABS.aM.sM)/HEIGHT.aC)*AREAFRAC.sM</f>
        <v>3.6741531820136471E-3</v>
      </c>
      <c r="P681" s="452">
        <f>((DRYDEPaerosol.M+AerosolWashout.M+GasWashout.M+GASABS.aM.sM)/HEIGHT.aC)*AREAFRAC.sM</f>
        <v>3.6741531820136471E-3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3.2732803484141253E-2</v>
      </c>
      <c r="M817" s="451">
        <f>((DRYDEPaerosol.A+AerosolWashout.A+GasWashout.A+GASABS.aA.sA)/HEIGHT.aC)*AREAFRAC.sA</f>
        <v>3.2732803484141253E-2</v>
      </c>
      <c r="N817" s="451">
        <f>((DRYDEPaerosol.A+AerosolWashout.A+GasWashout.A+GASABS.aA.sA)/HEIGHT.aC)*AREAFRAC.sA</f>
        <v>3.2732803484141253E-2</v>
      </c>
      <c r="O817" s="451">
        <f>((DRYDEPaerosol.A+AerosolWashout.A+GasWashout.A+GASABS.aA.sA)/HEIGHT.aC)*AREAFRAC.sA</f>
        <v>3.2732803484141253E-2</v>
      </c>
      <c r="P817" s="451">
        <f>((DRYDEPaerosol.A+AerosolWashout.A+GasWashout.A+GASABS.aA.sA)/HEIGHT.aC)*AREAFRAC.sA</f>
        <v>3.2732803484141253E-2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6.7957943816697724E-4</v>
      </c>
      <c r="M953" s="451">
        <f>((DRYDEPaerosol.T+AerosolWashout.T+GasWashout.T+GASABS.aT.sT)/HEIGHT.aT)*AREAFRAC.sT</f>
        <v>6.7957943816697724E-4</v>
      </c>
      <c r="N953" s="451">
        <f>((DRYDEPaerosol.T+AerosolWashout.T+GasWashout.T+GASABS.aT.sT)/HEIGHT.aT)*AREAFRAC.sT</f>
        <v>6.7957943816697724E-4</v>
      </c>
      <c r="O953" s="451">
        <f>((DRYDEPaerosol.T+AerosolWashout.T+GasWashout.T+GASABS.aT.sT)/HEIGHT.aT)*AREAFRAC.sT</f>
        <v>6.7957943816697724E-4</v>
      </c>
      <c r="P953" s="451">
        <f>((DRYDEPaerosol.T+AerosolWashout.T+GasWashout.T+GASABS.aT.sT)/HEIGHT.aT)*AREAFRAC.sT</f>
        <v>6.7957943816697724E-4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2.3739569380188086E-8</v>
      </c>
      <c r="L108" s="664">
        <f>IF(ISBLANK(I108),IF(ISNUMBER(J108)=FALSE,K108,J108),I108)</f>
        <v>2.3739569380188086E-8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2.6113526318206898E-7</v>
      </c>
      <c r="L109" s="664">
        <f t="shared" ref="L109:L137" si="4">IF(ISBLANK(I109),IF(ISNUMBER(J109)=FALSE,K109,J109),I109)</f>
        <v>2.6113526318206898E-7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4.1544506068492124E-8</v>
      </c>
      <c r="L110" s="664">
        <f t="shared" si="4"/>
        <v>4.1544506068492124E-8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1.8242769560973718E-6</v>
      </c>
      <c r="L111" s="664">
        <f t="shared" si="4"/>
        <v>1.8242769560973718E-6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4.0539487913274925E-6</v>
      </c>
      <c r="L112" s="664">
        <f t="shared" si="4"/>
        <v>4.0539487913274925E-6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6.7565813188791542E-7</v>
      </c>
      <c r="L113" s="664">
        <f t="shared" si="4"/>
        <v>6.7565813188791542E-7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4.2270398837526125E-11</v>
      </c>
      <c r="L117" s="664">
        <f t="shared" si="4"/>
        <v>4.2270398837526125E-11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1.9185759281117113E-11</v>
      </c>
      <c r="L118" s="664">
        <f t="shared" si="4"/>
        <v>1.9185759281117113E-11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4.2161478458732919E-11</v>
      </c>
      <c r="L119" s="664">
        <f t="shared" si="4"/>
        <v>4.2161478458732919E-11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5.7638446293405443E-6</v>
      </c>
      <c r="L120" s="664">
        <f t="shared" si="4"/>
        <v>5.7638446293405443E-6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2.5320687308717479E-5</v>
      </c>
      <c r="L121" s="664">
        <f t="shared" si="4"/>
        <v>2.5320687308717479E-5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1.9580769786137339E-5</v>
      </c>
      <c r="L122" s="664">
        <f t="shared" si="4"/>
        <v>1.9580769786137339E-5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7.3668169826823521E-3</v>
      </c>
      <c r="L123" s="664">
        <f t="shared" si="4"/>
        <v>7.3668169826823521E-3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1.0222969175601312E-3</v>
      </c>
      <c r="L132" s="664">
        <f t="shared" si="5"/>
        <v>1.0222969175601312E-3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2.1135199418763065E-12</v>
      </c>
      <c r="L138" s="664">
        <f t="shared" ref="L138:L145" si="6">IF(ISBLANK(I138),IF(ISNUMBER(J138)=FALSE,K138,J138),I138)</f>
        <v>2.1135199418763065E-12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3.8371518562234229E-12</v>
      </c>
      <c r="L139" s="664">
        <f t="shared" si="6"/>
        <v>3.8371518562234229E-12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2.1080739229366462E-12</v>
      </c>
      <c r="L140" s="664">
        <f t="shared" si="6"/>
        <v>2.1080739229366462E-12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6.0755804044606696E-8</v>
      </c>
      <c r="L149" s="664">
        <f t="shared" si="7"/>
        <v>6.0755804044606696E-8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4.3682943293577E-8</v>
      </c>
      <c r="L150" s="664">
        <f t="shared" si="7"/>
        <v>4.3682943293577E-8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9.0206076770066419E-6</v>
      </c>
      <c r="L187" s="664">
        <f t="shared" ref="L187:L211" si="9">IF(ISBLANK(I187),IF(ISNUMBER(J187)=FALSE,K187,J187),I187)</f>
        <v>9.0206076770066419E-6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4.3472863365271319E-8</v>
      </c>
      <c r="L193" s="664">
        <f t="shared" si="9"/>
        <v>4.3472863365271319E-8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4.3456145152004627E-8</v>
      </c>
      <c r="L194" s="664">
        <f t="shared" si="9"/>
        <v>4.3456145152004627E-8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4.3472886943431158E-8</v>
      </c>
      <c r="L195" s="664">
        <f t="shared" si="9"/>
        <v>4.3472886943431158E-8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9.0202413511248139E-6</v>
      </c>
      <c r="L197" s="664">
        <f t="shared" si="9"/>
        <v>9.0202413511248139E-6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1.1542226079497355E-8</v>
      </c>
      <c r="L114" s="664">
        <f>IF(ISBLANK(I114),IF(ISNUMBER(J114)=FALSE,K114,J114),I114)</f>
        <v>1.1542226079497355E-8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1.2696448687447087E-7</v>
      </c>
      <c r="L115" s="664">
        <f t="shared" ref="L115:L136" si="4">IF(ISBLANK(I115),IF(ISNUMBER(J115)=FALSE,K115,J115),I115)</f>
        <v>1.2696448687447087E-7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4.9183000649331315E-6</v>
      </c>
      <c r="L116" s="664">
        <f t="shared" si="4"/>
        <v>4.9183000649331315E-6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8.8688482303507228E-7</v>
      </c>
      <c r="L117" s="664">
        <f t="shared" si="4"/>
        <v>8.8688482303507228E-7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1.9708551623001603E-6</v>
      </c>
      <c r="L118" s="664">
        <f t="shared" si="4"/>
        <v>1.9708551623001603E-6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3.2847586038336002E-7</v>
      </c>
      <c r="L119" s="664">
        <f t="shared" si="4"/>
        <v>3.2847586038336002E-7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4.2270398837526125E-11</v>
      </c>
      <c r="L123" s="664">
        <f t="shared" si="4"/>
        <v>4.2270398837526125E-11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1.9235323960647504E-11</v>
      </c>
      <c r="L124" s="664">
        <f t="shared" si="4"/>
        <v>1.9235323960647504E-11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4.2270398837526125E-11</v>
      </c>
      <c r="L125" s="664">
        <f t="shared" si="4"/>
        <v>4.2270398837526125E-11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5.7616628679288897E-6</v>
      </c>
      <c r="L126" s="664">
        <f t="shared" si="4"/>
        <v>5.7616628679288897E-6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1.8945439938357102E-5</v>
      </c>
      <c r="L127" s="664">
        <f t="shared" si="4"/>
        <v>1.8945439938357102E-5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1.3207704177188618E-5</v>
      </c>
      <c r="L128" s="664">
        <f t="shared" si="4"/>
        <v>1.3207704177188618E-5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7.3604439170734028E-3</v>
      </c>
      <c r="L129" s="664">
        <f t="shared" si="4"/>
        <v>7.3604439170734028E-3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1.0222969175601312E-3</v>
      </c>
      <c r="L138" s="664">
        <f t="shared" si="5"/>
        <v>1.0222969175601312E-3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2.1135199418763065E-12</v>
      </c>
      <c r="L144" s="664">
        <f t="shared" si="5"/>
        <v>2.1135199418763065E-12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3.8470647921295012E-12</v>
      </c>
      <c r="L145" s="664">
        <f t="shared" si="5"/>
        <v>3.8470647921295012E-12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2.1135199418763065E-12</v>
      </c>
      <c r="L146" s="664">
        <f t="shared" si="5"/>
        <v>2.1135199418763065E-12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6.077694390583737E-8</v>
      </c>
      <c r="L155" s="664">
        <f t="shared" si="6"/>
        <v>6.077694390583737E-8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4.4597236535163491E-8</v>
      </c>
      <c r="L156" s="664">
        <f t="shared" si="6"/>
        <v>4.4597236535163491E-8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9.0206076770066419E-6</v>
      </c>
      <c r="L193" s="664">
        <f t="shared" ref="L193:L217" si="11">IF(ISBLANK(I193),IF(ISNUMBER(J193)=FALSE,K193,J193),I193)</f>
        <v>9.0206076770066419E-6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9.6538144450854565E-9</v>
      </c>
      <c r="L198" s="664">
        <f t="shared" si="11"/>
        <v>9.6538144450854565E-9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4.3472863365271319E-8</v>
      </c>
      <c r="L199" s="664">
        <f t="shared" si="11"/>
        <v>4.3472863365271319E-8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4.3456145152004627E-8</v>
      </c>
      <c r="L200" s="664">
        <f t="shared" si="11"/>
        <v>4.3456145152004627E-8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4.3472886943431158E-8</v>
      </c>
      <c r="L201" s="664">
        <f t="shared" si="11"/>
        <v>4.3472886943431158E-8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9.0202413511248139E-6</v>
      </c>
      <c r="L203" s="664">
        <f t="shared" si="11"/>
        <v>9.0202413511248139E-6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4.7753381156319045E-6</v>
      </c>
      <c r="L76" s="664">
        <f t="shared" ref="L76:L89" si="4">IF(ISBLANK(I76),IF(ISNUMBER(J76)=FALSE,K76,J76),I76)</f>
        <v>4.7753381156319045E-6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3.3997205034219729E-6</v>
      </c>
      <c r="L77" s="664">
        <f t="shared" si="4"/>
        <v>3.3997205034219729E-6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4.2270398837526125E-11</v>
      </c>
      <c r="L79" s="664">
        <f t="shared" si="4"/>
        <v>4.2270398837526125E-11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5.7771440892838148E-6</v>
      </c>
      <c r="L80" s="664">
        <f t="shared" si="4"/>
        <v>5.7771440892838148E-6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1.8359870762970617E-5</v>
      </c>
      <c r="L81" s="664">
        <f t="shared" si="4"/>
        <v>1.8359870762970617E-5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1.2606653780447208E-5</v>
      </c>
      <c r="L82" s="664">
        <f t="shared" si="4"/>
        <v>1.2606653780447208E-5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7.359842866676662E-3</v>
      </c>
      <c r="L83" s="664">
        <f t="shared" si="4"/>
        <v>7.359842866676662E-3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1.0222969175601312E-3</v>
      </c>
      <c r="L93" s="664">
        <f>IF(ISBLANK(I93),IF(ISNUMBER(J93)=FALSE,K93,J93),I93)</f>
        <v>1.0222969175601312E-3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2.1135199418763065E-12</v>
      </c>
      <c r="L95" s="664">
        <f>IF(ISBLANK(I95),IF(ISNUMBER(J95)=FALSE,K95,J95),I95)</f>
        <v>2.1135199418763065E-12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4.4594252600848833E-8</v>
      </c>
      <c r="L104" s="664">
        <f t="shared" si="6"/>
        <v>4.4594252600848833E-8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9.0206076770066419E-6</v>
      </c>
      <c r="L123" s="664">
        <f t="shared" ref="L123:L138" si="7">IF(ISBLANK(I123),IF(ISNUMBER(J123)=FALSE,K123,J123),I123)</f>
        <v>9.0206076770066419E-6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4.3472863365271319E-8</v>
      </c>
      <c r="L127" s="664">
        <f t="shared" si="7"/>
        <v>4.3472863365271319E-8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9.0202413511248139E-6</v>
      </c>
      <c r="L129" s="664">
        <f t="shared" si="7"/>
        <v>9.0202413511248139E-6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5.7645412263045167E-6</v>
      </c>
      <c r="L212" s="664">
        <f t="shared" ref="L212:L225" si="12">IF(ISBLANK(I212),IF(ISNUMBER(J212)=FALSE,K212,J212),I212)</f>
        <v>5.7645412263045167E-6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2.7558086979725298E-6</v>
      </c>
      <c r="L213" s="664">
        <f t="shared" si="12"/>
        <v>2.7558086979725298E-6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1.3393307854406381E-12</v>
      </c>
      <c r="L215" s="664">
        <f t="shared" si="12"/>
        <v>1.3393307854406381E-12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5.8791562822336185E-6</v>
      </c>
      <c r="L216" s="664">
        <f t="shared" si="12"/>
        <v>5.8791562822336185E-6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1.6665708726640642E-5</v>
      </c>
      <c r="L217" s="664">
        <f t="shared" si="12"/>
        <v>1.6665708726640642E-5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1.0822187097280837E-5</v>
      </c>
      <c r="L218" s="664">
        <f t="shared" si="12"/>
        <v>1.0822187097280837E-5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8.1841749262681965E-2</v>
      </c>
      <c r="L219" s="664">
        <f t="shared" si="12"/>
        <v>8.1841749262681965E-2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1.0103654626977051E-3</v>
      </c>
      <c r="L229" s="664">
        <f>IF(ISBLANK(I229),IF(ISNUMBER(J229)=FALSE,K229,J229),I229)</f>
        <v>1.0103654626977051E-3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6.6966539272031908E-14</v>
      </c>
      <c r="L231" s="664">
        <f>IF(ISBLANK(I231),IF(ISNUMBER(J231)=FALSE,K231,J231),I231)</f>
        <v>6.6966539272031908E-14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4.4595122549031241E-8</v>
      </c>
      <c r="L240" s="664">
        <f t="shared" si="14"/>
        <v>4.4595122549031241E-8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7.4533832759998107E-6</v>
      </c>
      <c r="L259" s="664">
        <f t="shared" ref="L259:L274" si="15">IF(ISBLANK(I259),IF(ISNUMBER(J259)=FALSE,K259,J259),I259)</f>
        <v>7.4533832759998107E-6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9.4656140043718675E-9</v>
      </c>
      <c r="L263" s="664">
        <f t="shared" si="15"/>
        <v>9.4656140043718675E-9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7.4530169501179827E-6</v>
      </c>
      <c r="L265" s="664">
        <f t="shared" si="15"/>
        <v>7.4530169501179827E-6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6.6300097818731875E-6</v>
      </c>
      <c r="L348" s="664">
        <f t="shared" ref="L348:L361" si="20">IF(ISBLANK(I348),IF(ISNUMBER(J348)=FALSE,K348,J348),I348)</f>
        <v>6.6300097818731875E-6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2.0158426445779233E-6</v>
      </c>
      <c r="L349" s="664">
        <f t="shared" si="20"/>
        <v>2.0158426445779233E-6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2.5498180794890081E-10</v>
      </c>
      <c r="L351" s="664">
        <f t="shared" si="20"/>
        <v>2.5498180794890081E-10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5.6974076031252021E-6</v>
      </c>
      <c r="L352" s="664">
        <f t="shared" si="20"/>
        <v>5.6974076031252021E-6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1.9074248450575631E-5</v>
      </c>
      <c r="L353" s="664">
        <f t="shared" si="20"/>
        <v>1.9074248450575631E-5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1.3400444458905253E-5</v>
      </c>
      <c r="L354" s="664">
        <f t="shared" si="20"/>
        <v>1.3400444458905253E-5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2.2775959632471187E-3</v>
      </c>
      <c r="L355" s="664">
        <f t="shared" si="20"/>
        <v>2.2775959632471187E-3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1.0220678788012071E-3</v>
      </c>
      <c r="L365" s="664">
        <f>IF(ISBLANK(I365),IF(ISNUMBER(J365)=FALSE,K365,J365),I365)</f>
        <v>1.0220678788012071E-3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1.2749090397445042E-11</v>
      </c>
      <c r="L367" s="664">
        <f>IF(ISBLANK(I367),IF(ISNUMBER(J367)=FALSE,K367,J367),I367)</f>
        <v>1.2749090397445042E-11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4.4595122549031241E-8</v>
      </c>
      <c r="L376" s="664">
        <f t="shared" si="22"/>
        <v>4.4595122549031241E-8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1.00290385952411E-5</v>
      </c>
      <c r="L395" s="664">
        <f t="shared" ref="L395:L410" si="23">IF(ISBLANK(I395),IF(ISNUMBER(J395)=FALSE,K395,J395),I395)</f>
        <v>1.00290385952411E-5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1.070241687381601E-7</v>
      </c>
      <c r="L399" s="664">
        <f t="shared" si="23"/>
        <v>1.070241687381601E-7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1.0028672269359272E-5</v>
      </c>
      <c r="L401" s="664">
        <f t="shared" si="23"/>
        <v>1.0028672269359272E-5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-2.5321053634599309E-5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4.2270398837526125E-11</v>
      </c>
      <c r="K9" s="179">
        <f>k.s2R.aR</f>
        <v>1.9185759281117113E-11</v>
      </c>
      <c r="L9" s="179">
        <f>k.s3R.aR</f>
        <v>4.2161478458732919E-11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2.3739569380188086E-8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2.6113526318206898E-7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4.1544506068492124E-8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4.3682943293577E-8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-7.3304986746076396E-8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-5.4251050980248959E-8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1.8242769560973718E-6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-4.809535177980979E-8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4.0539487913274925E-6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-4.5561170887084385E-8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6.7565813188791542E-7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-4.8098765746778479E-8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-1.8945806264238928E-5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4.2270398837526125E-11</v>
      </c>
      <c r="T18" s="691">
        <f>k.s2C.aC</f>
        <v>1.9235323960647504E-11</v>
      </c>
      <c r="U18" s="691">
        <f>k.s3C.aC</f>
        <v>4.2270398837526125E-11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1.1542226079497355E-8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1.2696448687447087E-7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4.9183000649331315E-6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4.4597236535163491E-8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-7.3304986746076383E-8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-5.4251050980248946E-8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8.8688482303507228E-7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-4.809535177980979E-8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1.9708551623001603E-6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-4.5561220451763915E-8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3.2847586038336002E-7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-4.8098874667157268E-8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-1.8360237088852444E-5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4.2270398837526125E-11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4.7753381156319045E-6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-5.4251050980248946E-8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3.3997205034219729E-6</v>
      </c>
      <c r="W31" s="376">
        <v>0</v>
      </c>
      <c r="X31" s="376">
        <v>0</v>
      </c>
      <c r="Y31" s="376">
        <v>0</v>
      </c>
      <c r="Z31" s="378">
        <f>-k.sM-SUM(Z9:Z30,Z32:Z41)</f>
        <v>-4.809535177980979E-8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-1.6666075052522468E-5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1.3393307854406381E-12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5.7645412263045167E-6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-4.669826993594484E-8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2.7558086979725298E-6</v>
      </c>
      <c r="AB36" s="376">
        <v>0</v>
      </c>
      <c r="AC36" s="376">
        <v>0</v>
      </c>
      <c r="AD36" s="376">
        <v>0</v>
      </c>
      <c r="AE36" s="378">
        <f>-k.sA-SUM(AE9:AE35,AE37:AE41)</f>
        <v>-1.1118287889225924E-8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-1.9074614776457458E-5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2.5498180794890081E-10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6.6300097818731875E-6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-6.836771597823432E-8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2.0158426445779233E-6</v>
      </c>
      <c r="AG41" s="373">
        <v>0</v>
      </c>
      <c r="AH41" s="373">
        <v>0</v>
      </c>
      <c r="AI41" s="373">
        <v>0</v>
      </c>
      <c r="AJ41" s="381">
        <f>-k.sT-SUM(AJ9:AJ40)</f>
        <v>-1.1576454649778837E-7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64295618.43757499</v>
      </c>
      <c r="D45" s="370">
        <f t="array" ref="D45:AJ45">TRANSPOSE(MMULT(MINVERSE(D9:AJ41),-TRANSPOSE(D5:AJ5)))</f>
        <v>56239.208301424973</v>
      </c>
      <c r="E45" s="370">
        <v>97654.597728555673</v>
      </c>
      <c r="F45" s="370">
        <v>9211394.5679841731</v>
      </c>
      <c r="G45" s="370">
        <v>460739.95565237693</v>
      </c>
      <c r="H45" s="370">
        <v>3324057.5095885447</v>
      </c>
      <c r="I45" s="370">
        <v>42032.559824838609</v>
      </c>
      <c r="J45" s="370">
        <v>2133176.8650566116</v>
      </c>
      <c r="K45" s="370">
        <v>36044236.340144292</v>
      </c>
      <c r="L45" s="370">
        <v>790009.42809725145</v>
      </c>
      <c r="M45" s="370">
        <v>27980.572861951601</v>
      </c>
      <c r="N45" s="370">
        <v>8999.6020138761633</v>
      </c>
      <c r="O45" s="370">
        <v>54023.658536044553</v>
      </c>
      <c r="P45" s="370">
        <v>6547786.6418460812</v>
      </c>
      <c r="Q45" s="370">
        <v>19495.17486487229</v>
      </c>
      <c r="R45" s="370">
        <v>29867.198445376969</v>
      </c>
      <c r="S45" s="370">
        <v>515965.56616744318</v>
      </c>
      <c r="T45" s="370">
        <v>1210363.8998756921</v>
      </c>
      <c r="U45" s="370">
        <v>191084.36129638978</v>
      </c>
      <c r="V45" s="370">
        <v>2109.6068280362069</v>
      </c>
      <c r="W45" s="370">
        <v>608156.05405291496</v>
      </c>
      <c r="X45" s="370">
        <v>1592441.2448850155</v>
      </c>
      <c r="Y45" s="370">
        <v>484.25278418636606</v>
      </c>
      <c r="Z45" s="370">
        <v>149121.96962959922</v>
      </c>
      <c r="AA45" s="370">
        <v>48.016399137143161</v>
      </c>
      <c r="AB45" s="370">
        <v>114974.54111009699</v>
      </c>
      <c r="AC45" s="370">
        <v>1037757.2495552704</v>
      </c>
      <c r="AD45" s="370">
        <v>366.61636711696735</v>
      </c>
      <c r="AE45" s="370">
        <v>11901.473653662735</v>
      </c>
      <c r="AF45" s="370">
        <v>72.681007596053334</v>
      </c>
      <c r="AG45" s="370">
        <v>1250.6535132592071</v>
      </c>
      <c r="AH45" s="370">
        <v>10558.205652479648</v>
      </c>
      <c r="AI45" s="370">
        <v>2.5477447217679825</v>
      </c>
      <c r="AJ45" s="371">
        <v>1265.6161061004577</v>
      </c>
    </row>
    <row r="46" spans="1:36" ht="12.75" customHeight="1" x14ac:dyDescent="0.2">
      <c r="B46" s="255" t="s">
        <v>2410</v>
      </c>
      <c r="C46" s="531">
        <f>SUM(D46:AJ46)</f>
        <v>67554102.186601624</v>
      </c>
      <c r="D46" s="383">
        <f>D45</f>
        <v>56239.208301424973</v>
      </c>
      <c r="E46" s="383"/>
      <c r="F46" s="383">
        <f t="shared" ref="F46:AJ46" si="0">F45</f>
        <v>9211394.5679841731</v>
      </c>
      <c r="G46" s="383">
        <f t="shared" si="0"/>
        <v>460739.95565237693</v>
      </c>
      <c r="H46" s="383">
        <f t="shared" si="0"/>
        <v>3324057.5095885447</v>
      </c>
      <c r="I46" s="383">
        <f t="shared" si="0"/>
        <v>42032.559824838609</v>
      </c>
      <c r="J46" s="383">
        <f t="shared" si="0"/>
        <v>2133176.8650566116</v>
      </c>
      <c r="K46" s="383">
        <f t="shared" si="0"/>
        <v>36044236.340144292</v>
      </c>
      <c r="L46" s="383">
        <f t="shared" si="0"/>
        <v>790009.42809725145</v>
      </c>
      <c r="M46" s="383">
        <f t="shared" si="0"/>
        <v>27980.572861951601</v>
      </c>
      <c r="N46" s="383"/>
      <c r="O46" s="383">
        <f t="shared" si="0"/>
        <v>54023.658536044553</v>
      </c>
      <c r="P46" s="383">
        <f t="shared" si="0"/>
        <v>6547786.6418460812</v>
      </c>
      <c r="Q46" s="383">
        <f t="shared" si="0"/>
        <v>19495.17486487229</v>
      </c>
      <c r="R46" s="383">
        <f t="shared" si="0"/>
        <v>29867.198445376969</v>
      </c>
      <c r="S46" s="383">
        <f t="shared" si="0"/>
        <v>515965.56616744318</v>
      </c>
      <c r="T46" s="383">
        <f t="shared" si="0"/>
        <v>1210363.8998756921</v>
      </c>
      <c r="U46" s="383">
        <f t="shared" si="0"/>
        <v>191084.36129638978</v>
      </c>
      <c r="V46" s="383">
        <f t="shared" si="0"/>
        <v>2109.6068280362069</v>
      </c>
      <c r="W46" s="383">
        <f>SUM(W45:X45)</f>
        <v>2200597.2989379307</v>
      </c>
      <c r="X46" s="383">
        <f>SUM(W45:X45)</f>
        <v>2200597.2989379307</v>
      </c>
      <c r="Y46" s="383">
        <f t="shared" si="0"/>
        <v>484.25278418636606</v>
      </c>
      <c r="Z46" s="383">
        <f t="shared" si="0"/>
        <v>149121.96962959922</v>
      </c>
      <c r="AA46" s="383">
        <f t="shared" si="0"/>
        <v>48.016399137143161</v>
      </c>
      <c r="AB46" s="383">
        <f>SUM(AB45:AC45)</f>
        <v>1152731.7906653674</v>
      </c>
      <c r="AC46" s="383">
        <f>SUM(AB45:AC45)</f>
        <v>1152731.7906653674</v>
      </c>
      <c r="AD46" s="383">
        <f t="shared" si="0"/>
        <v>366.61636711696735</v>
      </c>
      <c r="AE46" s="383">
        <f t="shared" si="0"/>
        <v>11901.473653662735</v>
      </c>
      <c r="AF46" s="383">
        <f t="shared" si="0"/>
        <v>72.681007596053334</v>
      </c>
      <c r="AG46" s="383">
        <f>SUM(AG45:AH45)</f>
        <v>11808.859165738855</v>
      </c>
      <c r="AH46" s="383">
        <f>SUM(AG45:AH45)</f>
        <v>11808.859165738855</v>
      </c>
      <c r="AI46" s="383">
        <f t="shared" si="0"/>
        <v>2.5477447217679825</v>
      </c>
      <c r="AJ46" s="384">
        <f t="shared" si="0"/>
        <v>1265.6161061004577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-1.0774615343061353</v>
      </c>
      <c r="E48" s="515" t="e">
        <f t="shared" ref="E48:AJ48" si="1">IF(E49&gt;0.0001,LOG(E46/E47),"")</f>
        <v>#DIV/0!</v>
      </c>
      <c r="F48" s="515">
        <f t="shared" si="1"/>
        <v>0.88789852758011467</v>
      </c>
      <c r="G48" s="515">
        <f t="shared" si="1"/>
        <v>1.053794606004115</v>
      </c>
      <c r="H48" s="515">
        <f t="shared" si="1"/>
        <v>1.3124481102390089</v>
      </c>
      <c r="I48" s="515">
        <f t="shared" si="1"/>
        <v>1.4645003249165178</v>
      </c>
      <c r="J48" s="515">
        <f t="shared" si="1"/>
        <v>2.9729173064545802</v>
      </c>
      <c r="K48" s="515">
        <f t="shared" si="1"/>
        <v>0.24263706757315467</v>
      </c>
      <c r="L48" s="515">
        <f t="shared" si="1"/>
        <v>2.9728864798914878</v>
      </c>
      <c r="M48" s="515">
        <f t="shared" si="1"/>
        <v>-2.1206873904359043</v>
      </c>
      <c r="N48" s="515" t="e">
        <f t="shared" si="1"/>
        <v>#DIV/0!</v>
      </c>
      <c r="O48" s="515">
        <f t="shared" si="1"/>
        <v>1.214300277050568</v>
      </c>
      <c r="P48" s="515">
        <f t="shared" si="1"/>
        <v>0.58598641609562407</v>
      </c>
      <c r="Q48" s="515">
        <f t="shared" si="1"/>
        <v>1.6392005896139503</v>
      </c>
      <c r="R48" s="515">
        <f t="shared" si="1"/>
        <v>0.99684883407917935</v>
      </c>
      <c r="S48" s="515">
        <f t="shared" si="1"/>
        <v>1.9019694103638258</v>
      </c>
      <c r="T48" s="515">
        <f t="shared" si="1"/>
        <v>1.4853675290912323</v>
      </c>
      <c r="U48" s="515">
        <f t="shared" si="1"/>
        <v>1.9019376003354576</v>
      </c>
      <c r="V48" s="515" t="str">
        <f t="shared" si="1"/>
        <v/>
      </c>
      <c r="W48" s="515">
        <f t="shared" si="1"/>
        <v>-0.30716336529088001</v>
      </c>
      <c r="X48" s="515">
        <f t="shared" si="1"/>
        <v>-0.30716336529088001</v>
      </c>
      <c r="Y48" s="515" t="str">
        <f t="shared" si="1"/>
        <v/>
      </c>
      <c r="Z48" s="515">
        <f t="shared" si="1"/>
        <v>0.56611270045168594</v>
      </c>
      <c r="AA48" s="515" t="str">
        <f t="shared" si="1"/>
        <v/>
      </c>
      <c r="AB48" s="515">
        <f t="shared" si="1"/>
        <v>-1.2441203136336483</v>
      </c>
      <c r="AC48" s="515">
        <f t="shared" si="1"/>
        <v>-1.2441203136336483</v>
      </c>
      <c r="AD48" s="515" t="str">
        <f t="shared" si="1"/>
        <v/>
      </c>
      <c r="AE48" s="515">
        <f t="shared" si="1"/>
        <v>-0.5899388560708041</v>
      </c>
      <c r="AF48" s="515" t="str">
        <f t="shared" si="1"/>
        <v/>
      </c>
      <c r="AG48" s="515" t="str">
        <f t="shared" si="1"/>
        <v/>
      </c>
      <c r="AH48" s="515">
        <f t="shared" si="1"/>
        <v>-1.9692691958664705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8.7469736924652129E-4</v>
      </c>
      <c r="E49" s="151">
        <f t="shared" si="2"/>
        <v>1.5188375211503584E-3</v>
      </c>
      <c r="F49" s="151">
        <f t="shared" si="2"/>
        <v>0.14326628768533539</v>
      </c>
      <c r="G49" s="151">
        <f t="shared" si="2"/>
        <v>7.1659619558634806E-3</v>
      </c>
      <c r="H49" s="151">
        <f t="shared" si="2"/>
        <v>5.1699596183461434E-2</v>
      </c>
      <c r="I49" s="151">
        <f t="shared" si="2"/>
        <v>6.5373910145445256E-4</v>
      </c>
      <c r="J49" s="151">
        <f t="shared" si="2"/>
        <v>3.3177639734933512E-2</v>
      </c>
      <c r="K49" s="151">
        <f t="shared" si="2"/>
        <v>0.56060175197070172</v>
      </c>
      <c r="L49" s="151">
        <f t="shared" si="2"/>
        <v>1.2287142534670172E-2</v>
      </c>
      <c r="M49" s="151">
        <f t="shared" si="2"/>
        <v>4.3518630883250796E-4</v>
      </c>
      <c r="N49" s="151">
        <f t="shared" si="2"/>
        <v>1.399722443390747E-4</v>
      </c>
      <c r="O49" s="151">
        <f t="shared" si="2"/>
        <v>8.402385706655338E-4</v>
      </c>
      <c r="P49" s="151">
        <f t="shared" si="2"/>
        <v>0.10183876912550997</v>
      </c>
      <c r="Q49" s="151">
        <f t="shared" si="2"/>
        <v>3.032115615125512E-4</v>
      </c>
      <c r="R49" s="151">
        <f t="shared" si="2"/>
        <v>4.6452929719270397E-4</v>
      </c>
      <c r="S49" s="151">
        <f t="shared" si="2"/>
        <v>8.0248946772072394E-3</v>
      </c>
      <c r="T49" s="151">
        <f t="shared" si="2"/>
        <v>1.8824982623829055E-2</v>
      </c>
      <c r="U49" s="151">
        <f t="shared" si="2"/>
        <v>2.9719655233103443E-3</v>
      </c>
      <c r="V49" s="151">
        <f t="shared" si="2"/>
        <v>3.281105119292751E-5</v>
      </c>
      <c r="W49" s="151">
        <f t="shared" si="2"/>
        <v>9.45874802718287E-3</v>
      </c>
      <c r="X49" s="151">
        <f t="shared" si="2"/>
        <v>2.4767492460331903E-2</v>
      </c>
      <c r="Y49" s="151">
        <f t="shared" si="2"/>
        <v>7.5316607251632563E-6</v>
      </c>
      <c r="Z49" s="151">
        <f t="shared" si="2"/>
        <v>2.3193177584003278E-3</v>
      </c>
      <c r="AA49" s="151">
        <f t="shared" si="2"/>
        <v>7.4680670789040746E-7</v>
      </c>
      <c r="AB49" s="151">
        <f t="shared" si="2"/>
        <v>1.7882173607479408E-3</v>
      </c>
      <c r="AC49" s="151">
        <f t="shared" si="2"/>
        <v>1.6140403884019487E-2</v>
      </c>
      <c r="AD49" s="151">
        <f t="shared" si="2"/>
        <v>5.7020427834117102E-6</v>
      </c>
      <c r="AE49" s="151">
        <f t="shared" si="2"/>
        <v>1.851055164080574E-4</v>
      </c>
      <c r="AF49" s="151">
        <f t="shared" si="2"/>
        <v>1.1304192939153354E-6</v>
      </c>
      <c r="AG49" s="151">
        <f t="shared" si="2"/>
        <v>1.9451613401517775E-5</v>
      </c>
      <c r="AH49" s="151">
        <f t="shared" si="2"/>
        <v>1.6421345511639606E-4</v>
      </c>
      <c r="AI49" s="151">
        <f t="shared" si="2"/>
        <v>3.9625479677773122E-8</v>
      </c>
      <c r="AJ49" s="253">
        <f t="shared" si="2"/>
        <v>1.9684328992484178E-5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2.4497629612503802E-10</v>
      </c>
      <c r="E50" s="179">
        <f t="shared" si="3"/>
        <v>1.7089661412881074E-6</v>
      </c>
      <c r="F50" s="179">
        <f t="shared" si="3"/>
        <v>4.8848609831000239E-4</v>
      </c>
      <c r="G50" s="179">
        <f t="shared" si="3"/>
        <v>4.6073995565237641E-5</v>
      </c>
      <c r="H50" s="179">
        <f t="shared" si="3"/>
        <v>1.7627687875412718E-2</v>
      </c>
      <c r="I50" s="179">
        <f t="shared" si="3"/>
        <v>1.4010853274946189E-3</v>
      </c>
      <c r="J50" s="179">
        <f t="shared" si="3"/>
        <v>6.9131163807719536E-4</v>
      </c>
      <c r="K50" s="179">
        <f t="shared" si="3"/>
        <v>1.3141209964906554E-3</v>
      </c>
      <c r="L50" s="179">
        <f t="shared" si="3"/>
        <v>6.9126256997615741E-4</v>
      </c>
      <c r="M50" s="179">
        <f t="shared" si="3"/>
        <v>3.8865955289719903E-12</v>
      </c>
      <c r="N50" s="179">
        <f t="shared" si="3"/>
        <v>1.0327039696459003E-8</v>
      </c>
      <c r="O50" s="179">
        <f t="shared" si="3"/>
        <v>1.8785492870565715E-7</v>
      </c>
      <c r="P50" s="179">
        <f t="shared" si="3"/>
        <v>8.8164068091674243E-9</v>
      </c>
      <c r="Q50" s="179">
        <f t="shared" si="3"/>
        <v>6.7790016144527535E-6</v>
      </c>
      <c r="R50" s="179">
        <f t="shared" si="3"/>
        <v>2.6810217064977089E-7</v>
      </c>
      <c r="S50" s="179">
        <f t="shared" si="3"/>
        <v>1.0964264443565609E-5</v>
      </c>
      <c r="T50" s="179">
        <f t="shared" si="3"/>
        <v>2.8935251854065111E-6</v>
      </c>
      <c r="U50" s="179">
        <f t="shared" si="3"/>
        <v>1.0963461392168876E-5</v>
      </c>
      <c r="V50" s="179">
        <f t="shared" si="3"/>
        <v>2.719575527968257E-14</v>
      </c>
      <c r="W50" s="179">
        <f t="shared" si="3"/>
        <v>1.5679948508013283E-10</v>
      </c>
      <c r="X50" s="179">
        <f t="shared" si="3"/>
        <v>1.3685849520272998E-11</v>
      </c>
      <c r="Y50" s="179">
        <f t="shared" si="3"/>
        <v>4.1617929423991921E-10</v>
      </c>
      <c r="Z50" s="179">
        <f t="shared" si="3"/>
        <v>7.6895553028637293E-8</v>
      </c>
      <c r="AA50" s="179">
        <f t="shared" si="3"/>
        <v>1.1297976267563096E-15</v>
      </c>
      <c r="AB50" s="179">
        <f t="shared" si="3"/>
        <v>4.5088055337292942E-11</v>
      </c>
      <c r="AC50" s="179">
        <f t="shared" si="3"/>
        <v>1.3565454242552555E-11</v>
      </c>
      <c r="AD50" s="179">
        <f t="shared" si="3"/>
        <v>4.7923708119865017E-10</v>
      </c>
      <c r="AE50" s="179">
        <f t="shared" si="3"/>
        <v>1.4001733710191454E-8</v>
      </c>
      <c r="AF50" s="179">
        <f t="shared" si="3"/>
        <v>5.7004711840041835E-16</v>
      </c>
      <c r="AG50" s="179">
        <f t="shared" si="3"/>
        <v>1.4012924518310444E-13</v>
      </c>
      <c r="AH50" s="179">
        <f t="shared" si="3"/>
        <v>3.9433074332323621E-14</v>
      </c>
      <c r="AI50" s="179">
        <f t="shared" si="3"/>
        <v>9.5153864491801399E-13</v>
      </c>
      <c r="AJ50" s="380">
        <f t="shared" si="3"/>
        <v>6.6176005547736338E-10</v>
      </c>
    </row>
    <row r="51" spans="1:36" ht="12.75" customHeight="1" x14ac:dyDescent="0.2">
      <c r="B51" s="141" t="s">
        <v>703</v>
      </c>
      <c r="C51" s="254"/>
      <c r="D51" s="385">
        <f>D50*8.314*TEMP.R</f>
        <v>5.8046888390531631E-7</v>
      </c>
      <c r="E51" s="385">
        <f>E50*Kaw.R*8.314*TEMP.R</f>
        <v>1.9906202795861278E-10</v>
      </c>
      <c r="F51" s="385">
        <f>F50*Kaw.R*8.314*TEMP.R</f>
        <v>5.6899332883147069E-8</v>
      </c>
      <c r="G51" s="385">
        <f>G50*Kaw.R*8.314*TEMP.R</f>
        <v>5.3667435368025454E-9</v>
      </c>
      <c r="H51" s="385">
        <f>H50*Kaw.R/Ksdw1.R*8.314*TEMP.R</f>
        <v>7.7748178567799814E-8</v>
      </c>
      <c r="I51" s="385">
        <f>I50*Kaw.R/Ksdw2.R*8.314*TEMP.R</f>
        <v>6.2216294499926104E-9</v>
      </c>
      <c r="J51" s="385">
        <f>J50*Kaw.R/Ks1w.R*8.314*TEMP.R</f>
        <v>2.6013327427380484E-9</v>
      </c>
      <c r="K51" s="385">
        <f>K50*Kaw.R/Ks2w.R*8.314*TEMP.R</f>
        <v>4.9486966107924135E-9</v>
      </c>
      <c r="L51" s="385">
        <f>L50*Kaw.R/Ks3w.R*8.314*TEMP.R</f>
        <v>2.6031459403997042E-9</v>
      </c>
      <c r="M51" s="385">
        <f>M50*8.314*TEMP.C</f>
        <v>9.2092492399438404E-9</v>
      </c>
      <c r="N51" s="385">
        <f>N50*Kaw.C*8.314*TEMP.C</f>
        <v>1.2029035655655278E-12</v>
      </c>
      <c r="O51" s="385">
        <f>O50*Kaw.C*8.314*TEMP.C</f>
        <v>2.1881523669031253E-11</v>
      </c>
      <c r="P51" s="385">
        <f>P50*Kaw.C*8.314*TEMP.C</f>
        <v>1.026943586733776E-12</v>
      </c>
      <c r="Q51" s="385">
        <f>Q50*Kaw.C/Ksdw1.C*8.314*TEMP.C</f>
        <v>2.9899271632045275E-11</v>
      </c>
      <c r="R51" s="385">
        <f>R50*Kaw.C/Ksdw2.C*8.314*TEMP.C</f>
        <v>1.1905287478131595E-12</v>
      </c>
      <c r="S51" s="385">
        <f>S50*Kaw.C/Ks1w.C*8.314*TEMP.C</f>
        <v>4.1257370086254661E-11</v>
      </c>
      <c r="T51" s="385">
        <f>T50*Kaw.C/Ks2w.C*8.314*TEMP.C</f>
        <v>1.0896392582192116E-11</v>
      </c>
      <c r="U51" s="385">
        <f>U50*Kaw.C/Ks3w.C*8.314*TEMP.C</f>
        <v>4.1286034070581407E-11</v>
      </c>
      <c r="V51" s="385">
        <f>V50*8.314*TEMP.M</f>
        <v>6.4440070177655054E-11</v>
      </c>
      <c r="W51" s="385">
        <f>W50*Kaw.M*8.314*TEMP.M</f>
        <v>1.8264155578524977E-14</v>
      </c>
      <c r="X51" s="385">
        <f>X50*Kaw.M*8.314*TEMP.M</f>
        <v>1.5941409803406206E-15</v>
      </c>
      <c r="Y51" s="385">
        <f>Y50*Kaw.M/Ksdw.M*8.314*TEMP.M</f>
        <v>1.8480768463619258E-15</v>
      </c>
      <c r="Z51" s="372">
        <f>Z50*Kaw.M/Kslw.M*8.314*TEMP.M</f>
        <v>2.89349851567243E-13</v>
      </c>
      <c r="AA51" s="385">
        <f>AA50*8.314*TEMP.A</f>
        <v>2.470395154308065E-12</v>
      </c>
      <c r="AB51" s="385">
        <f>AB50*Kaw.A*8.314*TEMP.A</f>
        <v>1.5351003395846835E-16</v>
      </c>
      <c r="AC51" s="385">
        <f>AC50*Kaw.A*8.314*TEMP.A</f>
        <v>4.6185920547207159E-17</v>
      </c>
      <c r="AD51" s="385">
        <f>AD50*Kaw.A/Ksdw.A*8.314*TEMP.A</f>
        <v>6.2202847853363954E-17</v>
      </c>
      <c r="AE51" s="372">
        <f>AE50*Kaw.A/Kslw.A*8.314*TEMP.A</f>
        <v>1.5400121623536173E-15</v>
      </c>
      <c r="AF51" s="385">
        <f>AF50*8.314*TEMP.T</f>
        <v>1.4123327792295612E-12</v>
      </c>
      <c r="AG51" s="385">
        <f>AG50*Kaw.T*8.314*TEMP.T</f>
        <v>1.0300759033010278E-16</v>
      </c>
      <c r="AH51" s="385">
        <f>AH50*Kaw.T*8.314*TEMP.T</f>
        <v>2.8986853964515837E-17</v>
      </c>
      <c r="AI51" s="385">
        <f>AI50*Kaw.T/Ksdw.T*8.314*TEMP.T</f>
        <v>2.6665606560792196E-17</v>
      </c>
      <c r="AJ51" s="386">
        <f>AJ50*Kaw.T/Kslw.T*8.314*TEMP.T</f>
        <v>1.5714771372095118E-14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-0.90691490671638453</v>
      </c>
      <c r="E55" s="370">
        <f t="shared" ref="E55:AJ55" si="4">E9*E$45</f>
        <v>1.8490648368770444E-7</v>
      </c>
      <c r="F55" s="370">
        <f t="shared" si="4"/>
        <v>5.8052465780960942E-4</v>
      </c>
      <c r="G55" s="370">
        <f t="shared" si="4"/>
        <v>8.4629021768075741E-6</v>
      </c>
      <c r="H55" s="389">
        <f t="shared" si="4"/>
        <v>0</v>
      </c>
      <c r="I55" s="389">
        <f t="shared" si="4"/>
        <v>0</v>
      </c>
      <c r="J55" s="370">
        <f t="shared" si="4"/>
        <v>9.0170236876926615E-5</v>
      </c>
      <c r="K55" s="370">
        <f t="shared" si="4"/>
        <v>6.9153604189370202E-4</v>
      </c>
      <c r="L55" s="370">
        <f t="shared" si="4"/>
        <v>3.3307965484918181E-5</v>
      </c>
      <c r="M55" s="370">
        <f t="shared" si="4"/>
        <v>8.4050821880643032E-3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1.3350945873585279E-3</v>
      </c>
      <c r="E56" s="378">
        <f>SUM(D56,F56:AJ56)-SUM(E55,E57:E87)</f>
        <v>8.4819815319869436E-3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8.1420125900072925E-4</v>
      </c>
      <c r="K56" s="376">
        <f t="shared" si="6"/>
        <v>6.2652090879505929E-3</v>
      </c>
      <c r="L56" s="376">
        <f t="shared" si="6"/>
        <v>3.0176499186622445E-4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1.4686040460943808E-2</v>
      </c>
      <c r="E57" s="179">
        <f t="shared" ref="E57:E87" si="7">E11*E$45</f>
        <v>2.3410348770544167E-4</v>
      </c>
      <c r="F57" s="378">
        <f>SUM(D57:E57,G57:AJ57)-SUM(F55:F56,F58:F87)</f>
        <v>-0.61533651351701901</v>
      </c>
      <c r="G57" s="376">
        <f t="shared" ref="G57:AJ57" si="8">G11*G$45</f>
        <v>0</v>
      </c>
      <c r="H57" s="179">
        <f t="shared" si="8"/>
        <v>0.20195578668556496</v>
      </c>
      <c r="I57" s="376">
        <f t="shared" si="8"/>
        <v>0</v>
      </c>
      <c r="J57" s="179">
        <f t="shared" si="8"/>
        <v>8.9562138490080229E-3</v>
      </c>
      <c r="K57" s="179">
        <f t="shared" si="8"/>
        <v>6.8917299967456533E-2</v>
      </c>
      <c r="L57" s="179">
        <f t="shared" si="8"/>
        <v>3.3194149105284696E-3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2.3364301305657423E-3</v>
      </c>
      <c r="E58" s="179">
        <f t="shared" si="7"/>
        <v>0</v>
      </c>
      <c r="F58" s="179">
        <f t="shared" ref="F58:F87" si="9">F12*F$45</f>
        <v>0.66915485653683271</v>
      </c>
      <c r="G58" s="378">
        <f>SUM(D58:F58,H58:AJ58)-SUM(G55:G57,G59:G87)</f>
        <v>4.000063440377799E-2</v>
      </c>
      <c r="H58" s="376">
        <f t="shared" ref="H58:N58" si="10">H12*H$45</f>
        <v>0</v>
      </c>
      <c r="I58" s="179">
        <f t="shared" si="10"/>
        <v>1.8361059273123077E-3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1.0869474706797781E-4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0.24366999168358391</v>
      </c>
      <c r="G59" s="376">
        <f t="shared" ref="G59:G87" si="12">G13*G$45</f>
        <v>0</v>
      </c>
      <c r="H59" s="378">
        <f>SUM(D59:G59,I59:AJ59)-SUM(H55:H58,H60:H87)</f>
        <v>4.171420499801895E-2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2.2803105458876834E-3</v>
      </c>
      <c r="H60" s="376">
        <f t="shared" ref="H60:H87" si="15">H14*H$45</f>
        <v>0</v>
      </c>
      <c r="I60" s="378">
        <f>SUM(D60:H60,J60:AJ60)-SUM(I55:I59,I61:I87)</f>
        <v>4.4420461857537573E-4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0.1025958917334496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9.2735306388563921E-2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0.22799087051877684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0.152116825421476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3.7998478419796144E-2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3.4343990551916531E-2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0.52978136976428392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0.25240177036556455</v>
      </c>
      <c r="N64" s="179">
        <f>N18*N$45</f>
        <v>1.7040516285778744E-8</v>
      </c>
      <c r="O64" s="179">
        <f>O18*O$45</f>
        <v>3.4047033436462317E-6</v>
      </c>
      <c r="P64" s="179">
        <f t="shared" ref="P64:AJ64" si="25">P18*P$45</f>
        <v>6.013509046126601E-6</v>
      </c>
      <c r="Q64" s="376">
        <f t="shared" si="25"/>
        <v>0</v>
      </c>
      <c r="R64" s="376">
        <f t="shared" si="25"/>
        <v>0</v>
      </c>
      <c r="S64" s="179">
        <f t="shared" si="25"/>
        <v>2.1810070268327797E-5</v>
      </c>
      <c r="T64" s="179">
        <f t="shared" si="25"/>
        <v>2.3281741724381658E-5</v>
      </c>
      <c r="U64" s="179">
        <f t="shared" si="25"/>
        <v>8.0772121636123359E-6</v>
      </c>
      <c r="V64" s="179">
        <f t="shared" si="25"/>
        <v>2.7053856361022681E-4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3.2295809780649373E-4</v>
      </c>
      <c r="N65" s="378">
        <f>SUM(D65:M65,O65:AJ65)-SUM(N55:N64,N66:N87)</f>
        <v>7.8167807612205002E-4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1.9693623180345502E-4</v>
      </c>
      <c r="T65" s="376">
        <f t="shared" si="27"/>
        <v>2.1038545063535536E-4</v>
      </c>
      <c r="U65" s="376">
        <f t="shared" si="27"/>
        <v>7.2989724782460965E-5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3.5525390758714302E-3</v>
      </c>
      <c r="N66" s="179">
        <f t="shared" ref="N66:N87" si="28">N20*N$45</f>
        <v>2.1574388389429159E-5</v>
      </c>
      <c r="O66" s="378">
        <f>SUM(D66:N66,P66:AJ66)-SUM(O55:O65,O67:O87)</f>
        <v>4.6853896586139896E-3</v>
      </c>
      <c r="P66" s="376">
        <f t="shared" ref="P66:AJ66" si="29">P20*P$45</f>
        <v>0</v>
      </c>
      <c r="Q66" s="179">
        <f t="shared" si="29"/>
        <v>1.1848571491968338E-3</v>
      </c>
      <c r="R66" s="376">
        <f t="shared" si="29"/>
        <v>0</v>
      </c>
      <c r="S66" s="179">
        <f t="shared" si="29"/>
        <v>2.1662985498380051E-3</v>
      </c>
      <c r="T66" s="179">
        <f t="shared" si="29"/>
        <v>2.3142399569889087E-3</v>
      </c>
      <c r="U66" s="179">
        <f t="shared" si="29"/>
        <v>8.0288697260707045E-4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0.6311466794899363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0.13761685332380277</v>
      </c>
      <c r="N67" s="179">
        <f t="shared" si="28"/>
        <v>0</v>
      </c>
      <c r="O67" s="179">
        <f t="shared" ref="O67:O87" si="30">O21*O$45</f>
        <v>3.9245081958521368E-3</v>
      </c>
      <c r="P67" s="378">
        <f>SUM(D67:O67,Q67:AJ67)-SUM(P55:P66,P68:P87)</f>
        <v>0.56846734562790313</v>
      </c>
      <c r="Q67" s="376">
        <f t="shared" ref="Q67:AJ67" si="31">Q21*Q$45</f>
        <v>0</v>
      </c>
      <c r="R67" s="179">
        <f t="shared" si="31"/>
        <v>1.3319945137111439E-3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3.6905256920372657E-3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1.4290935350819043E-3</v>
      </c>
      <c r="P68" s="376">
        <f t="shared" ref="P68:P87" si="32">P22*P$45</f>
        <v>0</v>
      </c>
      <c r="Q68" s="378">
        <f>SUM(D68:P68,R68:AJ68)-SUM(Q55:Q67,Q69:Q87)</f>
        <v>2.4423638588507053E-4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1.6203269054973584E-3</v>
      </c>
      <c r="Q69" s="376">
        <f t="shared" ref="Q69:Q87" si="34">Q23*Q$45</f>
        <v>0</v>
      </c>
      <c r="R69" s="378">
        <f>SUM(D69:Q69,S69:AJ69)-SUM(R55:R68,R70:R87)</f>
        <v>2.8833239178621445E-4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2.4815545411091891E-2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2.2430500559182102E-2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5.5145656469093085E-2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5.2597749319744438E-2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9.1909427448488464E-3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8.3069888352957019E-3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3.866316492881329E-2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1.9029935548449037E-2</v>
      </c>
      <c r="W73" s="179">
        <f t="shared" ref="W73:AJ73" si="43">W27*W$45</f>
        <v>1.1170650885694607E-6</v>
      </c>
      <c r="X73" s="376">
        <f t="shared" si="43"/>
        <v>0</v>
      </c>
      <c r="Y73" s="376">
        <f t="shared" si="43"/>
        <v>0</v>
      </c>
      <c r="Z73" s="179">
        <f t="shared" si="43"/>
        <v>6.3034451316806172E-6</v>
      </c>
      <c r="AA73" s="179">
        <f t="shared" si="43"/>
        <v>3.3243762716774301E-5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2.905232525641596E-5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0.20750818042582506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1.007408589491862E-2</v>
      </c>
      <c r="W74" s="378">
        <f>SUM(D74:V74,X74:AJ74)-SUM(W55:W73,W75:W87)</f>
        <v>5.2799041368508826E-2</v>
      </c>
      <c r="X74" s="376">
        <f t="shared" ref="X74:AJ74" si="45">X28*X$45</f>
        <v>1.3223200414046952E-2</v>
      </c>
      <c r="Y74" s="376">
        <f t="shared" si="45"/>
        <v>0</v>
      </c>
      <c r="Z74" s="179">
        <f t="shared" si="45"/>
        <v>6.830111318342992E-4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2.101938677746567E-5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0.15149889036574782</v>
      </c>
      <c r="X75" s="378">
        <f>SUM(D75:W75,Y75:AJ75)-SUM(X55:X74,X76:X87)</f>
        <v>0.13825295432854123</v>
      </c>
      <c r="Y75" s="376">
        <f t="shared" ref="Y75:AJ75" si="47">Y29*Y$45</f>
        <v>2.1594890980671143E-5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2.0348181363828832E-3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2.6271222482222034E-5</v>
      </c>
      <c r="Y76" s="378">
        <f>SUM(D76:X76,Z76:AJ76)-SUM(Y55:Y75,Y77:Y87)</f>
        <v>4.676331501550891E-6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7.1720735874336852E-3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6.4827590104677051E-3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8.0022228230103699E-4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3.5788462630251451E-4</v>
      </c>
      <c r="AB78" s="179">
        <f t="shared" ref="AB78:AJ78" si="53">AB32*AB$45</f>
        <v>6.6894604095479257E-9</v>
      </c>
      <c r="AC78" s="376">
        <f t="shared" si="53"/>
        <v>0</v>
      </c>
      <c r="AD78" s="376">
        <f t="shared" si="53"/>
        <v>0</v>
      </c>
      <c r="AE78" s="179">
        <f t="shared" si="53"/>
        <v>1.594001005646117E-8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2.3519922762019928E-2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2.767925123647544E-4</v>
      </c>
      <c r="AB79" s="378">
        <f>SUM(D79:AA79,AC79:AJ79)-SUM(AB55:AB78,AB80:AB87)</f>
        <v>2.1724345317848497E-3</v>
      </c>
      <c r="AC79" s="376">
        <f t="shared" ref="AC79:AJ79" si="55">AC33*AC$45</f>
        <v>9.3142601226011111E-3</v>
      </c>
      <c r="AD79" s="376">
        <f t="shared" si="55"/>
        <v>0</v>
      </c>
      <c r="AE79" s="179">
        <f t="shared" si="55"/>
        <v>1.9653314688630544E-5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3.0958187490429164E-2</v>
      </c>
      <c r="AC80" s="378">
        <f>SUM(D80:AB80,AD80:AJ80)-SUM(AC55:AC79,AC81:AC87)</f>
        <v>1.9608338183190667E-2</v>
      </c>
      <c r="AD80" s="376">
        <f t="shared" ref="AD80:AJ80" si="57">AD34*AD$45</f>
        <v>1.6349301820061787E-5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1.7120350074563598E-5</v>
      </c>
      <c r="AD81" s="378">
        <f>SUM(D81:AC81,AE81:AJ81)-SUM(AD55:AD80,AD82:AD87)</f>
        <v>7.7104825450181094E-7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1.3232401038745979E-4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1.1265475568877278E-4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1.386025650294121E-3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7.2892063032183052E-4</v>
      </c>
      <c r="AG83" s="179">
        <f>AG37*AG$45</f>
        <v>1.3862082472024828E-8</v>
      </c>
      <c r="AH83" s="376">
        <f>AH37*AH$45</f>
        <v>0</v>
      </c>
      <c r="AI83" s="376">
        <f>AI37*AI$45</f>
        <v>0</v>
      </c>
      <c r="AJ83" s="380">
        <f>AJ37*AJ$45</f>
        <v>3.2270908290274258E-7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4.8187579131823304E-4</v>
      </c>
      <c r="AG84" s="378">
        <f>SUM(D84:AF84,AH84:AJ84)-SUM(AG55:AG83,AG85:AG87)</f>
        <v>2.673541961938939E-4</v>
      </c>
      <c r="AH84" s="376">
        <f>AH38*AH$45</f>
        <v>7.9976448611125537E-5</v>
      </c>
      <c r="AI84" s="179">
        <f>AI38*AI$45</f>
        <v>0</v>
      </c>
      <c r="AJ84" s="380">
        <f>AJ38*AJ$45</f>
        <v>1.0739253783085023E-5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2.0528774280409497E-3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2.8420404865861195E-4</v>
      </c>
      <c r="AH85" s="378">
        <f>SUM(D85:AG85,AI85:AJ85)-SUM(AH55:AH84,AH86:AH87)</f>
        <v>2.2570444615890041E-3</v>
      </c>
      <c r="AI85" s="376">
        <f>AI39*AI$45</f>
        <v>1.1361698809089069E-7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1.7418348752287906E-7</v>
      </c>
      <c r="AI86" s="378">
        <f>SUM(D86:AH86,AJ86)-SUM(AI55:AI85,AI87)</f>
        <v>6.0566499431988376E-8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1.465134745630163E-4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1.3545151169702853E-4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3.5159320511397785</v>
      </c>
      <c r="D92" s="179">
        <f>SUM($D$55:$AJ$55)</f>
        <v>-0.89710563781759456</v>
      </c>
      <c r="E92" s="179">
        <f>SUM($D$56:$AJ$56)</f>
        <v>1.7198251458163019E-2</v>
      </c>
      <c r="F92" s="179">
        <f>SUM($D$57:$AJ$57)</f>
        <v>-0.31726765415581176</v>
      </c>
      <c r="G92" s="179">
        <f>SUM($D$58:$AJ$58)</f>
        <v>0.71343672174555672</v>
      </c>
      <c r="H92" s="179">
        <f>SUM($D$59:$AJ$59)</f>
        <v>0.28538419668160286</v>
      </c>
      <c r="I92" s="179">
        <f>SUM($D$60:$AJ$60)</f>
        <v>2.7245151644630589E-3</v>
      </c>
      <c r="J92" s="179">
        <f>SUM($D$61:$AJ$61)</f>
        <v>0.19533119812201352</v>
      </c>
      <c r="K92" s="179">
        <f>SUM($D$62:$AJ$62)</f>
        <v>0.38010769594025284</v>
      </c>
      <c r="L92" s="179">
        <f>SUM($D$63:$AJ$63)</f>
        <v>7.2342468971712676E-2</v>
      </c>
      <c r="M92" s="179">
        <f>SUM($D$64:$AJ$64)</f>
        <v>0.78251628297052123</v>
      </c>
      <c r="N92" s="179">
        <f>SUM($D$65:$AJ$65)</f>
        <v>1.5849475811498153E-3</v>
      </c>
      <c r="O92" s="179">
        <f>SUM($D$66:$AJ$66)</f>
        <v>1.4727785751505669E-2</v>
      </c>
      <c r="P92" s="179">
        <f>SUM($D$67:$AJ$67)</f>
        <v>1.3461779068432427</v>
      </c>
      <c r="Q92" s="179">
        <f>SUM($D$68:$AJ$68)</f>
        <v>1.6733299209669749E-3</v>
      </c>
      <c r="R92" s="179">
        <f>SUM($D$69:$AJ$69)</f>
        <v>1.9086592972835728E-3</v>
      </c>
      <c r="S92" s="179">
        <f>SUM($D$70:$AJ$70)</f>
        <v>4.7246045970273993E-2</v>
      </c>
      <c r="T92" s="179">
        <f>SUM($D$71:$AJ$71)</f>
        <v>0.10774340578883752</v>
      </c>
      <c r="U92" s="179">
        <f>SUM($D$72:$AJ$72)</f>
        <v>1.7497931580144548E-2</v>
      </c>
      <c r="V92" s="179">
        <f>SUM($D$73:$AJ$73)</f>
        <v>5.7762817075455761E-2</v>
      </c>
      <c r="W92" s="179">
        <f>SUM($D$74:$AJ$74)</f>
        <v>0.28430853862191119</v>
      </c>
      <c r="X92" s="179">
        <f>SUM($D$75:$AJ$75)</f>
        <v>0.29180825772165264</v>
      </c>
      <c r="Y92" s="179">
        <f>SUM($D$76:$AJ$76)</f>
        <v>3.0947553983772925E-5</v>
      </c>
      <c r="Z92" s="179">
        <f>SUM($D$77:$AJ$77)</f>
        <v>1.365483259790139E-2</v>
      </c>
      <c r="AA92" s="179">
        <f>SUM($D$78:$AJ$78)</f>
        <v>1.1581295380740176E-3</v>
      </c>
      <c r="AB92" s="179">
        <f>SUM($D$79:$AJ$79)</f>
        <v>3.5303063243459276E-2</v>
      </c>
      <c r="AC92" s="179">
        <f>SUM($D$80:$AJ$80)</f>
        <v>5.0582874975439888E-2</v>
      </c>
      <c r="AD92" s="179">
        <f>SUM($D$81:$AJ$81)</f>
        <v>1.7891398329065409E-5</v>
      </c>
      <c r="AE92" s="179">
        <f>SUM($D$82:$AJ$82)</f>
        <v>2.4497876607623259E-4</v>
      </c>
      <c r="AF92" s="179">
        <f>SUM($D$83:$AJ$83)</f>
        <v>2.115282851781326E-3</v>
      </c>
      <c r="AG92" s="179">
        <f>SUM($D$84:$AJ$84)</f>
        <v>8.3994568990633739E-4</v>
      </c>
      <c r="AH92" s="179">
        <f>SUM($D$85:$AJ$85)</f>
        <v>4.5942395552766571E-3</v>
      </c>
      <c r="AI92" s="179">
        <f>SUM($D$86:$AJ$86)</f>
        <v>2.3474998695486745E-7</v>
      </c>
      <c r="AJ92" s="380">
        <f>SUM($D$87:$AJ$87)</f>
        <v>2.8196498626004482E-4</v>
      </c>
    </row>
    <row r="93" spans="2:36" ht="12.75" customHeight="1" x14ac:dyDescent="0.2">
      <c r="B93" s="146" t="s">
        <v>1212</v>
      </c>
      <c r="C93" s="150">
        <f>SUM(D93:AJ93)</f>
        <v>3.5159320511397798</v>
      </c>
      <c r="D93" s="179">
        <f t="shared" ref="D93:AJ93" si="61">SUM(D55:D87)</f>
        <v>9.80926889879008E-3</v>
      </c>
      <c r="E93" s="179">
        <f t="shared" si="61"/>
        <v>8.716269926176072E-3</v>
      </c>
      <c r="F93" s="179">
        <f t="shared" si="61"/>
        <v>0.29806885936120719</v>
      </c>
      <c r="G93" s="179">
        <f t="shared" si="61"/>
        <v>0.67343608734177873</v>
      </c>
      <c r="H93" s="179">
        <f t="shared" si="61"/>
        <v>0.24366999168358391</v>
      </c>
      <c r="I93" s="179">
        <f t="shared" si="61"/>
        <v>2.2803105458876834E-3</v>
      </c>
      <c r="J93" s="179">
        <f t="shared" si="61"/>
        <v>0.1025958917334496</v>
      </c>
      <c r="K93" s="179">
        <f t="shared" si="61"/>
        <v>0.22799087051877684</v>
      </c>
      <c r="L93" s="179">
        <f t="shared" si="61"/>
        <v>3.7998478419796144E-2</v>
      </c>
      <c r="M93" s="179">
        <f t="shared" si="61"/>
        <v>0.53011451260495668</v>
      </c>
      <c r="N93" s="179">
        <f t="shared" si="61"/>
        <v>8.0326950502776495E-4</v>
      </c>
      <c r="O93" s="179">
        <f t="shared" si="61"/>
        <v>1.0042396092891679E-2</v>
      </c>
      <c r="P93" s="179">
        <f t="shared" si="61"/>
        <v>0.77771056121533977</v>
      </c>
      <c r="Q93" s="179">
        <f t="shared" si="61"/>
        <v>1.4290935350819043E-3</v>
      </c>
      <c r="R93" s="179">
        <f t="shared" si="61"/>
        <v>1.6203269054973584E-3</v>
      </c>
      <c r="S93" s="179">
        <f t="shared" si="61"/>
        <v>2.4815545411091891E-2</v>
      </c>
      <c r="T93" s="179">
        <f t="shared" si="61"/>
        <v>5.5145656469093085E-2</v>
      </c>
      <c r="U93" s="179">
        <f t="shared" si="61"/>
        <v>9.1909427448488464E-3</v>
      </c>
      <c r="V93" s="179">
        <f t="shared" si="61"/>
        <v>3.8732881527006734E-2</v>
      </c>
      <c r="W93" s="179">
        <f t="shared" si="61"/>
        <v>0.23150949725340239</v>
      </c>
      <c r="X93" s="179">
        <f t="shared" si="61"/>
        <v>0.15355530339311135</v>
      </c>
      <c r="Y93" s="179">
        <f t="shared" si="61"/>
        <v>2.6271222482222034E-5</v>
      </c>
      <c r="Z93" s="179">
        <f t="shared" si="61"/>
        <v>7.1720735874336852E-3</v>
      </c>
      <c r="AA93" s="179">
        <f t="shared" si="61"/>
        <v>8.00244911771503E-4</v>
      </c>
      <c r="AB93" s="179">
        <f t="shared" si="61"/>
        <v>3.3130628711674423E-2</v>
      </c>
      <c r="AC93" s="179">
        <f t="shared" si="61"/>
        <v>3.0974536792249222E-2</v>
      </c>
      <c r="AD93" s="179">
        <f t="shared" si="61"/>
        <v>1.7120350074563598E-5</v>
      </c>
      <c r="AE93" s="179">
        <f t="shared" si="61"/>
        <v>1.3232401038745979E-4</v>
      </c>
      <c r="AF93" s="179">
        <f t="shared" si="61"/>
        <v>1.3863622214594958E-3</v>
      </c>
      <c r="AG93" s="179">
        <f t="shared" si="61"/>
        <v>5.7259149371244355E-4</v>
      </c>
      <c r="AH93" s="179">
        <f t="shared" si="61"/>
        <v>2.3371950936876525E-3</v>
      </c>
      <c r="AI93" s="179">
        <f t="shared" si="61"/>
        <v>1.7418348752287906E-7</v>
      </c>
      <c r="AJ93" s="380">
        <f t="shared" si="61"/>
        <v>1.465134745630163E-4</v>
      </c>
    </row>
    <row r="94" spans="2:36" ht="12.75" customHeight="1" x14ac:dyDescent="0.2">
      <c r="B94" s="152" t="s">
        <v>1211</v>
      </c>
      <c r="C94" s="150">
        <f>SUM(D94:AJ94)</f>
        <v>4.2426802226069826</v>
      </c>
      <c r="D94" s="179">
        <f>k.aR*D45</f>
        <v>0.50731183415260972</v>
      </c>
      <c r="E94" s="179">
        <f>k.w0R*E45</f>
        <v>8.4819815319869454E-3</v>
      </c>
      <c r="F94" s="179">
        <f>k.w1R*F45</f>
        <v>0.79889022735197501</v>
      </c>
      <c r="G94" s="179">
        <f>k.w2R*G45</f>
        <v>4.0000634403777727E-2</v>
      </c>
      <c r="H94" s="179">
        <f>k.sd1R*H45</f>
        <v>4.1714204998019005E-2</v>
      </c>
      <c r="I94" s="179">
        <f>k.sd2R*I45</f>
        <v>4.4420461857537589E-4</v>
      </c>
      <c r="J94" s="179">
        <f>k.s1R*J45</f>
        <v>9.2735306388563893E-2</v>
      </c>
      <c r="K94" s="179">
        <f>k.s2R*K45</f>
        <v>1.5663435662904703</v>
      </c>
      <c r="L94" s="179">
        <f>k.s3R*L45</f>
        <v>3.4343990551916517E-2</v>
      </c>
      <c r="M94" s="179">
        <f>k.aC*M45</f>
        <v>0.25240177036556433</v>
      </c>
      <c r="N94" s="179">
        <f>k.w0C*N45</f>
        <v>7.8167807612205024E-4</v>
      </c>
      <c r="O94" s="179">
        <f>k.w1C*O45</f>
        <v>4.685389658613987E-3</v>
      </c>
      <c r="P94" s="179">
        <f>k.w2C*P45</f>
        <v>0.56846734562790324</v>
      </c>
      <c r="Q94" s="179">
        <f>k.sd1C*Q45</f>
        <v>2.4423638588507091E-4</v>
      </c>
      <c r="R94" s="179">
        <f>k.sd2C*R45</f>
        <v>2.8833239178621407E-4</v>
      </c>
      <c r="S94" s="179">
        <f>k.s1C*S45</f>
        <v>2.2430500559182116E-2</v>
      </c>
      <c r="T94" s="179">
        <f>k.s2C*T45</f>
        <v>5.2597749319744473E-2</v>
      </c>
      <c r="U94" s="179">
        <f>k.s3C*U45</f>
        <v>8.3069888352957054E-3</v>
      </c>
      <c r="V94" s="179">
        <f>k.aM*V45</f>
        <v>1.9029935548449037E-2</v>
      </c>
      <c r="W94" s="179">
        <f>k.w2M*W45</f>
        <v>5.2799041368508749E-2</v>
      </c>
      <c r="X94" s="179">
        <f>k.w3M*X45</f>
        <v>0.13825295432854123</v>
      </c>
      <c r="Y94" s="179">
        <f>k.sdM*Y45</f>
        <v>4.6763315015508919E-6</v>
      </c>
      <c r="Z94" s="179">
        <f>k.sM*Z45</f>
        <v>6.482759010467706E-3</v>
      </c>
      <c r="AA94" s="179">
        <f>k.aA*AA45</f>
        <v>3.5788462630251456E-4</v>
      </c>
      <c r="AB94" s="179">
        <f>k.w2A*AB45</f>
        <v>2.1724345317848518E-3</v>
      </c>
      <c r="AC94" s="179">
        <f>k.w3A*AC45</f>
        <v>1.9608338183190663E-2</v>
      </c>
      <c r="AD94" s="179">
        <f>k.sdA*AD45</f>
        <v>7.7104825450180776E-7</v>
      </c>
      <c r="AE94" s="179">
        <f>k.sA*AE45</f>
        <v>1.126547556887728E-4</v>
      </c>
      <c r="AF94" s="179">
        <f>k.aT*AF45</f>
        <v>7.2892063032183041E-4</v>
      </c>
      <c r="AG94" s="179">
        <f>k.w2T*AG45</f>
        <v>2.6735419619389395E-4</v>
      </c>
      <c r="AH94" s="179">
        <f>k.w3T*AH45</f>
        <v>2.2570444615890041E-3</v>
      </c>
      <c r="AI94" s="179">
        <f>k.sdT*AI45</f>
        <v>6.0566499431988363E-8</v>
      </c>
      <c r="AJ94" s="374">
        <f>k.sT*AJ45</f>
        <v>1.3545151169702853E-4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17176212865.860987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962162141.5191083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2138140202.4015963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356356700.40026605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39650389102.751045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63089929.127749585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140199846.50496897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23366641.084161498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39094096364.146179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7.4533832759998107E-6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9.0206076770066419E-6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9.0206076770066419E-6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9.0206076770066419E-6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1.00290385952411E-5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4.3472863365271319E-8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4.3472863365271319E-8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4.3456145152004627E-8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4.3456145152004627E-8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4.3472886943431158E-8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4.3472886943431158E-8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9.4656140043718675E-9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9.6538144450854565E-9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4.3472863365271319E-8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1.070241687381601E-7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7.4530169501179827E-6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9.0202413511248139E-6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9.0202413511248139E-6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9.0202413511248139E-6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1.0028672269359272E-5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1.9891959356313285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0.13043355834096021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8.0254184558987145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0.52623467986619266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0.73484084035294783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4.8184245656562923E-2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1.1384311676245422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81.974117922438239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487.65270770227301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