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A2554267-3C96-4536-BF1D-E0B6C9A273C2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9" i="3" s="1"/>
  <c r="J14" i="3"/>
  <c r="L14" i="3" s="1"/>
  <c r="J35" i="3"/>
  <c r="L35" i="3" s="1"/>
  <c r="J37" i="3"/>
  <c r="J66" i="6"/>
  <c r="J17" i="3"/>
  <c r="J60" i="6"/>
  <c r="J108" i="6"/>
  <c r="J126" i="6"/>
  <c r="J62" i="6"/>
  <c r="J75" i="3"/>
  <c r="L75" i="3" s="1"/>
  <c r="J127" i="6"/>
  <c r="J128" i="6"/>
  <c r="J109" i="6"/>
  <c r="J110" i="6"/>
  <c r="J111" i="6"/>
  <c r="J112" i="6"/>
  <c r="J113" i="6"/>
  <c r="J72" i="6"/>
  <c r="J78" i="6"/>
  <c r="J74" i="3"/>
  <c r="L74" i="3" s="1"/>
  <c r="K211" i="6"/>
  <c r="L211" i="6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K213" i="7"/>
  <c r="L213" i="7" s="1"/>
  <c r="K197" i="7" s="1"/>
  <c r="L197" i="7" s="1"/>
  <c r="K214" i="7"/>
  <c r="L214" i="7" s="1"/>
  <c r="K198" i="7" s="1"/>
  <c r="L198" i="7" s="1"/>
  <c r="K216" i="7"/>
  <c r="L216" i="7" s="1"/>
  <c r="K217" i="7"/>
  <c r="L217" i="7"/>
  <c r="J46" i="8"/>
  <c r="J76" i="8"/>
  <c r="J86" i="8"/>
  <c r="J48" i="8"/>
  <c r="K138" i="8"/>
  <c r="L138" i="8"/>
  <c r="K100" i="8" s="1"/>
  <c r="L100" i="8" s="1"/>
  <c r="J87" i="8"/>
  <c r="J88" i="8"/>
  <c r="J77" i="8"/>
  <c r="J53" i="8"/>
  <c r="J54" i="8"/>
  <c r="K137" i="8"/>
  <c r="L137" i="8" s="1"/>
  <c r="K126" i="8" s="1"/>
  <c r="L126" i="8" s="1"/>
  <c r="J182" i="8"/>
  <c r="J212" i="8"/>
  <c r="J222" i="8"/>
  <c r="J184" i="8"/>
  <c r="K274" i="8"/>
  <c r="L274" i="8" s="1"/>
  <c r="J223" i="8"/>
  <c r="J224" i="8"/>
  <c r="J213" i="8"/>
  <c r="J189" i="8"/>
  <c r="J190" i="8"/>
  <c r="K273" i="8"/>
  <c r="L273" i="8" s="1"/>
  <c r="K262" i="8" s="1"/>
  <c r="L262" i="8" s="1"/>
  <c r="J318" i="8"/>
  <c r="J348" i="8"/>
  <c r="J358" i="8"/>
  <c r="J320" i="8"/>
  <c r="K410" i="8"/>
  <c r="L410" i="8" s="1"/>
  <c r="J359" i="8"/>
  <c r="J360" i="8"/>
  <c r="J349" i="8"/>
  <c r="J325" i="8"/>
  <c r="J326" i="8"/>
  <c r="K409" i="8"/>
  <c r="L409" i="8" s="1"/>
  <c r="K398" i="8" s="1"/>
  <c r="L398" i="8" s="1"/>
  <c r="B692" i="22"/>
  <c r="B688" i="22"/>
  <c r="B690" i="22"/>
  <c r="B459" i="22"/>
  <c r="B564" i="22"/>
  <c r="B562" i="22"/>
  <c r="B465" i="22"/>
  <c r="B565" i="22"/>
  <c r="B568" i="22"/>
  <c r="B566" i="22"/>
  <c r="B463" i="22"/>
  <c r="B469" i="22"/>
  <c r="B461" i="22"/>
  <c r="B467" i="22"/>
  <c r="B563" i="22"/>
  <c r="B567" i="22"/>
  <c r="B471" i="22"/>
  <c r="B570" i="22"/>
  <c r="B561" i="22"/>
  <c r="B556" i="22"/>
  <c r="B558" i="22"/>
  <c r="B557" i="22"/>
  <c r="B569" i="22"/>
  <c r="B560" i="22"/>
  <c r="B555" i="22"/>
  <c r="B559" i="22"/>
  <c r="A6" i="2"/>
  <c r="L6" i="2"/>
  <c r="R6" i="2"/>
  <c r="I6" i="2"/>
  <c r="K6" i="2"/>
  <c r="J6" i="2"/>
  <c r="X6" i="2"/>
  <c r="N6" i="2"/>
  <c r="E6" i="2"/>
  <c r="BQ12" i="23" s="1"/>
  <c r="G6" i="2"/>
  <c r="Y6" i="2"/>
  <c r="D6" i="2"/>
  <c r="BP12" i="23" s="1"/>
  <c r="Z6" i="2"/>
  <c r="Q6" i="2"/>
  <c r="C6" i="2"/>
  <c r="U6" i="2"/>
  <c r="W6" i="2"/>
  <c r="F6" i="2"/>
  <c r="T6" i="2"/>
  <c r="O6" i="2"/>
  <c r="S6" i="2"/>
  <c r="B6" i="2"/>
  <c r="P6" i="2"/>
  <c r="V6" i="2"/>
  <c r="M6" i="2"/>
  <c r="H6" i="2"/>
  <c r="F5" i="20"/>
  <c r="K6" i="3"/>
  <c r="I17" i="18"/>
  <c r="AY132" i="23"/>
  <c r="P17" i="3"/>
  <c r="C5" i="23"/>
  <c r="BO12" i="23"/>
  <c r="AB5" i="23"/>
  <c r="BO5" i="23"/>
  <c r="AY3" i="23"/>
  <c r="AY67" i="23"/>
  <c r="BN12" i="23"/>
  <c r="K236" i="8" l="1"/>
  <c r="L236" i="8" s="1"/>
  <c r="K372" i="8"/>
  <c r="L372" i="8" s="1"/>
  <c r="K210" i="6"/>
  <c r="L210" i="6" s="1"/>
  <c r="K209" i="6"/>
  <c r="L209" i="6" s="1"/>
  <c r="K215" i="7"/>
  <c r="L215" i="7" s="1"/>
  <c r="K207" i="6"/>
  <c r="L207" i="6" s="1"/>
  <c r="K208" i="6"/>
  <c r="L208" i="6" s="1"/>
  <c r="J70" i="3"/>
  <c r="L70" i="3" s="1"/>
  <c r="J66" i="3"/>
  <c r="L66" i="3" s="1"/>
  <c r="J20" i="3"/>
  <c r="L20" i="3" s="1"/>
  <c r="J39" i="3"/>
  <c r="L39" i="3" s="1"/>
  <c r="J15" i="3"/>
  <c r="L15" i="3" s="1"/>
  <c r="J22" i="3"/>
  <c r="L22" i="3" s="1"/>
  <c r="K28" i="3" s="1"/>
  <c r="L28" i="3" s="1"/>
  <c r="L80" i="3" l="1"/>
  <c r="L85" i="3"/>
  <c r="L91" i="3"/>
  <c r="L96" i="3"/>
  <c r="L101" i="3"/>
  <c r="L106" i="3"/>
  <c r="K136" i="6"/>
  <c r="L136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97" i="3"/>
  <c r="L92" i="3"/>
  <c r="K142" i="7"/>
  <c r="L142" i="7" s="1"/>
  <c r="L86" i="3"/>
  <c r="L82" i="3"/>
  <c r="L102" i="3"/>
  <c r="K143" i="7"/>
  <c r="L143" i="7" s="1"/>
  <c r="K232" i="8"/>
  <c r="L232" i="8" s="1"/>
  <c r="K97" i="8"/>
  <c r="L97" i="8" s="1"/>
  <c r="K96" i="8"/>
  <c r="L96" i="8" s="1"/>
  <c r="K369" i="8"/>
  <c r="L369" i="8" s="1"/>
  <c r="K233" i="8"/>
  <c r="L233" i="8" s="1"/>
  <c r="K368" i="8"/>
  <c r="L368" i="8" s="1"/>
  <c r="L81" i="3"/>
  <c r="L89" i="3"/>
  <c r="AC23" i="23" s="1"/>
  <c r="B696" i="22"/>
  <c r="B701" i="22"/>
  <c r="K155" i="3"/>
  <c r="L155" i="3" s="1"/>
  <c r="B699" i="22"/>
  <c r="B209" i="22"/>
  <c r="B695" i="22"/>
  <c r="B700" i="22"/>
  <c r="K156" i="3"/>
  <c r="L156" i="3" s="1"/>
  <c r="B702" i="22"/>
  <c r="B697" i="22"/>
  <c r="B208" i="22"/>
  <c r="B694" i="22"/>
  <c r="B698" i="22"/>
  <c r="B693" i="22"/>
  <c r="K36" i="3"/>
  <c r="L36" i="3" s="1"/>
  <c r="M445" i="18" s="1"/>
  <c r="M222" i="18"/>
  <c r="L652" i="18"/>
  <c r="N445" i="18"/>
  <c r="O220" i="18"/>
  <c r="P788" i="18"/>
  <c r="N222" i="18"/>
  <c r="B401" i="22"/>
  <c r="N447" i="18"/>
  <c r="O786" i="18"/>
  <c r="L788" i="18"/>
  <c r="L220" i="18"/>
  <c r="O922" i="18"/>
  <c r="N788" i="18"/>
  <c r="P924" i="18"/>
  <c r="L445" i="18"/>
  <c r="P222" i="18"/>
  <c r="L447" i="18"/>
  <c r="N652" i="18"/>
  <c r="P652" i="18"/>
  <c r="P447" i="18"/>
  <c r="M788" i="18"/>
  <c r="O445" i="18"/>
  <c r="O650" i="18"/>
  <c r="M650" i="18"/>
  <c r="N786" i="18"/>
  <c r="L922" i="18"/>
  <c r="O222" i="18"/>
  <c r="P650" i="18"/>
  <c r="B724" i="22"/>
  <c r="L222" i="18"/>
  <c r="B723" i="22"/>
  <c r="M447" i="18"/>
  <c r="O788" i="18"/>
  <c r="P220" i="18"/>
  <c r="L37" i="3"/>
  <c r="K33" i="3"/>
  <c r="L33" i="3" s="1"/>
  <c r="K30" i="3"/>
  <c r="L30" i="3" s="1"/>
  <c r="K32" i="3"/>
  <c r="L32" i="3" s="1"/>
  <c r="K27" i="3"/>
  <c r="L27" i="3" s="1"/>
  <c r="K34" i="3"/>
  <c r="L34" i="3" s="1"/>
  <c r="K29" i="3"/>
  <c r="L29" i="3" s="1"/>
  <c r="J44" i="3"/>
  <c r="K18" i="3" s="1"/>
  <c r="L18" i="3" s="1"/>
  <c r="B330" i="22"/>
  <c r="B331" i="22"/>
  <c r="B336" i="22"/>
  <c r="B333" i="22"/>
  <c r="B335" i="22"/>
  <c r="B337" i="22"/>
  <c r="B329" i="22"/>
  <c r="B334" i="22"/>
  <c r="B338" i="22"/>
  <c r="B328" i="22"/>
  <c r="B339" i="22"/>
  <c r="B332" i="22"/>
  <c r="I43" i="3"/>
  <c r="K21" i="3"/>
  <c r="L21" i="3" s="1"/>
  <c r="K23" i="3" s="1"/>
  <c r="L23" i="3" s="1"/>
  <c r="J43" i="3"/>
  <c r="J55" i="3"/>
  <c r="J62" i="3"/>
  <c r="J42" i="3"/>
  <c r="I52" i="3"/>
  <c r="I56" i="3"/>
  <c r="I48" i="3"/>
  <c r="I59" i="3"/>
  <c r="J51" i="3"/>
  <c r="I60" i="3"/>
  <c r="J56" i="3"/>
  <c r="I44" i="3"/>
  <c r="K17" i="3" s="1"/>
  <c r="L17" i="3" s="1"/>
  <c r="I49" i="3"/>
  <c r="I57" i="3"/>
  <c r="J50" i="3"/>
  <c r="J46" i="3"/>
  <c r="I42" i="3"/>
  <c r="K37" i="3"/>
  <c r="J54" i="3"/>
  <c r="J64" i="3"/>
  <c r="I55" i="3"/>
  <c r="I62" i="3"/>
  <c r="J58" i="3"/>
  <c r="J57" i="3"/>
  <c r="I58" i="3"/>
  <c r="J63" i="3"/>
  <c r="J48" i="3"/>
  <c r="I63" i="3"/>
  <c r="I46" i="3"/>
  <c r="J47" i="3"/>
  <c r="I54" i="3"/>
  <c r="J60" i="3"/>
  <c r="J49" i="3"/>
  <c r="J52" i="3"/>
  <c r="I47" i="3"/>
  <c r="J59" i="3"/>
  <c r="I51" i="3"/>
  <c r="I64" i="3"/>
  <c r="J53" i="3"/>
  <c r="I53" i="3"/>
  <c r="J61" i="3"/>
  <c r="I61" i="3"/>
  <c r="I50" i="3"/>
  <c r="K26" i="3"/>
  <c r="L26" i="3" s="1"/>
  <c r="K25" i="3"/>
  <c r="L25" i="3" s="1"/>
  <c r="K192" i="6"/>
  <c r="L192" i="6" s="1"/>
  <c r="K148" i="7"/>
  <c r="L148" i="7" s="1"/>
  <c r="B689" i="22"/>
  <c r="K31" i="3"/>
  <c r="L31" i="3" s="1"/>
  <c r="K191" i="6"/>
  <c r="L191" i="6" s="1"/>
  <c r="K142" i="6"/>
  <c r="L142" i="6" s="1"/>
  <c r="B691" i="22"/>
  <c r="K24" i="3"/>
  <c r="L24" i="3" s="1"/>
  <c r="K70" i="6" l="1"/>
  <c r="L70" i="6" s="1"/>
  <c r="K82" i="6"/>
  <c r="L82" i="6" s="1"/>
  <c r="K76" i="6"/>
  <c r="L76" i="6" s="1"/>
  <c r="K88" i="7"/>
  <c r="L88" i="7" s="1"/>
  <c r="K61" i="8"/>
  <c r="L61" i="8" s="1"/>
  <c r="K62" i="8"/>
  <c r="L62" i="8" s="1"/>
  <c r="K76" i="7"/>
  <c r="L76" i="7" s="1"/>
  <c r="K82" i="7"/>
  <c r="L82" i="7" s="1"/>
  <c r="K197" i="8"/>
  <c r="L197" i="8" s="1"/>
  <c r="K198" i="8"/>
  <c r="L198" i="8" s="1"/>
  <c r="K333" i="8"/>
  <c r="L333" i="8" s="1"/>
  <c r="K334" i="8"/>
  <c r="L334" i="8" s="1"/>
  <c r="B603" i="22"/>
  <c r="B605" i="22"/>
  <c r="B608" i="22"/>
  <c r="B610" i="22"/>
  <c r="B604" i="22"/>
  <c r="B606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K74" i="3"/>
  <c r="K75" i="3"/>
  <c r="K85" i="7"/>
  <c r="L85" i="7" s="1"/>
  <c r="K79" i="6"/>
  <c r="L79" i="6" s="1"/>
  <c r="K192" i="8"/>
  <c r="L192" i="8" s="1"/>
  <c r="K55" i="8"/>
  <c r="L55" i="8" s="1"/>
  <c r="K56" i="8"/>
  <c r="L56" i="8" s="1"/>
  <c r="K327" i="8"/>
  <c r="L327" i="8" s="1"/>
  <c r="K191" i="8"/>
  <c r="L191" i="8" s="1"/>
  <c r="K328" i="8"/>
  <c r="L328" i="8" s="1"/>
  <c r="B638" i="22"/>
  <c r="B637" i="22"/>
  <c r="B639" i="22"/>
  <c r="B636" i="22"/>
  <c r="B642" i="22"/>
  <c r="B640" i="22"/>
  <c r="B635" i="22"/>
  <c r="B641" i="22"/>
  <c r="L63" i="3"/>
  <c r="L61" i="3"/>
  <c r="K61" i="3"/>
  <c r="K51" i="3"/>
  <c r="L62" i="3"/>
  <c r="K52" i="3"/>
  <c r="K55" i="3"/>
  <c r="L46" i="3"/>
  <c r="L57" i="3"/>
  <c r="K57" i="3"/>
  <c r="K62" i="3"/>
  <c r="L54" i="3"/>
  <c r="K44" i="3"/>
  <c r="K19" i="3" s="1"/>
  <c r="L19" i="3" s="1"/>
  <c r="K42" i="3"/>
  <c r="L48" i="3"/>
  <c r="L60" i="3"/>
  <c r="K56" i="3"/>
  <c r="K50" i="3"/>
  <c r="L50" i="3"/>
  <c r="K48" i="3"/>
  <c r="L49" i="3"/>
  <c r="K49" i="3"/>
  <c r="L42" i="3"/>
  <c r="K64" i="3"/>
  <c r="L52" i="3"/>
  <c r="K54" i="3"/>
  <c r="K47" i="3"/>
  <c r="L53" i="3"/>
  <c r="K60" i="3"/>
  <c r="L55" i="3"/>
  <c r="L47" i="3"/>
  <c r="K63" i="3"/>
  <c r="K58" i="3"/>
  <c r="K59" i="3"/>
  <c r="K46" i="3"/>
  <c r="K53" i="3"/>
  <c r="L64" i="3"/>
  <c r="L51" i="3"/>
  <c r="L59" i="3"/>
  <c r="L58" i="3"/>
  <c r="L56" i="3"/>
  <c r="K43" i="3"/>
  <c r="M786" i="18"/>
  <c r="AS92" i="23"/>
  <c r="AF5" i="11"/>
  <c r="AC44" i="23"/>
  <c r="I31" i="16"/>
  <c r="G5" i="11"/>
  <c r="AC15" i="23"/>
  <c r="I10" i="16"/>
  <c r="O5" i="11"/>
  <c r="AC24" i="23"/>
  <c r="I17" i="16"/>
  <c r="AB5" i="11"/>
  <c r="AC39" i="23"/>
  <c r="I28" i="16"/>
  <c r="D5" i="11"/>
  <c r="AC12" i="23"/>
  <c r="I7" i="16"/>
  <c r="B627" i="22"/>
  <c r="K66" i="8"/>
  <c r="L66" i="8" s="1"/>
  <c r="K85" i="6"/>
  <c r="L85" i="6" s="1"/>
  <c r="K91" i="7"/>
  <c r="L91" i="7" s="1"/>
  <c r="B623" i="22"/>
  <c r="B622" i="22"/>
  <c r="AC13" i="23"/>
  <c r="I8" i="16"/>
  <c r="AE5" i="11"/>
  <c r="AC42" i="23"/>
  <c r="I29" i="16"/>
  <c r="S5" i="11"/>
  <c r="AC28" i="23"/>
  <c r="I19" i="16"/>
  <c r="Z5" i="11"/>
  <c r="AC36" i="23"/>
  <c r="I25" i="16"/>
  <c r="AG5" i="11"/>
  <c r="AC45" i="23"/>
  <c r="I32" i="16"/>
  <c r="J5" i="11"/>
  <c r="AC18" i="23"/>
  <c r="I11" i="16"/>
  <c r="V5" i="11"/>
  <c r="AC32" i="23"/>
  <c r="I23" i="16"/>
  <c r="B624" i="22"/>
  <c r="B626" i="22"/>
  <c r="K94" i="7"/>
  <c r="L94" i="7" s="1"/>
  <c r="K98" i="6"/>
  <c r="L98" i="6" s="1"/>
  <c r="K104" i="7"/>
  <c r="L104" i="7" s="1"/>
  <c r="B618" i="22"/>
  <c r="B617" i="22"/>
  <c r="B619" i="22"/>
  <c r="K93" i="6"/>
  <c r="L93" i="6" s="1"/>
  <c r="K99" i="7"/>
  <c r="L99" i="7" s="1"/>
  <c r="K71" i="8"/>
  <c r="L71" i="8" s="1"/>
  <c r="K343" i="8"/>
  <c r="L343" i="8" s="1"/>
  <c r="K207" i="8"/>
  <c r="L207" i="8" s="1"/>
  <c r="B621" i="22"/>
  <c r="B616" i="22"/>
  <c r="B630" i="22"/>
  <c r="B629" i="22"/>
  <c r="B615" i="22"/>
  <c r="O447" i="18"/>
  <c r="O924" i="18"/>
  <c r="N924" i="18"/>
  <c r="P786" i="18"/>
  <c r="M922" i="18"/>
  <c r="M220" i="18"/>
  <c r="N650" i="18"/>
  <c r="L924" i="18"/>
  <c r="F5" i="11"/>
  <c r="AC14" i="23"/>
  <c r="I9" i="16"/>
  <c r="W5" i="11"/>
  <c r="AC33" i="23"/>
  <c r="I24" i="16"/>
  <c r="T5" i="11"/>
  <c r="AC29" i="23"/>
  <c r="I20" i="16"/>
  <c r="AA5" i="11"/>
  <c r="AC38" i="23"/>
  <c r="I27" i="16"/>
  <c r="P5" i="11"/>
  <c r="AC25" i="23"/>
  <c r="I18" i="16"/>
  <c r="B625" i="22"/>
  <c r="K338" i="8"/>
  <c r="L338" i="8" s="1"/>
  <c r="K88" i="6"/>
  <c r="L88" i="6" s="1"/>
  <c r="K109" i="7"/>
  <c r="L109" i="7" s="1"/>
  <c r="K103" i="6"/>
  <c r="L103" i="6" s="1"/>
  <c r="B620" i="22"/>
  <c r="B725" i="22"/>
  <c r="B721" i="22"/>
  <c r="B722" i="22"/>
  <c r="O652" i="18"/>
  <c r="L786" i="18"/>
  <c r="P445" i="18"/>
  <c r="M652" i="18"/>
  <c r="M924" i="18"/>
  <c r="N922" i="18"/>
  <c r="L650" i="18"/>
  <c r="N220" i="18"/>
  <c r="P922" i="18"/>
  <c r="L5" i="11"/>
  <c r="AC20" i="23"/>
  <c r="I13" i="16"/>
  <c r="M5" i="11"/>
  <c r="AC22" i="23"/>
  <c r="I16" i="16"/>
  <c r="I15" i="16"/>
  <c r="U5" i="11"/>
  <c r="AC30" i="23"/>
  <c r="I21" i="16"/>
  <c r="AJ5" i="11"/>
  <c r="AC48" i="23"/>
  <c r="I33" i="16"/>
  <c r="K5" i="11"/>
  <c r="AC19" i="23"/>
  <c r="I12" i="16"/>
  <c r="B628" i="22"/>
  <c r="K202" i="8"/>
  <c r="L202" i="8" s="1"/>
  <c r="BJ99" i="23" l="1"/>
  <c r="AS75" i="23"/>
  <c r="L91" i="11"/>
  <c r="O15" i="20"/>
  <c r="AA91" i="11"/>
  <c r="AD15" i="20"/>
  <c r="AS29" i="23"/>
  <c r="BJ36" i="23"/>
  <c r="AG91" i="11"/>
  <c r="AJ15" i="20"/>
  <c r="BD161" i="23"/>
  <c r="K90" i="7"/>
  <c r="L90" i="7" s="1"/>
  <c r="B652" i="22"/>
  <c r="AZ149" i="23"/>
  <c r="O91" i="11"/>
  <c r="R15" i="20"/>
  <c r="K325" i="8"/>
  <c r="L325" i="8" s="1"/>
  <c r="L929" i="18"/>
  <c r="P929" i="18"/>
  <c r="B366" i="22"/>
  <c r="N929" i="18"/>
  <c r="M929" i="18"/>
  <c r="O929" i="18"/>
  <c r="K78" i="6"/>
  <c r="L78" i="6" s="1"/>
  <c r="N238" i="18"/>
  <c r="L238" i="18"/>
  <c r="M238" i="18"/>
  <c r="O238" i="18"/>
  <c r="B365" i="22"/>
  <c r="B760" i="22"/>
  <c r="P238" i="18"/>
  <c r="K78" i="7"/>
  <c r="L78" i="7" s="1"/>
  <c r="O457" i="18"/>
  <c r="L457" i="18"/>
  <c r="M457" i="18"/>
  <c r="B360" i="22"/>
  <c r="P457" i="18"/>
  <c r="B757" i="22"/>
  <c r="N457" i="18"/>
  <c r="K91" i="11"/>
  <c r="N15" i="20"/>
  <c r="U91" i="11"/>
  <c r="X15" i="20"/>
  <c r="M91" i="11"/>
  <c r="P15" i="20"/>
  <c r="AT149" i="23"/>
  <c r="F91" i="11"/>
  <c r="I15" i="20"/>
  <c r="K93" i="7"/>
  <c r="L93" i="7" s="1"/>
  <c r="B654" i="22"/>
  <c r="AT138" i="23"/>
  <c r="J91" i="11"/>
  <c r="M15" i="20"/>
  <c r="BJ100" i="23"/>
  <c r="AE91" i="11"/>
  <c r="AH15" i="20"/>
  <c r="AS28" i="23"/>
  <c r="K84" i="6"/>
  <c r="L84" i="6" s="1"/>
  <c r="B653" i="22"/>
  <c r="AC49" i="23"/>
  <c r="AS11" i="23"/>
  <c r="AB91" i="11"/>
  <c r="AE15" i="20"/>
  <c r="BF138" i="23"/>
  <c r="K63" i="6"/>
  <c r="L63" i="6" s="1"/>
  <c r="K69" i="7"/>
  <c r="L69" i="7" s="1"/>
  <c r="K321" i="8"/>
  <c r="L321" i="8" s="1"/>
  <c r="K49" i="8"/>
  <c r="L49" i="8" s="1"/>
  <c r="K185" i="8"/>
  <c r="L185" i="8" s="1"/>
  <c r="B547" i="22"/>
  <c r="B549" i="22"/>
  <c r="B548" i="22"/>
  <c r="B546" i="22"/>
  <c r="B545" i="22"/>
  <c r="K324" i="8"/>
  <c r="L324" i="8" s="1"/>
  <c r="K65" i="6"/>
  <c r="L65" i="6" s="1"/>
  <c r="K52" i="8"/>
  <c r="L52" i="8" s="1"/>
  <c r="K71" i="7"/>
  <c r="L71" i="7" s="1"/>
  <c r="K188" i="8"/>
  <c r="L188" i="8" s="1"/>
  <c r="B539" i="22"/>
  <c r="B535" i="22"/>
  <c r="B537" i="22"/>
  <c r="B536" i="22"/>
  <c r="B538" i="22"/>
  <c r="K54" i="8"/>
  <c r="L54" i="8" s="1"/>
  <c r="B762" i="22" s="1"/>
  <c r="P658" i="18"/>
  <c r="N658" i="18"/>
  <c r="B368" i="22"/>
  <c r="L658" i="18"/>
  <c r="M658" i="18"/>
  <c r="O658" i="18"/>
  <c r="K84" i="7"/>
  <c r="L84" i="7" s="1"/>
  <c r="B759" i="22" s="1"/>
  <c r="N463" i="18"/>
  <c r="M463" i="18"/>
  <c r="B363" i="22"/>
  <c r="O463" i="18"/>
  <c r="P463" i="18"/>
  <c r="L463" i="18"/>
  <c r="K72" i="7"/>
  <c r="L72" i="7" s="1"/>
  <c r="B358" i="22"/>
  <c r="N451" i="18"/>
  <c r="L451" i="18"/>
  <c r="P451" i="18"/>
  <c r="O451" i="18"/>
  <c r="M451" i="18"/>
  <c r="K201" i="8"/>
  <c r="L201" i="8" s="1"/>
  <c r="B649" i="22"/>
  <c r="BJ161" i="23"/>
  <c r="BJ35" i="23"/>
  <c r="AJ91" i="11"/>
  <c r="AM15" i="20"/>
  <c r="K87" i="6"/>
  <c r="L87" i="6" s="1"/>
  <c r="B655" i="22"/>
  <c r="AS94" i="23"/>
  <c r="BJ98" i="23"/>
  <c r="W91" i="11"/>
  <c r="Z15" i="20"/>
  <c r="V91" i="11"/>
  <c r="Y15" i="20"/>
  <c r="AX161" i="23"/>
  <c r="S91" i="11"/>
  <c r="V15" i="20"/>
  <c r="K65" i="8"/>
  <c r="L65" i="8" s="1"/>
  <c r="B650" i="22"/>
  <c r="D91" i="11"/>
  <c r="G15" i="20"/>
  <c r="AS30" i="23"/>
  <c r="AF91" i="11"/>
  <c r="AI15" i="20"/>
  <c r="K326" i="8"/>
  <c r="L326" i="8" s="1"/>
  <c r="O930" i="18"/>
  <c r="M930" i="18"/>
  <c r="L930" i="18"/>
  <c r="N930" i="18"/>
  <c r="B369" i="22"/>
  <c r="B763" i="22"/>
  <c r="P930" i="18"/>
  <c r="K53" i="8"/>
  <c r="L53" i="8" s="1"/>
  <c r="P657" i="18"/>
  <c r="N657" i="18"/>
  <c r="O657" i="18"/>
  <c r="M657" i="18"/>
  <c r="B364" i="22"/>
  <c r="L657" i="18"/>
  <c r="K72" i="6"/>
  <c r="L72" i="6" s="1"/>
  <c r="N232" i="18"/>
  <c r="P232" i="18"/>
  <c r="O232" i="18"/>
  <c r="L232" i="18"/>
  <c r="M232" i="18"/>
  <c r="B758" i="22"/>
  <c r="B361" i="22"/>
  <c r="BJ34" i="23"/>
  <c r="K337" i="8"/>
  <c r="L337" i="8" s="1"/>
  <c r="B651" i="22"/>
  <c r="P91" i="11"/>
  <c r="S15" i="20"/>
  <c r="AZ138" i="23"/>
  <c r="T91" i="11"/>
  <c r="W15" i="20"/>
  <c r="BF149" i="23"/>
  <c r="Z91" i="11"/>
  <c r="AC15" i="20"/>
  <c r="AS93" i="23"/>
  <c r="G91" i="11"/>
  <c r="J15" i="20"/>
  <c r="K189" i="8"/>
  <c r="L189" i="8" s="1"/>
  <c r="M793" i="18"/>
  <c r="P793" i="18"/>
  <c r="O793" i="18"/>
  <c r="N793" i="18"/>
  <c r="L793" i="18"/>
  <c r="B362" i="22"/>
  <c r="K190" i="8"/>
  <c r="L190" i="8" s="1"/>
  <c r="M794" i="18"/>
  <c r="N794" i="18"/>
  <c r="P794" i="18"/>
  <c r="B761" i="22"/>
  <c r="O794" i="18"/>
  <c r="L794" i="18"/>
  <c r="B367" i="22"/>
  <c r="K66" i="6"/>
  <c r="L66" i="6" s="1"/>
  <c r="M226" i="18"/>
  <c r="P226" i="18"/>
  <c r="N226" i="18"/>
  <c r="B359" i="22"/>
  <c r="O226" i="18"/>
  <c r="L226" i="18"/>
  <c r="C91" i="11" l="1"/>
  <c r="K165" i="6"/>
  <c r="L165" i="6" s="1"/>
  <c r="K150" i="6" s="1"/>
  <c r="L150" i="6" s="1"/>
  <c r="B204" i="22"/>
  <c r="K248" i="8"/>
  <c r="L248" i="8" s="1"/>
  <c r="K240" i="8" s="1"/>
  <c r="L240" i="8" s="1"/>
  <c r="B205" i="22"/>
  <c r="K51" i="8"/>
  <c r="L51" i="8" s="1"/>
  <c r="K68" i="8"/>
  <c r="L68" i="8" s="1"/>
  <c r="K70" i="8"/>
  <c r="L70" i="8" s="1"/>
  <c r="K69" i="8"/>
  <c r="L69" i="8" s="1"/>
  <c r="B657" i="22"/>
  <c r="B826" i="22"/>
  <c r="B542" i="22"/>
  <c r="B347" i="22"/>
  <c r="B356" i="22"/>
  <c r="K95" i="8"/>
  <c r="L95" i="8" s="1"/>
  <c r="K79" i="8" s="1"/>
  <c r="L79" i="8" s="1"/>
  <c r="K94" i="8"/>
  <c r="L94" i="8" s="1"/>
  <c r="K78" i="8" s="1"/>
  <c r="L78" i="8" s="1"/>
  <c r="B834" i="22"/>
  <c r="K163" i="6"/>
  <c r="L163" i="6" s="1"/>
  <c r="K149" i="6" s="1"/>
  <c r="L149" i="6" s="1"/>
  <c r="B202" i="22"/>
  <c r="K171" i="7"/>
  <c r="L171" i="7" s="1"/>
  <c r="K156" i="7" s="1"/>
  <c r="L156" i="7" s="1"/>
  <c r="B203" i="22"/>
  <c r="B498" i="22"/>
  <c r="B575" i="22"/>
  <c r="K268" i="8"/>
  <c r="L268" i="8" s="1"/>
  <c r="K384" i="8"/>
  <c r="L384" i="8" s="1"/>
  <c r="K376" i="8" s="1"/>
  <c r="L376" i="8" s="1"/>
  <c r="B207" i="22"/>
  <c r="K323" i="8"/>
  <c r="L323" i="8" s="1"/>
  <c r="K340" i="8"/>
  <c r="L340" i="8" s="1"/>
  <c r="K341" i="8"/>
  <c r="L341" i="8" s="1"/>
  <c r="K342" i="8"/>
  <c r="L342" i="8" s="1"/>
  <c r="B658" i="22"/>
  <c r="B348" i="22"/>
  <c r="B357" i="22"/>
  <c r="B544" i="22"/>
  <c r="B827" i="22"/>
  <c r="K366" i="8"/>
  <c r="L366" i="8" s="1"/>
  <c r="K350" i="8" s="1"/>
  <c r="L350" i="8" s="1"/>
  <c r="B836" i="22"/>
  <c r="K383" i="8"/>
  <c r="L383" i="8" s="1"/>
  <c r="B579" i="22"/>
  <c r="B517" i="22"/>
  <c r="K404" i="8"/>
  <c r="L404" i="8" s="1"/>
  <c r="B483" i="22"/>
  <c r="K200" i="6"/>
  <c r="L200" i="6" s="1"/>
  <c r="B572" i="22"/>
  <c r="K247" i="8"/>
  <c r="L247" i="8" s="1"/>
  <c r="K241" i="8"/>
  <c r="L241" i="8" s="1"/>
  <c r="K239" i="8" s="1"/>
  <c r="L239" i="8" s="1"/>
  <c r="B6" i="22"/>
  <c r="B521" i="22"/>
  <c r="K269" i="8"/>
  <c r="L269" i="8" s="1"/>
  <c r="B580" i="22"/>
  <c r="K111" i="8"/>
  <c r="L111" i="8" s="1"/>
  <c r="B507" i="22"/>
  <c r="B577" i="22"/>
  <c r="K132" i="8"/>
  <c r="L132" i="8" s="1"/>
  <c r="K377" i="8"/>
  <c r="L377" i="8" s="1"/>
  <c r="B8" i="22"/>
  <c r="K405" i="8"/>
  <c r="L405" i="8" s="1"/>
  <c r="B582" i="22"/>
  <c r="B530" i="22"/>
  <c r="K112" i="8"/>
  <c r="L112" i="8" s="1"/>
  <c r="K104" i="8" s="1"/>
  <c r="L104" i="8" s="1"/>
  <c r="B206" i="22"/>
  <c r="K68" i="7"/>
  <c r="L68" i="7" s="1"/>
  <c r="K101" i="7"/>
  <c r="L101" i="7" s="1"/>
  <c r="K96" i="7"/>
  <c r="L96" i="7" s="1"/>
  <c r="K70" i="7"/>
  <c r="L70" i="7" s="1"/>
  <c r="K106" i="7"/>
  <c r="L106" i="7" s="1"/>
  <c r="K98" i="7"/>
  <c r="L98" i="7" s="1"/>
  <c r="K102" i="7"/>
  <c r="L102" i="7" s="1"/>
  <c r="K103" i="7"/>
  <c r="L103" i="7" s="1"/>
  <c r="K108" i="7"/>
  <c r="L108" i="7" s="1"/>
  <c r="K97" i="7"/>
  <c r="L97" i="7" s="1"/>
  <c r="K107" i="7"/>
  <c r="L107" i="7" s="1"/>
  <c r="B340" i="22"/>
  <c r="B645" i="22"/>
  <c r="B344" i="22"/>
  <c r="B342" i="22"/>
  <c r="B643" i="22"/>
  <c r="B349" i="22"/>
  <c r="B541" i="22"/>
  <c r="B647" i="22"/>
  <c r="B353" i="22"/>
  <c r="B351" i="22"/>
  <c r="K140" i="7"/>
  <c r="L140" i="7" s="1"/>
  <c r="K121" i="7" s="1"/>
  <c r="L121" i="7" s="1"/>
  <c r="B828" i="22"/>
  <c r="K144" i="7"/>
  <c r="L144" i="7" s="1"/>
  <c r="K123" i="7" s="1"/>
  <c r="L123" i="7" s="1"/>
  <c r="K141" i="7"/>
  <c r="L141" i="7" s="1"/>
  <c r="K122" i="7" s="1"/>
  <c r="L122" i="7" s="1"/>
  <c r="B833" i="22"/>
  <c r="K145" i="7"/>
  <c r="L145" i="7" s="1"/>
  <c r="K124" i="7" s="1"/>
  <c r="L124" i="7" s="1"/>
  <c r="B819" i="22"/>
  <c r="K139" i="7"/>
  <c r="L139" i="7" s="1"/>
  <c r="K120" i="7" s="1"/>
  <c r="L120" i="7" s="1"/>
  <c r="B830" i="22"/>
  <c r="K146" i="7"/>
  <c r="L146" i="7" s="1"/>
  <c r="K125" i="7" s="1"/>
  <c r="L125" i="7" s="1"/>
  <c r="B821" i="22"/>
  <c r="K168" i="7"/>
  <c r="L168" i="7" s="1"/>
  <c r="K157" i="7"/>
  <c r="L157" i="7" s="1"/>
  <c r="B2" i="22"/>
  <c r="K207" i="7"/>
  <c r="L207" i="7" s="1"/>
  <c r="B573" i="22"/>
  <c r="B487" i="22"/>
  <c r="K153" i="6"/>
  <c r="L153" i="6" s="1"/>
  <c r="K148" i="6" s="1"/>
  <c r="L148" i="6" s="1"/>
  <c r="K164" i="6"/>
  <c r="L164" i="6" s="1"/>
  <c r="B5" i="22"/>
  <c r="B578" i="22"/>
  <c r="K202" i="6"/>
  <c r="L202" i="6" s="1"/>
  <c r="B513" i="22"/>
  <c r="K151" i="6"/>
  <c r="L151" i="6" s="1"/>
  <c r="K147" i="6" s="1"/>
  <c r="L147" i="6" s="1"/>
  <c r="K162" i="6"/>
  <c r="L162" i="6" s="1"/>
  <c r="B3" i="22"/>
  <c r="B493" i="22"/>
  <c r="B574" i="22"/>
  <c r="K201" i="6"/>
  <c r="L201" i="6" s="1"/>
  <c r="K206" i="7"/>
  <c r="L206" i="7" s="1"/>
  <c r="B571" i="22"/>
  <c r="B479" i="22"/>
  <c r="K159" i="7"/>
  <c r="L159" i="7" s="1"/>
  <c r="K170" i="7"/>
  <c r="L170" i="7" s="1"/>
  <c r="B4" i="22"/>
  <c r="K208" i="7"/>
  <c r="L208" i="7" s="1"/>
  <c r="B576" i="22"/>
  <c r="B502" i="22"/>
  <c r="K105" i="8"/>
  <c r="L105" i="8" s="1"/>
  <c r="K103" i="8" s="1"/>
  <c r="L103" i="8" s="1"/>
  <c r="B7" i="22"/>
  <c r="B581" i="22"/>
  <c r="B525" i="22"/>
  <c r="K133" i="8"/>
  <c r="L133" i="8" s="1"/>
  <c r="K48" i="8"/>
  <c r="L48" i="8" s="1"/>
  <c r="K204" i="8"/>
  <c r="L204" i="8" s="1"/>
  <c r="K187" i="8"/>
  <c r="L187" i="8" s="1"/>
  <c r="K206" i="8"/>
  <c r="L206" i="8" s="1"/>
  <c r="K205" i="8"/>
  <c r="L205" i="8" s="1"/>
  <c r="B656" i="22"/>
  <c r="B540" i="22"/>
  <c r="B355" i="22"/>
  <c r="B346" i="22"/>
  <c r="K231" i="8"/>
  <c r="L231" i="8" s="1"/>
  <c r="K215" i="8" s="1"/>
  <c r="L215" i="8" s="1"/>
  <c r="B825" i="22"/>
  <c r="K230" i="8"/>
  <c r="L230" i="8" s="1"/>
  <c r="K214" i="8" s="1"/>
  <c r="L214" i="8" s="1"/>
  <c r="B832" i="22"/>
  <c r="K64" i="6"/>
  <c r="L64" i="6" s="1"/>
  <c r="K62" i="6" s="1"/>
  <c r="L62" i="6" s="1"/>
  <c r="K95" i="6"/>
  <c r="L95" i="6" s="1"/>
  <c r="K90" i="6"/>
  <c r="L90" i="6" s="1"/>
  <c r="K100" i="6"/>
  <c r="L100" i="6" s="1"/>
  <c r="K101" i="6"/>
  <c r="L101" i="6" s="1"/>
  <c r="K97" i="6"/>
  <c r="L97" i="6" s="1"/>
  <c r="K96" i="6"/>
  <c r="L96" i="6" s="1"/>
  <c r="K91" i="6"/>
  <c r="L91" i="6" s="1"/>
  <c r="K102" i="6"/>
  <c r="L102" i="6" s="1"/>
  <c r="K92" i="6"/>
  <c r="L92" i="6" s="1"/>
  <c r="B345" i="22"/>
  <c r="B543" i="22"/>
  <c r="B350" i="22"/>
  <c r="B341" i="22"/>
  <c r="B644" i="22"/>
  <c r="B648" i="22"/>
  <c r="B354" i="22"/>
  <c r="B343" i="22"/>
  <c r="B352" i="22"/>
  <c r="B646" i="22"/>
  <c r="K134" i="6"/>
  <c r="L134" i="6" s="1"/>
  <c r="K115" i="6" s="1"/>
  <c r="L115" i="6" s="1"/>
  <c r="K140" i="6"/>
  <c r="L140" i="6" s="1"/>
  <c r="K119" i="6" s="1"/>
  <c r="L119" i="6" s="1"/>
  <c r="B831" i="22"/>
  <c r="K139" i="6"/>
  <c r="L139" i="6" s="1"/>
  <c r="K118" i="6" s="1"/>
  <c r="L118" i="6" s="1"/>
  <c r="K133" i="6"/>
  <c r="L133" i="6" s="1"/>
  <c r="K114" i="6" s="1"/>
  <c r="L114" i="6" s="1"/>
  <c r="B835" i="22"/>
  <c r="B820" i="22"/>
  <c r="K135" i="6"/>
  <c r="L135" i="6" s="1"/>
  <c r="K116" i="6" s="1"/>
  <c r="L116" i="6" s="1"/>
  <c r="B829" i="22"/>
  <c r="K169" i="7"/>
  <c r="L169" i="7" s="1"/>
  <c r="K155" i="7" s="1"/>
  <c r="L155" i="7" s="1"/>
  <c r="B201" i="22"/>
  <c r="K127" i="6" l="1"/>
  <c r="L127" i="6" s="1"/>
  <c r="N286" i="18"/>
  <c r="O286" i="18"/>
  <c r="L286" i="18"/>
  <c r="P286" i="18"/>
  <c r="M286" i="18"/>
  <c r="E9" i="11"/>
  <c r="K87" i="8"/>
  <c r="L87" i="8" s="1"/>
  <c r="L690" i="18"/>
  <c r="O690" i="18"/>
  <c r="P690" i="18"/>
  <c r="N690" i="18"/>
  <c r="M690" i="18"/>
  <c r="F13" i="11"/>
  <c r="G14" i="11"/>
  <c r="P18" i="11"/>
  <c r="K180" i="7"/>
  <c r="L180" i="7" s="1"/>
  <c r="U19" i="11" s="1"/>
  <c r="K177" i="7"/>
  <c r="L177" i="7" s="1"/>
  <c r="K201" i="7"/>
  <c r="L201" i="7" s="1"/>
  <c r="B752" i="22"/>
  <c r="B450" i="22"/>
  <c r="B452" i="22"/>
  <c r="B678" i="22"/>
  <c r="K133" i="7"/>
  <c r="L133" i="7" s="1"/>
  <c r="L511" i="18"/>
  <c r="N511" i="18"/>
  <c r="O511" i="18"/>
  <c r="P511" i="18"/>
  <c r="M511" i="18"/>
  <c r="Y29" i="11"/>
  <c r="K124" i="8"/>
  <c r="L124" i="8" s="1"/>
  <c r="AC35" i="11"/>
  <c r="K396" i="8"/>
  <c r="L396" i="8" s="1"/>
  <c r="K388" i="8"/>
  <c r="L388" i="8" s="1"/>
  <c r="B756" i="22"/>
  <c r="B478" i="22"/>
  <c r="B682" i="22"/>
  <c r="B476" i="22"/>
  <c r="K399" i="8"/>
  <c r="L399" i="8" s="1"/>
  <c r="Z27" i="11"/>
  <c r="K116" i="8"/>
  <c r="L116" i="8" s="1"/>
  <c r="B475" i="22"/>
  <c r="B681" i="22"/>
  <c r="B755" i="22"/>
  <c r="B473" i="22"/>
  <c r="K127" i="8"/>
  <c r="L127" i="8" s="1"/>
  <c r="AD34" i="11"/>
  <c r="K9" i="11"/>
  <c r="K169" i="6"/>
  <c r="L169" i="6" s="1"/>
  <c r="K172" i="6"/>
  <c r="L172" i="6" s="1"/>
  <c r="J10" i="11" s="1"/>
  <c r="B675" i="22"/>
  <c r="B441" i="22"/>
  <c r="B749" i="22"/>
  <c r="B443" i="22"/>
  <c r="K193" i="6"/>
  <c r="L193" i="6" s="1"/>
  <c r="AB32" i="11"/>
  <c r="K125" i="8"/>
  <c r="L125" i="8" s="1"/>
  <c r="K189" i="6"/>
  <c r="L189" i="6" s="1"/>
  <c r="U18" i="11"/>
  <c r="T18" i="11"/>
  <c r="S18" i="11"/>
  <c r="K66" i="7"/>
  <c r="L66" i="7" s="1"/>
  <c r="K67" i="7"/>
  <c r="L67" i="7" s="1"/>
  <c r="B314" i="22"/>
  <c r="B319" i="22"/>
  <c r="K367" i="8"/>
  <c r="L367" i="8" s="1"/>
  <c r="K351" i="8" s="1"/>
  <c r="L351" i="8" s="1"/>
  <c r="K319" i="8"/>
  <c r="L319" i="8" s="1"/>
  <c r="K318" i="8"/>
  <c r="L318" i="8" s="1"/>
  <c r="B322" i="22"/>
  <c r="B317" i="22"/>
  <c r="AI39" i="11"/>
  <c r="R21" i="11"/>
  <c r="H11" i="11"/>
  <c r="K46" i="8"/>
  <c r="L46" i="8" s="1"/>
  <c r="K47" i="8"/>
  <c r="L47" i="8" s="1"/>
  <c r="B320" i="22"/>
  <c r="B315" i="22"/>
  <c r="L9" i="11"/>
  <c r="G9" i="11"/>
  <c r="K173" i="6"/>
  <c r="L173" i="6" s="1"/>
  <c r="K10" i="11" s="1"/>
  <c r="K170" i="6"/>
  <c r="L170" i="6" s="1"/>
  <c r="B449" i="22"/>
  <c r="B447" i="22"/>
  <c r="B677" i="22"/>
  <c r="B751" i="22"/>
  <c r="K194" i="6"/>
  <c r="L194" i="6" s="1"/>
  <c r="K182" i="8"/>
  <c r="L182" i="8" s="1"/>
  <c r="K183" i="8"/>
  <c r="L183" i="8" s="1"/>
  <c r="B313" i="22"/>
  <c r="B318" i="22"/>
  <c r="K196" i="7"/>
  <c r="L196" i="7" s="1"/>
  <c r="K194" i="7"/>
  <c r="L194" i="7" s="1"/>
  <c r="K190" i="6"/>
  <c r="L190" i="6" s="1"/>
  <c r="K175" i="7"/>
  <c r="L175" i="7" s="1"/>
  <c r="K178" i="7"/>
  <c r="L178" i="7" s="1"/>
  <c r="S19" i="11" s="1"/>
  <c r="B748" i="22"/>
  <c r="B674" i="22"/>
  <c r="B438" i="22"/>
  <c r="B440" i="22"/>
  <c r="K199" i="7"/>
  <c r="L199" i="7" s="1"/>
  <c r="K320" i="8"/>
  <c r="L320" i="8" s="1"/>
  <c r="K260" i="8"/>
  <c r="L260" i="8" s="1"/>
  <c r="I12" i="11"/>
  <c r="K171" i="6"/>
  <c r="L171" i="6" s="1"/>
  <c r="K174" i="6"/>
  <c r="L174" i="6" s="1"/>
  <c r="L10" i="11" s="1"/>
  <c r="B753" i="22"/>
  <c r="B455" i="22"/>
  <c r="B453" i="22"/>
  <c r="B679" i="22"/>
  <c r="K195" i="6"/>
  <c r="L195" i="6" s="1"/>
  <c r="Q20" i="11"/>
  <c r="F9" i="11"/>
  <c r="B824" i="22"/>
  <c r="B822" i="22"/>
  <c r="K138" i="6"/>
  <c r="L138" i="6" s="1"/>
  <c r="K117" i="6" s="1"/>
  <c r="L117" i="6" s="1"/>
  <c r="K60" i="6"/>
  <c r="L60" i="6" s="1"/>
  <c r="K61" i="6"/>
  <c r="L61" i="6" s="1"/>
  <c r="B321" i="22"/>
  <c r="B316" i="22"/>
  <c r="AE32" i="11"/>
  <c r="K252" i="8"/>
  <c r="L252" i="8" s="1"/>
  <c r="B680" i="22"/>
  <c r="B456" i="22"/>
  <c r="B754" i="22"/>
  <c r="B458" i="22"/>
  <c r="K263" i="8"/>
  <c r="L263" i="8" s="1"/>
  <c r="X30" i="11"/>
  <c r="K154" i="7"/>
  <c r="L154" i="7" s="1"/>
  <c r="K195" i="7"/>
  <c r="L195" i="7" s="1"/>
  <c r="K153" i="7"/>
  <c r="L153" i="7" s="1"/>
  <c r="N18" i="11"/>
  <c r="B823" i="22"/>
  <c r="O18" i="11"/>
  <c r="K179" i="7"/>
  <c r="L179" i="7" s="1"/>
  <c r="T19" i="11" s="1"/>
  <c r="K176" i="7"/>
  <c r="L176" i="7" s="1"/>
  <c r="B676" i="22"/>
  <c r="B750" i="22"/>
  <c r="B444" i="22"/>
  <c r="B446" i="22"/>
  <c r="K200" i="7"/>
  <c r="L200" i="7" s="1"/>
  <c r="K397" i="8"/>
  <c r="L397" i="8" s="1"/>
  <c r="K375" i="8"/>
  <c r="L375" i="8" s="1"/>
  <c r="K261" i="8"/>
  <c r="L261" i="8" s="1"/>
  <c r="K188" i="6"/>
  <c r="L188" i="6" s="1"/>
  <c r="AG37" i="11"/>
  <c r="K184" i="8"/>
  <c r="L184" i="8" s="1"/>
  <c r="W27" i="11"/>
  <c r="K197" i="6" l="1"/>
  <c r="L197" i="6" s="1"/>
  <c r="K131" i="6"/>
  <c r="L131" i="6" s="1"/>
  <c r="K132" i="6"/>
  <c r="L132" i="6" s="1"/>
  <c r="K128" i="6"/>
  <c r="L128" i="6" s="1"/>
  <c r="M287" i="18"/>
  <c r="B553" i="22"/>
  <c r="N287" i="18"/>
  <c r="B383" i="22"/>
  <c r="B382" i="22"/>
  <c r="B380" i="22"/>
  <c r="B381" i="22"/>
  <c r="O287" i="18"/>
  <c r="M288" i="18"/>
  <c r="N288" i="18"/>
  <c r="P288" i="18"/>
  <c r="B385" i="22"/>
  <c r="L287" i="18"/>
  <c r="B426" i="22"/>
  <c r="L288" i="18"/>
  <c r="O288" i="18"/>
  <c r="B391" i="22"/>
  <c r="B384" i="22"/>
  <c r="P287" i="18"/>
  <c r="Q22" i="11"/>
  <c r="L11" i="11"/>
  <c r="I14" i="11"/>
  <c r="K222" i="8"/>
  <c r="L222" i="8" s="1"/>
  <c r="B323" i="22"/>
  <c r="B210" i="22"/>
  <c r="B14" i="22"/>
  <c r="K11" i="11"/>
  <c r="K86" i="8"/>
  <c r="L86" i="8" s="1"/>
  <c r="B16" i="22"/>
  <c r="B325" i="22"/>
  <c r="B212" i="22"/>
  <c r="H13" i="11"/>
  <c r="AJ37" i="11"/>
  <c r="K203" i="7"/>
  <c r="L203" i="7" s="1"/>
  <c r="K137" i="7"/>
  <c r="L137" i="7" s="1"/>
  <c r="K138" i="7"/>
  <c r="L138" i="7" s="1"/>
  <c r="K134" i="7"/>
  <c r="L134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F11" i="11"/>
  <c r="AJ38" i="11"/>
  <c r="U20" i="11"/>
  <c r="K223" i="8"/>
  <c r="L223" i="8" s="1"/>
  <c r="P826" i="18"/>
  <c r="M826" i="18"/>
  <c r="O826" i="18"/>
  <c r="L826" i="18"/>
  <c r="N826" i="18"/>
  <c r="T20" i="11"/>
  <c r="AE33" i="11"/>
  <c r="J9" i="11"/>
  <c r="L17" i="11"/>
  <c r="G12" i="11"/>
  <c r="K228" i="8"/>
  <c r="L228" i="8" s="1"/>
  <c r="K265" i="8"/>
  <c r="L265" i="8" s="1"/>
  <c r="K229" i="8"/>
  <c r="L229" i="8" s="1"/>
  <c r="K224" i="8"/>
  <c r="L224" i="8" s="1"/>
  <c r="O828" i="18"/>
  <c r="O827" i="18"/>
  <c r="M827" i="18"/>
  <c r="L828" i="18"/>
  <c r="M828" i="18"/>
  <c r="P827" i="18"/>
  <c r="B370" i="22"/>
  <c r="B407" i="22"/>
  <c r="N828" i="18"/>
  <c r="N827" i="18"/>
  <c r="B388" i="22"/>
  <c r="L827" i="18"/>
  <c r="B550" i="22"/>
  <c r="B371" i="22"/>
  <c r="P828" i="18"/>
  <c r="K93" i="8"/>
  <c r="L93" i="8" s="1"/>
  <c r="K83" i="8" s="1"/>
  <c r="L83" i="8" s="1"/>
  <c r="K88" i="8"/>
  <c r="L88" i="8" s="1"/>
  <c r="K129" i="8"/>
  <c r="L129" i="8" s="1"/>
  <c r="K92" i="8"/>
  <c r="L92" i="8" s="1"/>
  <c r="L692" i="18"/>
  <c r="N692" i="18"/>
  <c r="O691" i="18"/>
  <c r="P691" i="18"/>
  <c r="M692" i="18"/>
  <c r="N691" i="18"/>
  <c r="B420" i="22"/>
  <c r="B390" i="22"/>
  <c r="P692" i="18"/>
  <c r="L691" i="18"/>
  <c r="B552" i="22"/>
  <c r="B378" i="22"/>
  <c r="B379" i="22"/>
  <c r="O692" i="18"/>
  <c r="M691" i="18"/>
  <c r="J11" i="11"/>
  <c r="K129" i="7"/>
  <c r="L129" i="7" s="1"/>
  <c r="B660" i="22"/>
  <c r="AB33" i="11"/>
  <c r="K16" i="11"/>
  <c r="K401" i="8"/>
  <c r="L401" i="8" s="1"/>
  <c r="K365" i="8"/>
  <c r="L365" i="8" s="1"/>
  <c r="K364" i="8"/>
  <c r="L364" i="8" s="1"/>
  <c r="K360" i="8"/>
  <c r="L360" i="8" s="1"/>
  <c r="P963" i="18"/>
  <c r="L963" i="18"/>
  <c r="O964" i="18"/>
  <c r="M964" i="18"/>
  <c r="L964" i="18"/>
  <c r="B386" i="22"/>
  <c r="P964" i="18"/>
  <c r="B392" i="22"/>
  <c r="N964" i="18"/>
  <c r="B387" i="22"/>
  <c r="N963" i="18"/>
  <c r="B554" i="22"/>
  <c r="B434" i="22"/>
  <c r="O963" i="18"/>
  <c r="M963" i="18"/>
  <c r="X29" i="11"/>
  <c r="J15" i="11"/>
  <c r="Z28" i="11"/>
  <c r="AJ41" i="11"/>
  <c r="AG38" i="11"/>
  <c r="AH40" i="11"/>
  <c r="AH39" i="11" s="1"/>
  <c r="O22" i="11"/>
  <c r="E10" i="11"/>
  <c r="AC34" i="11"/>
  <c r="T25" i="11"/>
  <c r="P23" i="11"/>
  <c r="AE36" i="11"/>
  <c r="K126" i="6"/>
  <c r="L126" i="6" s="1"/>
  <c r="B17" i="22"/>
  <c r="B213" i="22"/>
  <c r="B326" i="22"/>
  <c r="K359" i="8"/>
  <c r="L359" i="8" s="1"/>
  <c r="P962" i="18"/>
  <c r="L962" i="18"/>
  <c r="O962" i="18"/>
  <c r="N962" i="18"/>
  <c r="M962" i="18"/>
  <c r="S20" i="11"/>
  <c r="N19" i="11"/>
  <c r="R23" i="11"/>
  <c r="AI40" i="11"/>
  <c r="K358" i="8"/>
  <c r="L358" i="8" s="1"/>
  <c r="B327" i="22"/>
  <c r="B18" i="22"/>
  <c r="B214" i="22"/>
  <c r="K132" i="7"/>
  <c r="L132" i="7" s="1"/>
  <c r="B324" i="22"/>
  <c r="B15" i="22"/>
  <c r="B211" i="22"/>
  <c r="AD35" i="11"/>
  <c r="W28" i="11"/>
  <c r="Y30" i="11"/>
  <c r="U26" i="11"/>
  <c r="B661" i="22"/>
  <c r="K123" i="6"/>
  <c r="L123" i="6" s="1"/>
  <c r="B662" i="22"/>
  <c r="K219" i="8" l="1"/>
  <c r="L219" i="8" s="1"/>
  <c r="B659" i="22"/>
  <c r="K218" i="8"/>
  <c r="L218" i="8" s="1"/>
  <c r="K217" i="8" s="1"/>
  <c r="L217" i="8" s="1"/>
  <c r="K216" i="8" s="1"/>
  <c r="L216" i="8" s="1"/>
  <c r="M816" i="18"/>
  <c r="M817" i="18"/>
  <c r="P817" i="18"/>
  <c r="O816" i="18"/>
  <c r="P816" i="18"/>
  <c r="L817" i="18"/>
  <c r="N816" i="18"/>
  <c r="N817" i="18"/>
  <c r="L816" i="18"/>
  <c r="O817" i="18"/>
  <c r="B593" i="22"/>
  <c r="K355" i="8"/>
  <c r="L355" i="8" s="1"/>
  <c r="B663" i="22"/>
  <c r="K123" i="8"/>
  <c r="L123" i="8" s="1"/>
  <c r="B590" i="22"/>
  <c r="K193" i="7"/>
  <c r="L193" i="7" s="1"/>
  <c r="B589" i="22"/>
  <c r="K128" i="7"/>
  <c r="L128" i="7" s="1"/>
  <c r="K127" i="7" s="1"/>
  <c r="L127" i="7" s="1"/>
  <c r="K126" i="7" s="1"/>
  <c r="L126" i="7" s="1"/>
  <c r="M495" i="18"/>
  <c r="M494" i="18"/>
  <c r="L493" i="18"/>
  <c r="L498" i="18"/>
  <c r="P497" i="18"/>
  <c r="N497" i="18"/>
  <c r="P496" i="18"/>
  <c r="M493" i="18"/>
  <c r="N493" i="18"/>
  <c r="P498" i="18"/>
  <c r="P494" i="18"/>
  <c r="O497" i="18"/>
  <c r="P495" i="18"/>
  <c r="B594" i="22"/>
  <c r="N498" i="18"/>
  <c r="N494" i="18"/>
  <c r="M497" i="18"/>
  <c r="O494" i="18"/>
  <c r="O496" i="18"/>
  <c r="O498" i="18"/>
  <c r="O493" i="18"/>
  <c r="L497" i="18"/>
  <c r="N496" i="18"/>
  <c r="N495" i="18"/>
  <c r="M498" i="18"/>
  <c r="P493" i="18"/>
  <c r="O495" i="18"/>
  <c r="L496" i="18"/>
  <c r="M496" i="18"/>
  <c r="L495" i="18"/>
  <c r="L494" i="18"/>
  <c r="K354" i="8"/>
  <c r="L354" i="8" s="1"/>
  <c r="K353" i="8" s="1"/>
  <c r="L353" i="8" s="1"/>
  <c r="K352" i="8" s="1"/>
  <c r="L352" i="8" s="1"/>
  <c r="M952" i="18"/>
  <c r="L953" i="18"/>
  <c r="M953" i="18"/>
  <c r="P953" i="18"/>
  <c r="N952" i="18"/>
  <c r="O952" i="18"/>
  <c r="N953" i="18"/>
  <c r="O953" i="18"/>
  <c r="P952" i="18"/>
  <c r="L952" i="18"/>
  <c r="B597" i="22"/>
  <c r="K122" i="6"/>
  <c r="L122" i="6" s="1"/>
  <c r="K121" i="6" s="1"/>
  <c r="L121" i="6" s="1"/>
  <c r="K120" i="6" s="1"/>
  <c r="L120" i="6" s="1"/>
  <c r="L269" i="18"/>
  <c r="L271" i="18"/>
  <c r="N271" i="18"/>
  <c r="M268" i="18"/>
  <c r="P273" i="18"/>
  <c r="L270" i="18"/>
  <c r="P268" i="18"/>
  <c r="P272" i="18"/>
  <c r="L268" i="18"/>
  <c r="B596" i="22"/>
  <c r="O268" i="18"/>
  <c r="N269" i="18"/>
  <c r="L272" i="18"/>
  <c r="M271" i="18"/>
  <c r="O273" i="18"/>
  <c r="O271" i="18"/>
  <c r="N268" i="18"/>
  <c r="O272" i="18"/>
  <c r="M273" i="18"/>
  <c r="L273" i="18"/>
  <c r="M272" i="18"/>
  <c r="N270" i="18"/>
  <c r="M269" i="18"/>
  <c r="P270" i="18"/>
  <c r="O270" i="18"/>
  <c r="N272" i="18"/>
  <c r="M270" i="18"/>
  <c r="P271" i="18"/>
  <c r="O269" i="18"/>
  <c r="N273" i="18"/>
  <c r="P269" i="18"/>
  <c r="K395" i="8"/>
  <c r="L395" i="8" s="1"/>
  <c r="B592" i="22"/>
  <c r="O20" i="11"/>
  <c r="P21" i="11"/>
  <c r="Z31" i="11"/>
  <c r="K82" i="8"/>
  <c r="L82" i="8" s="1"/>
  <c r="K81" i="8" s="1"/>
  <c r="L81" i="8" s="1"/>
  <c r="K80" i="8" s="1"/>
  <c r="L80" i="8" s="1"/>
  <c r="O681" i="18"/>
  <c r="N680" i="18"/>
  <c r="B595" i="22"/>
  <c r="O680" i="18"/>
  <c r="P681" i="18"/>
  <c r="N681" i="18"/>
  <c r="L681" i="18"/>
  <c r="L680" i="18"/>
  <c r="M681" i="18"/>
  <c r="M680" i="18"/>
  <c r="P680" i="18"/>
  <c r="S24" i="11"/>
  <c r="K259" i="8"/>
  <c r="L259" i="8" s="1"/>
  <c r="B588" i="22"/>
  <c r="K187" i="6"/>
  <c r="L187" i="6" s="1"/>
  <c r="B591" i="22"/>
  <c r="K108" i="6" l="1"/>
  <c r="L108" i="6" s="1"/>
  <c r="K112" i="6"/>
  <c r="L112" i="6" s="1"/>
  <c r="K111" i="6"/>
  <c r="L111" i="6" s="1"/>
  <c r="K109" i="6"/>
  <c r="L109" i="6" s="1"/>
  <c r="K113" i="6"/>
  <c r="L113" i="6" s="1"/>
  <c r="K110" i="6"/>
  <c r="L110" i="6" s="1"/>
  <c r="K348" i="8"/>
  <c r="L348" i="8" s="1"/>
  <c r="K349" i="8"/>
  <c r="L349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K76" i="8"/>
  <c r="L76" i="8" s="1"/>
  <c r="K77" i="8"/>
  <c r="L77" i="8" s="1"/>
  <c r="K212" i="8"/>
  <c r="L212" i="8" s="1"/>
  <c r="K213" i="8"/>
  <c r="L213" i="8" s="1"/>
  <c r="AA36" i="11" l="1"/>
  <c r="M24" i="11"/>
  <c r="AF41" i="11"/>
  <c r="D11" i="11"/>
  <c r="M21" i="11"/>
  <c r="D15" i="11"/>
  <c r="AA33" i="11"/>
  <c r="AF38" i="11"/>
  <c r="M26" i="11"/>
  <c r="M20" i="11"/>
  <c r="D12" i="11"/>
  <c r="D16" i="11"/>
  <c r="V31" i="11"/>
  <c r="V28" i="11"/>
  <c r="M25" i="11"/>
  <c r="M19" i="11"/>
  <c r="D17" i="11"/>
  <c r="D10" i="11"/>
  <c r="M18" i="11" l="1"/>
  <c r="V27" i="11"/>
  <c r="AF37" i="11"/>
  <c r="D9" i="11"/>
  <c r="D45" i="11" s="1" a="1"/>
  <c r="AA32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H45" i="11"/>
  <c r="P45" i="11"/>
  <c r="X45" i="11"/>
  <c r="AF45" i="11"/>
  <c r="F45" i="11"/>
  <c r="N45" i="11"/>
  <c r="V45" i="11"/>
  <c r="AD45" i="11"/>
  <c r="L45" i="11"/>
  <c r="T45" i="11"/>
  <c r="AB45" i="11"/>
  <c r="AJ45" i="11"/>
  <c r="R45" i="11"/>
  <c r="J45" i="11"/>
  <c r="AH45" i="11"/>
  <c r="Z45" i="11"/>
  <c r="X55" i="11" l="1"/>
  <c r="X59" i="11"/>
  <c r="X61" i="11"/>
  <c r="X63" i="11"/>
  <c r="X65" i="11"/>
  <c r="X57" i="11"/>
  <c r="X60" i="11"/>
  <c r="X67" i="11"/>
  <c r="X69" i="11"/>
  <c r="X71" i="11"/>
  <c r="X73" i="11"/>
  <c r="X79" i="11"/>
  <c r="X83" i="11"/>
  <c r="X87" i="11"/>
  <c r="X56" i="11"/>
  <c r="X62" i="11"/>
  <c r="X68" i="11"/>
  <c r="X70" i="11"/>
  <c r="X72" i="11"/>
  <c r="X74" i="11"/>
  <c r="X80" i="11"/>
  <c r="X84" i="11"/>
  <c r="X66" i="11"/>
  <c r="X77" i="11"/>
  <c r="X81" i="11"/>
  <c r="X85" i="11"/>
  <c r="X58" i="11"/>
  <c r="X64" i="11"/>
  <c r="X78" i="11"/>
  <c r="X82" i="11"/>
  <c r="X86" i="11"/>
  <c r="G31" i="23"/>
  <c r="AE34" i="23"/>
  <c r="AS157" i="23" s="1"/>
  <c r="X50" i="11"/>
  <c r="AT153" i="23"/>
  <c r="X49" i="11"/>
  <c r="AM35" i="23"/>
  <c r="AG34" i="23"/>
  <c r="AV158" i="23" s="1"/>
  <c r="AM34" i="23"/>
  <c r="X76" i="11"/>
  <c r="X94" i="11"/>
  <c r="AH55" i="11"/>
  <c r="AH59" i="11"/>
  <c r="AH57" i="11"/>
  <c r="AH58" i="11"/>
  <c r="AH60" i="11"/>
  <c r="AH62" i="11"/>
  <c r="AH64" i="11"/>
  <c r="AH61" i="11"/>
  <c r="AH63" i="11"/>
  <c r="AH65" i="11"/>
  <c r="AH67" i="11"/>
  <c r="AH69" i="11"/>
  <c r="AH71" i="11"/>
  <c r="AH73" i="11"/>
  <c r="AH75" i="11"/>
  <c r="AH77" i="11"/>
  <c r="AH79" i="11"/>
  <c r="AH56" i="11"/>
  <c r="AH66" i="11"/>
  <c r="AH68" i="11"/>
  <c r="AH70" i="11"/>
  <c r="AH72" i="11"/>
  <c r="AH74" i="11"/>
  <c r="AH76" i="11"/>
  <c r="AH78" i="11"/>
  <c r="AH80" i="11"/>
  <c r="AH81" i="11"/>
  <c r="AH83" i="11"/>
  <c r="AH87" i="11"/>
  <c r="AH82" i="11"/>
  <c r="AH84" i="11"/>
  <c r="AE46" i="23"/>
  <c r="BE157" i="23" s="1"/>
  <c r="K31" i="23"/>
  <c r="AH50" i="11"/>
  <c r="BF153" i="23"/>
  <c r="AH49" i="11"/>
  <c r="AH48" i="11" s="1"/>
  <c r="AG46" i="23"/>
  <c r="BH158" i="23" s="1"/>
  <c r="AM46" i="23"/>
  <c r="AH94" i="11"/>
  <c r="AM47" i="23"/>
  <c r="AH86" i="11"/>
  <c r="AB56" i="11"/>
  <c r="AB59" i="11"/>
  <c r="AB61" i="11"/>
  <c r="AB63" i="11"/>
  <c r="AB65" i="11"/>
  <c r="AB55" i="11"/>
  <c r="AB58" i="11"/>
  <c r="AB67" i="11"/>
  <c r="AB69" i="11"/>
  <c r="AB71" i="11"/>
  <c r="AB73" i="11"/>
  <c r="AB75" i="11"/>
  <c r="AB77" i="11"/>
  <c r="AB57" i="11"/>
  <c r="AB60" i="11"/>
  <c r="AB64" i="11"/>
  <c r="AB66" i="11"/>
  <c r="AB68" i="11"/>
  <c r="AB70" i="11"/>
  <c r="AB72" i="11"/>
  <c r="AB74" i="11"/>
  <c r="AB76" i="11"/>
  <c r="AB80" i="11"/>
  <c r="AB84" i="11"/>
  <c r="AB81" i="11"/>
  <c r="AB85" i="11"/>
  <c r="AB62" i="11"/>
  <c r="AB82" i="11"/>
  <c r="AB86" i="11"/>
  <c r="AB83" i="11"/>
  <c r="I27" i="23"/>
  <c r="AB87" i="11"/>
  <c r="AB50" i="11"/>
  <c r="AD40" i="23"/>
  <c r="AE39" i="23"/>
  <c r="AY147" i="23" s="1"/>
  <c r="AC46" i="11"/>
  <c r="AB46" i="11"/>
  <c r="CP12" i="23"/>
  <c r="AB49" i="11"/>
  <c r="AB48" i="11" s="1"/>
  <c r="AZ155" i="23"/>
  <c r="BA145" i="23"/>
  <c r="AG39" i="23"/>
  <c r="BB152" i="23" s="1"/>
  <c r="AI39" i="23"/>
  <c r="AI38" i="23" s="1"/>
  <c r="AB94" i="11"/>
  <c r="AB78" i="11"/>
  <c r="V59" i="11"/>
  <c r="V57" i="11"/>
  <c r="V58" i="11"/>
  <c r="V60" i="11"/>
  <c r="V62" i="11"/>
  <c r="V64" i="11"/>
  <c r="V66" i="11"/>
  <c r="V55" i="11"/>
  <c r="V56" i="11"/>
  <c r="V81" i="11"/>
  <c r="V85" i="11"/>
  <c r="V78" i="11"/>
  <c r="V82" i="11"/>
  <c r="V86" i="11"/>
  <c r="V61" i="11"/>
  <c r="V63" i="11"/>
  <c r="V65" i="11"/>
  <c r="V67" i="11"/>
  <c r="V69" i="11"/>
  <c r="V71" i="11"/>
  <c r="V75" i="11"/>
  <c r="V79" i="11"/>
  <c r="V83" i="11"/>
  <c r="V87" i="11"/>
  <c r="V68" i="11"/>
  <c r="V70" i="11"/>
  <c r="V72" i="11"/>
  <c r="V76" i="11"/>
  <c r="V80" i="11"/>
  <c r="V84" i="11"/>
  <c r="AD44" i="23"/>
  <c r="AE32" i="23"/>
  <c r="AS136" i="23" s="1"/>
  <c r="AF32" i="23"/>
  <c r="AU136" i="23" s="1"/>
  <c r="AD38" i="23"/>
  <c r="G11" i="23"/>
  <c r="V46" i="11"/>
  <c r="V50" i="11"/>
  <c r="V49" i="11"/>
  <c r="V48" i="11" s="1"/>
  <c r="CJ12" i="23"/>
  <c r="AG32" i="23"/>
  <c r="AU141" i="23" s="1"/>
  <c r="V94" i="11"/>
  <c r="AJ36" i="23"/>
  <c r="AH33" i="23"/>
  <c r="V74" i="11"/>
  <c r="V77" i="11"/>
  <c r="AI56" i="11"/>
  <c r="AI55" i="11"/>
  <c r="AI59" i="11"/>
  <c r="AI61" i="11"/>
  <c r="AI63" i="11"/>
  <c r="AI65" i="11"/>
  <c r="AI57" i="11"/>
  <c r="AI58" i="11"/>
  <c r="AI60" i="11"/>
  <c r="AI62" i="11"/>
  <c r="AI64" i="11"/>
  <c r="AI66" i="11"/>
  <c r="AI68" i="11"/>
  <c r="AI70" i="11"/>
  <c r="AI72" i="11"/>
  <c r="AI74" i="11"/>
  <c r="AI76" i="11"/>
  <c r="AI67" i="11"/>
  <c r="AI69" i="11"/>
  <c r="AI71" i="11"/>
  <c r="AI73" i="11"/>
  <c r="AI75" i="11"/>
  <c r="AI77" i="11"/>
  <c r="AI79" i="11"/>
  <c r="AI94" i="11"/>
  <c r="AI80" i="11"/>
  <c r="AI81" i="11"/>
  <c r="AI87" i="11"/>
  <c r="AG47" i="23"/>
  <c r="BG164" i="23" s="1"/>
  <c r="AI78" i="11"/>
  <c r="AI83" i="11"/>
  <c r="AI82" i="11"/>
  <c r="AI84" i="11"/>
  <c r="AI50" i="11"/>
  <c r="K35" i="23"/>
  <c r="AI49" i="11"/>
  <c r="AI48" i="11" s="1"/>
  <c r="AI46" i="11"/>
  <c r="CW12" i="23"/>
  <c r="AN46" i="23"/>
  <c r="AN47" i="23"/>
  <c r="BF159" i="23"/>
  <c r="AI85" i="11"/>
  <c r="AA56" i="11"/>
  <c r="AA55" i="11"/>
  <c r="AA59" i="11"/>
  <c r="AA61" i="11"/>
  <c r="AA63" i="11"/>
  <c r="AA65" i="11"/>
  <c r="AA57" i="11"/>
  <c r="AA58" i="11"/>
  <c r="AA60" i="11"/>
  <c r="AA62" i="11"/>
  <c r="AA64" i="11"/>
  <c r="AA66" i="11"/>
  <c r="AA68" i="11"/>
  <c r="AA70" i="11"/>
  <c r="AA72" i="11"/>
  <c r="AA74" i="11"/>
  <c r="AA76" i="11"/>
  <c r="AA86" i="11"/>
  <c r="AA83" i="11"/>
  <c r="AA87" i="11"/>
  <c r="AA67" i="11"/>
  <c r="AA69" i="11"/>
  <c r="AA71" i="11"/>
  <c r="AA73" i="11"/>
  <c r="AA75" i="11"/>
  <c r="AA77" i="11"/>
  <c r="AA80" i="11"/>
  <c r="AA84" i="11"/>
  <c r="AA85" i="11"/>
  <c r="AF38" i="23"/>
  <c r="BA136" i="23" s="1"/>
  <c r="AA50" i="11"/>
  <c r="AA81" i="11"/>
  <c r="AE38" i="23"/>
  <c r="AY136" i="23" s="1"/>
  <c r="I11" i="23"/>
  <c r="AA46" i="11"/>
  <c r="AA49" i="11"/>
  <c r="AA48" i="11" s="1"/>
  <c r="CO12" i="23"/>
  <c r="AG38" i="23"/>
  <c r="BA141" i="23" s="1"/>
  <c r="AA94" i="11"/>
  <c r="AJ42" i="23"/>
  <c r="AH39" i="23"/>
  <c r="AA79" i="11"/>
  <c r="AA82" i="11"/>
  <c r="S56" i="11"/>
  <c r="S55" i="11"/>
  <c r="S59" i="11"/>
  <c r="S61" i="11"/>
  <c r="S63" i="11"/>
  <c r="S57" i="11"/>
  <c r="S58" i="11"/>
  <c r="S60" i="11"/>
  <c r="S62" i="11"/>
  <c r="S68" i="11"/>
  <c r="S73" i="11"/>
  <c r="S77" i="11"/>
  <c r="S81" i="11"/>
  <c r="S85" i="11"/>
  <c r="S74" i="11"/>
  <c r="S78" i="11"/>
  <c r="S82" i="11"/>
  <c r="S86" i="11"/>
  <c r="S71" i="11"/>
  <c r="S75" i="11"/>
  <c r="S79" i="11"/>
  <c r="S83" i="11"/>
  <c r="S87" i="11"/>
  <c r="S67" i="11"/>
  <c r="S69" i="11"/>
  <c r="S72" i="11"/>
  <c r="S76" i="11"/>
  <c r="S80" i="11"/>
  <c r="S84" i="11"/>
  <c r="S50" i="11"/>
  <c r="E39" i="23"/>
  <c r="S49" i="11"/>
  <c r="S48" i="11" s="1"/>
  <c r="CG12" i="23"/>
  <c r="S46" i="11"/>
  <c r="AG28" i="23"/>
  <c r="BD91" i="23" s="1"/>
  <c r="AK28" i="23"/>
  <c r="S64" i="11"/>
  <c r="AL28" i="23"/>
  <c r="S94" i="11"/>
  <c r="S65" i="11"/>
  <c r="S66" i="11"/>
  <c r="K59" i="11"/>
  <c r="K61" i="11"/>
  <c r="K64" i="11"/>
  <c r="K68" i="11"/>
  <c r="K72" i="11"/>
  <c r="K76" i="11"/>
  <c r="K80" i="11"/>
  <c r="K84" i="11"/>
  <c r="K60" i="11"/>
  <c r="K65" i="11"/>
  <c r="K69" i="11"/>
  <c r="K73" i="11"/>
  <c r="K77" i="11"/>
  <c r="K81" i="11"/>
  <c r="K85" i="11"/>
  <c r="K58" i="11"/>
  <c r="K63" i="11"/>
  <c r="K71" i="11"/>
  <c r="K79" i="11"/>
  <c r="K87" i="11"/>
  <c r="K66" i="11"/>
  <c r="K74" i="11"/>
  <c r="K82" i="11"/>
  <c r="K67" i="11"/>
  <c r="K75" i="11"/>
  <c r="K83" i="11"/>
  <c r="K70" i="11"/>
  <c r="K78" i="11"/>
  <c r="K86" i="11"/>
  <c r="K50" i="11"/>
  <c r="C43" i="23"/>
  <c r="K49" i="11"/>
  <c r="K48" i="11" s="1"/>
  <c r="BY12" i="23"/>
  <c r="K46" i="11"/>
  <c r="AG19" i="23"/>
  <c r="BF27" i="23" s="1"/>
  <c r="AK19" i="23"/>
  <c r="BH20" i="23" s="1"/>
  <c r="AL19" i="23"/>
  <c r="K94" i="11"/>
  <c r="K55" i="11"/>
  <c r="K56" i="11"/>
  <c r="K57" i="11"/>
  <c r="J59" i="11"/>
  <c r="J60" i="11"/>
  <c r="J64" i="11"/>
  <c r="J68" i="11"/>
  <c r="J72" i="11"/>
  <c r="J76" i="11"/>
  <c r="J80" i="11"/>
  <c r="J84" i="11"/>
  <c r="J58" i="11"/>
  <c r="J65" i="11"/>
  <c r="J69" i="11"/>
  <c r="J73" i="11"/>
  <c r="J77" i="11"/>
  <c r="J81" i="11"/>
  <c r="J85" i="11"/>
  <c r="J67" i="11"/>
  <c r="J75" i="11"/>
  <c r="J83" i="11"/>
  <c r="J62" i="11"/>
  <c r="J70" i="11"/>
  <c r="J78" i="11"/>
  <c r="J86" i="11"/>
  <c r="J63" i="11"/>
  <c r="J71" i="11"/>
  <c r="J79" i="11"/>
  <c r="J87" i="11"/>
  <c r="J66" i="11"/>
  <c r="J74" i="11"/>
  <c r="J82" i="11"/>
  <c r="C39" i="23"/>
  <c r="J50" i="11"/>
  <c r="J49" i="11"/>
  <c r="J48" i="11" s="1"/>
  <c r="J46" i="11"/>
  <c r="BX12" i="23"/>
  <c r="AG18" i="23"/>
  <c r="BD27" i="23" s="1"/>
  <c r="J56" i="11"/>
  <c r="AL18" i="23"/>
  <c r="J94" i="11"/>
  <c r="AK18" i="23"/>
  <c r="J57" i="11"/>
  <c r="J55" i="11"/>
  <c r="T56" i="11"/>
  <c r="T59" i="11"/>
  <c r="T61" i="11"/>
  <c r="T63" i="11"/>
  <c r="T67" i="11"/>
  <c r="T69" i="11"/>
  <c r="T75" i="11"/>
  <c r="T79" i="11"/>
  <c r="T83" i="11"/>
  <c r="T87" i="11"/>
  <c r="T55" i="11"/>
  <c r="T68" i="11"/>
  <c r="T70" i="11"/>
  <c r="T72" i="11"/>
  <c r="T76" i="11"/>
  <c r="T80" i="11"/>
  <c r="T84" i="11"/>
  <c r="T58" i="11"/>
  <c r="T73" i="11"/>
  <c r="T77" i="11"/>
  <c r="T81" i="11"/>
  <c r="T85" i="11"/>
  <c r="T57" i="11"/>
  <c r="T60" i="11"/>
  <c r="T62" i="11"/>
  <c r="T74" i="11"/>
  <c r="T78" i="11"/>
  <c r="T82" i="11"/>
  <c r="T86" i="11"/>
  <c r="AG29" i="23"/>
  <c r="BH91" i="23" s="1"/>
  <c r="T50" i="11"/>
  <c r="E43" i="23"/>
  <c r="CH12" i="23"/>
  <c r="T49" i="11"/>
  <c r="T48" i="11" s="1"/>
  <c r="T46" i="11"/>
  <c r="AK29" i="23"/>
  <c r="BH84" i="23" s="1"/>
  <c r="T65" i="11"/>
  <c r="T64" i="11"/>
  <c r="T94" i="11"/>
  <c r="AL29" i="23"/>
  <c r="T66" i="11"/>
  <c r="N56" i="11"/>
  <c r="N59" i="11"/>
  <c r="N57" i="11"/>
  <c r="N60" i="11"/>
  <c r="N62" i="11"/>
  <c r="N68" i="11"/>
  <c r="N72" i="11"/>
  <c r="N76" i="11"/>
  <c r="N80" i="11"/>
  <c r="N84" i="11"/>
  <c r="N55" i="11"/>
  <c r="N58" i="11"/>
  <c r="N69" i="11"/>
  <c r="N73" i="11"/>
  <c r="N77" i="11"/>
  <c r="N81" i="11"/>
  <c r="N85" i="11"/>
  <c r="N71" i="11"/>
  <c r="N79" i="11"/>
  <c r="N87" i="11"/>
  <c r="N66" i="11"/>
  <c r="N74" i="11"/>
  <c r="N82" i="11"/>
  <c r="N61" i="11"/>
  <c r="N63" i="11"/>
  <c r="N67" i="11"/>
  <c r="N75" i="11"/>
  <c r="N83" i="11"/>
  <c r="N70" i="11"/>
  <c r="N78" i="11"/>
  <c r="N86" i="11"/>
  <c r="AE23" i="23"/>
  <c r="AS88" i="23" s="1"/>
  <c r="AD24" i="23"/>
  <c r="E15" i="23"/>
  <c r="N50" i="11"/>
  <c r="N49" i="11"/>
  <c r="N48" i="11" s="1"/>
  <c r="CB12" i="23"/>
  <c r="AG23" i="23"/>
  <c r="BA91" i="23" s="1"/>
  <c r="AI23" i="23"/>
  <c r="N64" i="11"/>
  <c r="N94" i="11"/>
  <c r="P55" i="11"/>
  <c r="P56" i="11"/>
  <c r="P59" i="11"/>
  <c r="P61" i="11"/>
  <c r="P63" i="11"/>
  <c r="P65" i="11"/>
  <c r="P71" i="11"/>
  <c r="P75" i="11"/>
  <c r="P79" i="11"/>
  <c r="P83" i="11"/>
  <c r="P87" i="11"/>
  <c r="P58" i="11"/>
  <c r="P62" i="11"/>
  <c r="P66" i="11"/>
  <c r="P68" i="11"/>
  <c r="P72" i="11"/>
  <c r="P76" i="11"/>
  <c r="P80" i="11"/>
  <c r="P84" i="11"/>
  <c r="P57" i="11"/>
  <c r="P60" i="11"/>
  <c r="P73" i="11"/>
  <c r="P77" i="11"/>
  <c r="P81" i="11"/>
  <c r="P85" i="11"/>
  <c r="P70" i="11"/>
  <c r="P74" i="11"/>
  <c r="P78" i="11"/>
  <c r="P82" i="11"/>
  <c r="P86" i="11"/>
  <c r="AE25" i="23"/>
  <c r="AS90" i="23" s="1"/>
  <c r="AD33" i="23"/>
  <c r="E27" i="23"/>
  <c r="P50" i="11"/>
  <c r="CD12" i="23"/>
  <c r="P49" i="11"/>
  <c r="P48" i="11" s="1"/>
  <c r="P46" i="11"/>
  <c r="AI25" i="23"/>
  <c r="AU85" i="23" s="1"/>
  <c r="AG25" i="23"/>
  <c r="AU97" i="23" s="1"/>
  <c r="AM25" i="23"/>
  <c r="P94" i="11"/>
  <c r="AM27" i="23"/>
  <c r="P64" i="11"/>
  <c r="P69" i="11"/>
  <c r="AG57" i="11"/>
  <c r="AG58" i="11"/>
  <c r="AG60" i="11"/>
  <c r="AG55" i="11"/>
  <c r="AG56" i="11"/>
  <c r="AG59" i="11"/>
  <c r="AG64" i="11"/>
  <c r="AG67" i="11"/>
  <c r="AG69" i="11"/>
  <c r="AG71" i="11"/>
  <c r="AG73" i="11"/>
  <c r="AG75" i="11"/>
  <c r="AG77" i="11"/>
  <c r="AG79" i="11"/>
  <c r="AG81" i="11"/>
  <c r="AG62" i="11"/>
  <c r="AG66" i="11"/>
  <c r="AG68" i="11"/>
  <c r="AG70" i="11"/>
  <c r="AG72" i="11"/>
  <c r="AG74" i="11"/>
  <c r="AG76" i="11"/>
  <c r="AG78" i="11"/>
  <c r="AG61" i="11"/>
  <c r="AG63" i="11"/>
  <c r="AG65" i="11"/>
  <c r="AG80" i="11"/>
  <c r="AD46" i="23"/>
  <c r="AG82" i="11"/>
  <c r="AG85" i="11"/>
  <c r="AE45" i="23"/>
  <c r="BE147" i="23" s="1"/>
  <c r="K27" i="23"/>
  <c r="AG86" i="11"/>
  <c r="AG50" i="11"/>
  <c r="AG87" i="11"/>
  <c r="AG46" i="11"/>
  <c r="AH46" i="11"/>
  <c r="AG49" i="11"/>
  <c r="AG48" i="11" s="1"/>
  <c r="CU12" i="23"/>
  <c r="BF155" i="23"/>
  <c r="AI45" i="23"/>
  <c r="AI44" i="23" s="1"/>
  <c r="AG45" i="23"/>
  <c r="BH152" i="23" s="1"/>
  <c r="BG145" i="23"/>
  <c r="AG83" i="11"/>
  <c r="AG94" i="11"/>
  <c r="Y56" i="11"/>
  <c r="Y57" i="11"/>
  <c r="Y58" i="11"/>
  <c r="Y60" i="11"/>
  <c r="Y55" i="11"/>
  <c r="Y64" i="11"/>
  <c r="Y79" i="11"/>
  <c r="Y83" i="11"/>
  <c r="Y87" i="11"/>
  <c r="Y67" i="11"/>
  <c r="Y69" i="11"/>
  <c r="Y71" i="11"/>
  <c r="Y73" i="11"/>
  <c r="Y80" i="11"/>
  <c r="Y84" i="11"/>
  <c r="Y59" i="11"/>
  <c r="Y62" i="11"/>
  <c r="Y68" i="11"/>
  <c r="Y70" i="11"/>
  <c r="Y72" i="11"/>
  <c r="Y74" i="11"/>
  <c r="Y77" i="11"/>
  <c r="Y81" i="11"/>
  <c r="Y85" i="11"/>
  <c r="Y61" i="11"/>
  <c r="Y63" i="11"/>
  <c r="Y65" i="11"/>
  <c r="Y66" i="11"/>
  <c r="Y78" i="11"/>
  <c r="Y82" i="11"/>
  <c r="Y86" i="11"/>
  <c r="AG35" i="23"/>
  <c r="AU164" i="23" s="1"/>
  <c r="G35" i="23"/>
  <c r="Y94" i="11"/>
  <c r="Y50" i="11"/>
  <c r="Y49" i="11"/>
  <c r="Y48" i="11" s="1"/>
  <c r="Y46" i="11"/>
  <c r="CM12" i="23"/>
  <c r="AN34" i="23"/>
  <c r="AN35" i="23"/>
  <c r="AT159" i="23"/>
  <c r="Y75" i="11"/>
  <c r="Q57" i="11"/>
  <c r="Q58" i="11"/>
  <c r="Q60" i="11"/>
  <c r="Q55" i="11"/>
  <c r="Q56" i="11"/>
  <c r="Q59" i="11"/>
  <c r="Q64" i="11"/>
  <c r="Q71" i="11"/>
  <c r="Q75" i="11"/>
  <c r="Q79" i="11"/>
  <c r="Q83" i="11"/>
  <c r="Q87" i="11"/>
  <c r="Q67" i="11"/>
  <c r="Q72" i="11"/>
  <c r="Q76" i="11"/>
  <c r="Q80" i="11"/>
  <c r="Q84" i="11"/>
  <c r="Q62" i="11"/>
  <c r="Q69" i="11"/>
  <c r="Q73" i="11"/>
  <c r="Q77" i="11"/>
  <c r="Q81" i="11"/>
  <c r="Q85" i="11"/>
  <c r="Q61" i="11"/>
  <c r="Q63" i="11"/>
  <c r="Q65" i="11"/>
  <c r="Q70" i="11"/>
  <c r="Q74" i="11"/>
  <c r="Q78" i="11"/>
  <c r="Q82" i="11"/>
  <c r="Q86" i="11"/>
  <c r="Q50" i="11"/>
  <c r="Q94" i="11"/>
  <c r="E23" i="23"/>
  <c r="AG26" i="23"/>
  <c r="AX99" i="23" s="1"/>
  <c r="Q46" i="11"/>
  <c r="Q49" i="11"/>
  <c r="Q48" i="11" s="1"/>
  <c r="CE12" i="23"/>
  <c r="AN24" i="23"/>
  <c r="AN26" i="23"/>
  <c r="AY96" i="23" s="1"/>
  <c r="Q66" i="11"/>
  <c r="I56" i="11"/>
  <c r="I57" i="11"/>
  <c r="I61" i="11"/>
  <c r="I65" i="11"/>
  <c r="I69" i="11"/>
  <c r="I73" i="11"/>
  <c r="I77" i="11"/>
  <c r="I81" i="11"/>
  <c r="I62" i="11"/>
  <c r="I66" i="11"/>
  <c r="I70" i="11"/>
  <c r="I74" i="11"/>
  <c r="I78" i="11"/>
  <c r="I82" i="11"/>
  <c r="I86" i="11"/>
  <c r="I55" i="11"/>
  <c r="I63" i="11"/>
  <c r="I67" i="11"/>
  <c r="I71" i="11"/>
  <c r="I75" i="11"/>
  <c r="I79" i="11"/>
  <c r="I83" i="11"/>
  <c r="I87" i="11"/>
  <c r="I64" i="11"/>
  <c r="I80" i="11"/>
  <c r="I68" i="11"/>
  <c r="I84" i="11"/>
  <c r="I59" i="11"/>
  <c r="I72" i="11"/>
  <c r="I85" i="11"/>
  <c r="I76" i="11"/>
  <c r="C35" i="23"/>
  <c r="I50" i="11"/>
  <c r="I46" i="11"/>
  <c r="I49" i="11"/>
  <c r="I48" i="11" s="1"/>
  <c r="BW12" i="23"/>
  <c r="AG17" i="23"/>
  <c r="AU44" i="23" s="1"/>
  <c r="I94" i="11"/>
  <c r="AN17" i="23"/>
  <c r="AU40" i="23" s="1"/>
  <c r="AN15" i="23"/>
  <c r="I58" i="11"/>
  <c r="R55" i="11"/>
  <c r="R59" i="11"/>
  <c r="R57" i="11"/>
  <c r="R58" i="11"/>
  <c r="R60" i="11"/>
  <c r="R62" i="11"/>
  <c r="R64" i="11"/>
  <c r="R66" i="11"/>
  <c r="R56" i="11"/>
  <c r="R61" i="11"/>
  <c r="R63" i="11"/>
  <c r="R65" i="11"/>
  <c r="R73" i="11"/>
  <c r="R77" i="11"/>
  <c r="R81" i="11"/>
  <c r="R85" i="11"/>
  <c r="R70" i="11"/>
  <c r="R74" i="11"/>
  <c r="R78" i="11"/>
  <c r="R82" i="11"/>
  <c r="R86" i="11"/>
  <c r="R71" i="11"/>
  <c r="R75" i="11"/>
  <c r="R79" i="11"/>
  <c r="R83" i="11"/>
  <c r="R87" i="11"/>
  <c r="R68" i="11"/>
  <c r="R72" i="11"/>
  <c r="R76" i="11"/>
  <c r="R80" i="11"/>
  <c r="R84" i="11"/>
  <c r="E35" i="23"/>
  <c r="AG27" i="23"/>
  <c r="AU108" i="23" s="1"/>
  <c r="R94" i="11"/>
  <c r="R50" i="11"/>
  <c r="R46" i="11"/>
  <c r="R49" i="11"/>
  <c r="CF12" i="23"/>
  <c r="AN27" i="23"/>
  <c r="AU104" i="23" s="1"/>
  <c r="AN25" i="23"/>
  <c r="R67" i="11"/>
  <c r="L58" i="11"/>
  <c r="L66" i="11"/>
  <c r="L70" i="11"/>
  <c r="L74" i="11"/>
  <c r="L78" i="11"/>
  <c r="L82" i="11"/>
  <c r="L86" i="11"/>
  <c r="L59" i="11"/>
  <c r="L61" i="11"/>
  <c r="L67" i="11"/>
  <c r="L71" i="11"/>
  <c r="L75" i="11"/>
  <c r="L79" i="11"/>
  <c r="L83" i="11"/>
  <c r="L87" i="11"/>
  <c r="L69" i="11"/>
  <c r="L77" i="11"/>
  <c r="L85" i="11"/>
  <c r="L60" i="11"/>
  <c r="L64" i="11"/>
  <c r="L72" i="11"/>
  <c r="L80" i="11"/>
  <c r="L65" i="11"/>
  <c r="L73" i="11"/>
  <c r="L81" i="11"/>
  <c r="L62" i="11"/>
  <c r="L68" i="11"/>
  <c r="L76" i="11"/>
  <c r="L84" i="11"/>
  <c r="L50" i="11"/>
  <c r="AG20" i="23"/>
  <c r="BH27" i="23" s="1"/>
  <c r="C47" i="23"/>
  <c r="L46" i="11"/>
  <c r="L49" i="11"/>
  <c r="L48" i="11" s="1"/>
  <c r="BZ12" i="23"/>
  <c r="AK20" i="23"/>
  <c r="BF20" i="23" s="1"/>
  <c r="L56" i="11"/>
  <c r="AL20" i="23"/>
  <c r="L94" i="11"/>
  <c r="L55" i="11"/>
  <c r="L57" i="11"/>
  <c r="F58" i="11"/>
  <c r="F62" i="11"/>
  <c r="F66" i="11"/>
  <c r="F70" i="11"/>
  <c r="F74" i="11"/>
  <c r="F78" i="11"/>
  <c r="F82" i="11"/>
  <c r="F86" i="11"/>
  <c r="F63" i="11"/>
  <c r="F67" i="11"/>
  <c r="F71" i="11"/>
  <c r="F75" i="11"/>
  <c r="F79" i="11"/>
  <c r="F83" i="11"/>
  <c r="F87" i="11"/>
  <c r="F56" i="11"/>
  <c r="F60" i="11"/>
  <c r="F64" i="11"/>
  <c r="F68" i="11"/>
  <c r="F72" i="11"/>
  <c r="F76" i="11"/>
  <c r="F80" i="11"/>
  <c r="F84" i="11"/>
  <c r="F61" i="11"/>
  <c r="F77" i="11"/>
  <c r="F65" i="11"/>
  <c r="F81" i="11"/>
  <c r="F69" i="11"/>
  <c r="F85" i="11"/>
  <c r="F73" i="11"/>
  <c r="AD13" i="23"/>
  <c r="AD15" i="23"/>
  <c r="C19" i="23"/>
  <c r="F50" i="11"/>
  <c r="F49" i="11"/>
  <c r="BT12" i="23"/>
  <c r="F46" i="11"/>
  <c r="AM16" i="23"/>
  <c r="AG14" i="23"/>
  <c r="AX31" i="23" s="1"/>
  <c r="AM14" i="23"/>
  <c r="AI14" i="23"/>
  <c r="AX21" i="23" s="1"/>
  <c r="F55" i="11"/>
  <c r="F94" i="11"/>
  <c r="F59" i="11"/>
  <c r="H58" i="11"/>
  <c r="H61" i="11"/>
  <c r="H65" i="11"/>
  <c r="H69" i="11"/>
  <c r="H73" i="11"/>
  <c r="H77" i="11"/>
  <c r="H81" i="11"/>
  <c r="H85" i="11"/>
  <c r="H55" i="11"/>
  <c r="H62" i="11"/>
  <c r="H66" i="11"/>
  <c r="H70" i="11"/>
  <c r="H74" i="11"/>
  <c r="H78" i="11"/>
  <c r="H82" i="11"/>
  <c r="H86" i="11"/>
  <c r="H63" i="11"/>
  <c r="H67" i="11"/>
  <c r="H71" i="11"/>
  <c r="H75" i="11"/>
  <c r="H79" i="11"/>
  <c r="H83" i="11"/>
  <c r="H87" i="11"/>
  <c r="H72" i="11"/>
  <c r="H60" i="11"/>
  <c r="H76" i="11"/>
  <c r="H56" i="11"/>
  <c r="H64" i="11"/>
  <c r="H80" i="11"/>
  <c r="H68" i="11"/>
  <c r="H84" i="11"/>
  <c r="C23" i="23"/>
  <c r="H50" i="11"/>
  <c r="H46" i="11"/>
  <c r="H49" i="11"/>
  <c r="BV12" i="23"/>
  <c r="AG16" i="23"/>
  <c r="AX35" i="23" s="1"/>
  <c r="H94" i="11"/>
  <c r="AN14" i="23"/>
  <c r="AN16" i="23"/>
  <c r="AY32" i="23" s="1"/>
  <c r="H57" i="11"/>
  <c r="AE56" i="11"/>
  <c r="AE59" i="11"/>
  <c r="AE61" i="11"/>
  <c r="AE63" i="11"/>
  <c r="AE65" i="11"/>
  <c r="AE57" i="11"/>
  <c r="AE58" i="11"/>
  <c r="AE60" i="11"/>
  <c r="AE62" i="11"/>
  <c r="AE64" i="11"/>
  <c r="AE66" i="11"/>
  <c r="AE68" i="11"/>
  <c r="AE70" i="11"/>
  <c r="AE72" i="11"/>
  <c r="AE74" i="11"/>
  <c r="AE76" i="11"/>
  <c r="AE55" i="11"/>
  <c r="AE67" i="11"/>
  <c r="AE69" i="11"/>
  <c r="AE71" i="11"/>
  <c r="AE73" i="11"/>
  <c r="AE75" i="11"/>
  <c r="AE77" i="11"/>
  <c r="AE81" i="11"/>
  <c r="AE86" i="11"/>
  <c r="AE83" i="11"/>
  <c r="AE87" i="11"/>
  <c r="AG42" i="23"/>
  <c r="AE84" i="11"/>
  <c r="I47" i="23"/>
  <c r="AE80" i="11"/>
  <c r="AE85" i="11"/>
  <c r="AE50" i="11"/>
  <c r="AE49" i="11"/>
  <c r="AE48" i="11" s="1"/>
  <c r="CS12" i="23"/>
  <c r="AE46" i="11"/>
  <c r="AK42" i="23"/>
  <c r="AK38" i="23" s="1"/>
  <c r="BD144" i="23"/>
  <c r="AE94" i="11"/>
  <c r="AE78" i="11"/>
  <c r="AL42" i="23"/>
  <c r="AL39" i="23" s="1"/>
  <c r="BB147" i="23" s="1"/>
  <c r="AE79" i="11"/>
  <c r="W56" i="11"/>
  <c r="W59" i="11"/>
  <c r="W61" i="11"/>
  <c r="W63" i="11"/>
  <c r="W65" i="11"/>
  <c r="W57" i="11"/>
  <c r="W58" i="11"/>
  <c r="W60" i="11"/>
  <c r="W62" i="11"/>
  <c r="W64" i="11"/>
  <c r="W68" i="11"/>
  <c r="W70" i="11"/>
  <c r="W72" i="11"/>
  <c r="W77" i="11"/>
  <c r="W81" i="11"/>
  <c r="W85" i="11"/>
  <c r="W66" i="11"/>
  <c r="W78" i="11"/>
  <c r="W82" i="11"/>
  <c r="W86" i="11"/>
  <c r="W55" i="11"/>
  <c r="W75" i="11"/>
  <c r="W79" i="11"/>
  <c r="W83" i="11"/>
  <c r="W87" i="11"/>
  <c r="W67" i="11"/>
  <c r="W69" i="11"/>
  <c r="W71" i="11"/>
  <c r="W76" i="11"/>
  <c r="W80" i="11"/>
  <c r="W84" i="11"/>
  <c r="AD34" i="23"/>
  <c r="AD39" i="23"/>
  <c r="AE33" i="23"/>
  <c r="AS147" i="23" s="1"/>
  <c r="AD25" i="23"/>
  <c r="AD45" i="23"/>
  <c r="W50" i="11"/>
  <c r="G27" i="23"/>
  <c r="W49" i="11"/>
  <c r="W48" i="11" s="1"/>
  <c r="AT155" i="23"/>
  <c r="W46" i="11"/>
  <c r="X46" i="11"/>
  <c r="CK12" i="23"/>
  <c r="AU145" i="23"/>
  <c r="AG33" i="23"/>
  <c r="AV152" i="23" s="1"/>
  <c r="AI33" i="23"/>
  <c r="AI32" i="23" s="1"/>
  <c r="W73" i="11"/>
  <c r="W94" i="11"/>
  <c r="O56" i="11"/>
  <c r="O59" i="11"/>
  <c r="O61" i="11"/>
  <c r="O63" i="11"/>
  <c r="O65" i="11"/>
  <c r="O57" i="11"/>
  <c r="O60" i="11"/>
  <c r="O62" i="11"/>
  <c r="O69" i="11"/>
  <c r="O73" i="11"/>
  <c r="O77" i="11"/>
  <c r="O81" i="11"/>
  <c r="O85" i="11"/>
  <c r="O70" i="11"/>
  <c r="O74" i="11"/>
  <c r="O78" i="11"/>
  <c r="O82" i="11"/>
  <c r="O86" i="11"/>
  <c r="O67" i="11"/>
  <c r="O71" i="11"/>
  <c r="O75" i="11"/>
  <c r="O79" i="11"/>
  <c r="O83" i="11"/>
  <c r="O87" i="11"/>
  <c r="O55" i="11"/>
  <c r="O72" i="11"/>
  <c r="O76" i="11"/>
  <c r="O80" i="11"/>
  <c r="O84" i="11"/>
  <c r="AD23" i="23"/>
  <c r="AE24" i="23"/>
  <c r="AS89" i="23" s="1"/>
  <c r="E19" i="23"/>
  <c r="O50" i="11"/>
  <c r="O49" i="11"/>
  <c r="O48" i="11" s="1"/>
  <c r="O46" i="11"/>
  <c r="CC12" i="23"/>
  <c r="AI24" i="23"/>
  <c r="AG24" i="23"/>
  <c r="AX95" i="23" s="1"/>
  <c r="O64" i="11"/>
  <c r="AM26" i="23"/>
  <c r="O94" i="11"/>
  <c r="AM24" i="23"/>
  <c r="O68" i="11"/>
  <c r="G56" i="11"/>
  <c r="G59" i="11"/>
  <c r="G63" i="11"/>
  <c r="G67" i="11"/>
  <c r="G71" i="11"/>
  <c r="G75" i="11"/>
  <c r="G79" i="11"/>
  <c r="G83" i="11"/>
  <c r="G87" i="11"/>
  <c r="G64" i="11"/>
  <c r="G68" i="11"/>
  <c r="G72" i="11"/>
  <c r="G76" i="11"/>
  <c r="G80" i="11"/>
  <c r="G84" i="11"/>
  <c r="G57" i="11"/>
  <c r="G61" i="11"/>
  <c r="G65" i="11"/>
  <c r="G69" i="11"/>
  <c r="G73" i="11"/>
  <c r="G77" i="11"/>
  <c r="G81" i="11"/>
  <c r="G85" i="11"/>
  <c r="G66" i="11"/>
  <c r="G82" i="11"/>
  <c r="G70" i="11"/>
  <c r="G86" i="11"/>
  <c r="G74" i="11"/>
  <c r="G62" i="11"/>
  <c r="G78" i="11"/>
  <c r="G50" i="11"/>
  <c r="AE15" i="23"/>
  <c r="AS26" i="23" s="1"/>
  <c r="C27" i="23"/>
  <c r="G46" i="11"/>
  <c r="G49" i="11"/>
  <c r="G48" i="11" s="1"/>
  <c r="BU12" i="23"/>
  <c r="AI15" i="23"/>
  <c r="AU21" i="23" s="1"/>
  <c r="AM15" i="23"/>
  <c r="AM17" i="23"/>
  <c r="AG15" i="23"/>
  <c r="AU33" i="23" s="1"/>
  <c r="G94" i="11"/>
  <c r="G60" i="11"/>
  <c r="G55" i="11"/>
  <c r="Z55" i="11"/>
  <c r="Z59" i="11"/>
  <c r="Z56" i="11"/>
  <c r="Z57" i="11"/>
  <c r="Z58" i="11"/>
  <c r="Z60" i="11"/>
  <c r="Z62" i="11"/>
  <c r="Z64" i="11"/>
  <c r="Z66" i="11"/>
  <c r="Z61" i="11"/>
  <c r="Z63" i="11"/>
  <c r="Z65" i="11"/>
  <c r="Z78" i="11"/>
  <c r="Z82" i="11"/>
  <c r="Z86" i="11"/>
  <c r="Z67" i="11"/>
  <c r="Z69" i="11"/>
  <c r="Z71" i="11"/>
  <c r="Z75" i="11"/>
  <c r="Z79" i="11"/>
  <c r="Z83" i="11"/>
  <c r="Z87" i="11"/>
  <c r="Z68" i="11"/>
  <c r="Z70" i="11"/>
  <c r="Z72" i="11"/>
  <c r="Z76" i="11"/>
  <c r="Z80" i="11"/>
  <c r="Z84" i="11"/>
  <c r="Z50" i="11"/>
  <c r="Z81" i="11"/>
  <c r="G47" i="23"/>
  <c r="Z85" i="11"/>
  <c r="AG36" i="23"/>
  <c r="AX151" i="23" s="1"/>
  <c r="Z46" i="11"/>
  <c r="CN12" i="23"/>
  <c r="Z49" i="11"/>
  <c r="Z48" i="11" s="1"/>
  <c r="AX144" i="23"/>
  <c r="AK36" i="23"/>
  <c r="AK32" i="23" s="1"/>
  <c r="Z94" i="11"/>
  <c r="Z73" i="11"/>
  <c r="AL36" i="23"/>
  <c r="AL33" i="23" s="1"/>
  <c r="AV147" i="23" s="1"/>
  <c r="Z74" i="11"/>
  <c r="AJ56" i="11"/>
  <c r="AJ59" i="11"/>
  <c r="AJ61" i="11"/>
  <c r="AJ63" i="11"/>
  <c r="AJ65" i="11"/>
  <c r="AJ67" i="11"/>
  <c r="AJ69" i="11"/>
  <c r="AJ71" i="11"/>
  <c r="AJ73" i="11"/>
  <c r="AJ75" i="11"/>
  <c r="AJ64" i="11"/>
  <c r="AJ66" i="11"/>
  <c r="AJ68" i="11"/>
  <c r="AJ70" i="11"/>
  <c r="AJ72" i="11"/>
  <c r="AJ74" i="11"/>
  <c r="AJ76" i="11"/>
  <c r="AJ78" i="11"/>
  <c r="AJ80" i="11"/>
  <c r="AJ58" i="11"/>
  <c r="AJ55" i="11"/>
  <c r="AJ57" i="11"/>
  <c r="AJ60" i="11"/>
  <c r="AJ62" i="11"/>
  <c r="AJ82" i="11"/>
  <c r="AJ86" i="11"/>
  <c r="K47" i="23"/>
  <c r="AJ77" i="11"/>
  <c r="AJ50" i="11"/>
  <c r="AJ81" i="11"/>
  <c r="AJ79" i="11"/>
  <c r="AJ85" i="11"/>
  <c r="AG48" i="23"/>
  <c r="BJ151" i="23" s="1"/>
  <c r="AJ46" i="11"/>
  <c r="AJ49" i="11"/>
  <c r="AJ48" i="11" s="1"/>
  <c r="CX12" i="23"/>
  <c r="AK48" i="23"/>
  <c r="AK44" i="23" s="1"/>
  <c r="AL48" i="23"/>
  <c r="AL45" i="23" s="1"/>
  <c r="BH147" i="23" s="1"/>
  <c r="BJ144" i="23"/>
  <c r="AJ94" i="11"/>
  <c r="AJ84" i="11"/>
  <c r="AJ83" i="11"/>
  <c r="AD56" i="11"/>
  <c r="AD59" i="11"/>
  <c r="AD57" i="11"/>
  <c r="AD58" i="11"/>
  <c r="AD60" i="11"/>
  <c r="AD62" i="11"/>
  <c r="AD64" i="11"/>
  <c r="AD55" i="11"/>
  <c r="AD82" i="11"/>
  <c r="AD86" i="11"/>
  <c r="AD61" i="11"/>
  <c r="AD63" i="11"/>
  <c r="AD65" i="11"/>
  <c r="AD67" i="11"/>
  <c r="AD69" i="11"/>
  <c r="AD71" i="11"/>
  <c r="AD73" i="11"/>
  <c r="AD75" i="11"/>
  <c r="AD77" i="11"/>
  <c r="AD79" i="11"/>
  <c r="AD66" i="11"/>
  <c r="AD68" i="11"/>
  <c r="AD70" i="11"/>
  <c r="AD72" i="11"/>
  <c r="AD74" i="11"/>
  <c r="AD76" i="11"/>
  <c r="AD78" i="11"/>
  <c r="AD84" i="11"/>
  <c r="AD85" i="11"/>
  <c r="AD50" i="11"/>
  <c r="I35" i="23"/>
  <c r="AD87" i="11"/>
  <c r="AD83" i="11"/>
  <c r="AD94" i="11"/>
  <c r="AG41" i="23"/>
  <c r="BA164" i="23" s="1"/>
  <c r="AD49" i="11"/>
  <c r="AD48" i="11" s="1"/>
  <c r="AD46" i="11"/>
  <c r="CR12" i="23"/>
  <c r="AN41" i="23"/>
  <c r="AN40" i="23"/>
  <c r="AZ159" i="23"/>
  <c r="AD80" i="11"/>
  <c r="AF55" i="11"/>
  <c r="AF56" i="11"/>
  <c r="AF59" i="11"/>
  <c r="AF61" i="11"/>
  <c r="AF63" i="11"/>
  <c r="AF65" i="11"/>
  <c r="AF67" i="11"/>
  <c r="AF69" i="11"/>
  <c r="AF71" i="11"/>
  <c r="AF73" i="11"/>
  <c r="AF75" i="11"/>
  <c r="AF58" i="11"/>
  <c r="AF62" i="11"/>
  <c r="AF66" i="11"/>
  <c r="AF68" i="11"/>
  <c r="AF70" i="11"/>
  <c r="AF72" i="11"/>
  <c r="AF74" i="11"/>
  <c r="AF76" i="11"/>
  <c r="AF78" i="11"/>
  <c r="AF80" i="11"/>
  <c r="AF82" i="11"/>
  <c r="AF57" i="11"/>
  <c r="AF60" i="11"/>
  <c r="AF64" i="11"/>
  <c r="AF77" i="11"/>
  <c r="K11" i="23"/>
  <c r="AF85" i="11"/>
  <c r="AE44" i="23"/>
  <c r="BE136" i="23" s="1"/>
  <c r="AF79" i="11"/>
  <c r="AF86" i="11"/>
  <c r="AF44" i="23"/>
  <c r="BG136" i="23" s="1"/>
  <c r="AF81" i="11"/>
  <c r="AF49" i="11"/>
  <c r="AF48" i="11" s="1"/>
  <c r="AF46" i="11"/>
  <c r="AF50" i="11"/>
  <c r="CT12" i="23"/>
  <c r="AG44" i="23"/>
  <c r="BG141" i="23" s="1"/>
  <c r="AF94" i="11"/>
  <c r="AJ48" i="23"/>
  <c r="AH45" i="23"/>
  <c r="AF84" i="11"/>
  <c r="AF87" i="11"/>
  <c r="D59" i="11"/>
  <c r="D67" i="11"/>
  <c r="D71" i="11"/>
  <c r="D75" i="11"/>
  <c r="D79" i="11"/>
  <c r="D83" i="11"/>
  <c r="D87" i="11"/>
  <c r="D66" i="11"/>
  <c r="D72" i="11"/>
  <c r="D77" i="11"/>
  <c r="D82" i="11"/>
  <c r="D68" i="11"/>
  <c r="D73" i="11"/>
  <c r="D78" i="11"/>
  <c r="D84" i="11"/>
  <c r="D64" i="11"/>
  <c r="D69" i="11"/>
  <c r="D74" i="11"/>
  <c r="D80" i="11"/>
  <c r="D85" i="11"/>
  <c r="D60" i="11"/>
  <c r="D81" i="11"/>
  <c r="D65" i="11"/>
  <c r="D86" i="11"/>
  <c r="D70" i="11"/>
  <c r="D76" i="11"/>
  <c r="AE12" i="23"/>
  <c r="AU10" i="23" s="1"/>
  <c r="AD22" i="23"/>
  <c r="D50" i="11"/>
  <c r="AF12" i="23"/>
  <c r="C11" i="23"/>
  <c r="C45" i="11"/>
  <c r="D46" i="11"/>
  <c r="D49" i="11"/>
  <c r="BR12" i="23"/>
  <c r="AG12" i="23"/>
  <c r="D94" i="11"/>
  <c r="AH15" i="23"/>
  <c r="AU23" i="23" s="1"/>
  <c r="AJ20" i="23"/>
  <c r="AH14" i="23"/>
  <c r="AX23" i="23" s="1"/>
  <c r="AJ18" i="23"/>
  <c r="AJ19" i="23"/>
  <c r="AH13" i="23"/>
  <c r="D61" i="11"/>
  <c r="D58" i="11"/>
  <c r="D57" i="11"/>
  <c r="D62" i="11"/>
  <c r="D56" i="11"/>
  <c r="D63" i="11"/>
  <c r="AC55" i="11"/>
  <c r="AC57" i="11"/>
  <c r="AC58" i="11"/>
  <c r="AC60" i="11"/>
  <c r="AC62" i="11"/>
  <c r="AC61" i="11"/>
  <c r="AC63" i="11"/>
  <c r="AC65" i="11"/>
  <c r="AC67" i="11"/>
  <c r="AC69" i="11"/>
  <c r="AC71" i="11"/>
  <c r="AC73" i="11"/>
  <c r="AC75" i="11"/>
  <c r="AC77" i="11"/>
  <c r="AC79" i="11"/>
  <c r="AC84" i="11"/>
  <c r="AC56" i="11"/>
  <c r="AC64" i="11"/>
  <c r="AC66" i="11"/>
  <c r="AC68" i="11"/>
  <c r="AC70" i="11"/>
  <c r="AC72" i="11"/>
  <c r="AC74" i="11"/>
  <c r="AC76" i="11"/>
  <c r="AC78" i="11"/>
  <c r="AC59" i="11"/>
  <c r="AC82" i="11"/>
  <c r="AC86" i="11"/>
  <c r="AC85" i="11"/>
  <c r="AE40" i="23"/>
  <c r="AY157" i="23" s="1"/>
  <c r="AC87" i="11"/>
  <c r="I31" i="23"/>
  <c r="AC83" i="11"/>
  <c r="AC50" i="11"/>
  <c r="AC49" i="11"/>
  <c r="AC48" i="11" s="1"/>
  <c r="AZ153" i="23"/>
  <c r="AM40" i="23"/>
  <c r="AG40" i="23"/>
  <c r="BB158" i="23" s="1"/>
  <c r="AM41" i="23"/>
  <c r="AC81" i="11"/>
  <c r="AC94" i="11"/>
  <c r="U55" i="11"/>
  <c r="U57" i="11"/>
  <c r="U58" i="11"/>
  <c r="U60" i="11"/>
  <c r="U56" i="11"/>
  <c r="U62" i="11"/>
  <c r="U75" i="11"/>
  <c r="U79" i="11"/>
  <c r="U83" i="11"/>
  <c r="U87" i="11"/>
  <c r="U59" i="11"/>
  <c r="U61" i="11"/>
  <c r="U63" i="11"/>
  <c r="U67" i="11"/>
  <c r="U69" i="11"/>
  <c r="U71" i="11"/>
  <c r="U76" i="11"/>
  <c r="U80" i="11"/>
  <c r="U84" i="11"/>
  <c r="U68" i="11"/>
  <c r="U70" i="11"/>
  <c r="U73" i="11"/>
  <c r="U77" i="11"/>
  <c r="U81" i="11"/>
  <c r="U85" i="11"/>
  <c r="U74" i="11"/>
  <c r="U78" i="11"/>
  <c r="U82" i="11"/>
  <c r="U86" i="11"/>
  <c r="AG30" i="23"/>
  <c r="BF91" i="23" s="1"/>
  <c r="U50" i="11"/>
  <c r="E47" i="23"/>
  <c r="U46" i="11"/>
  <c r="CI12" i="23"/>
  <c r="U49" i="11"/>
  <c r="AK30" i="23"/>
  <c r="BF84" i="23" s="1"/>
  <c r="U64" i="11"/>
  <c r="U94" i="11"/>
  <c r="AL30" i="23"/>
  <c r="U65" i="11"/>
  <c r="U66" i="11"/>
  <c r="M55" i="11"/>
  <c r="M57" i="11"/>
  <c r="M60" i="11"/>
  <c r="M58" i="11"/>
  <c r="M74" i="11"/>
  <c r="M78" i="11"/>
  <c r="M82" i="11"/>
  <c r="M86" i="11"/>
  <c r="M75" i="11"/>
  <c r="M79" i="11"/>
  <c r="M83" i="11"/>
  <c r="M87" i="11"/>
  <c r="M62" i="11"/>
  <c r="M69" i="11"/>
  <c r="M77" i="11"/>
  <c r="M85" i="11"/>
  <c r="M61" i="11"/>
  <c r="M63" i="11"/>
  <c r="M80" i="11"/>
  <c r="M73" i="11"/>
  <c r="M81" i="11"/>
  <c r="M56" i="11"/>
  <c r="M59" i="11"/>
  <c r="M68" i="11"/>
  <c r="M76" i="11"/>
  <c r="M84" i="11"/>
  <c r="AF22" i="23"/>
  <c r="AZ72" i="23" s="1"/>
  <c r="AD32" i="23"/>
  <c r="E11" i="23"/>
  <c r="AD12" i="23"/>
  <c r="M50" i="11"/>
  <c r="AE22" i="23"/>
  <c r="AU74" i="23" s="1"/>
  <c r="M46" i="11"/>
  <c r="M49" i="11"/>
  <c r="M48" i="11" s="1"/>
  <c r="CA12" i="23"/>
  <c r="AG22" i="23"/>
  <c r="AX72" i="23" s="1"/>
  <c r="M94" i="11"/>
  <c r="AH25" i="23"/>
  <c r="AU87" i="23" s="1"/>
  <c r="AJ30" i="23"/>
  <c r="AJ29" i="23"/>
  <c r="AJ28" i="23"/>
  <c r="AH24" i="23"/>
  <c r="AX87" i="23" s="1"/>
  <c r="AH23" i="23"/>
  <c r="M65" i="11"/>
  <c r="M66" i="11"/>
  <c r="M70" i="11"/>
  <c r="M67" i="11"/>
  <c r="M72" i="11"/>
  <c r="M71" i="11"/>
  <c r="E60" i="11"/>
  <c r="E64" i="11"/>
  <c r="E68" i="11"/>
  <c r="E72" i="11"/>
  <c r="E76" i="11"/>
  <c r="E80" i="11"/>
  <c r="E84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59" i="11"/>
  <c r="E75" i="11"/>
  <c r="E63" i="11"/>
  <c r="E79" i="11"/>
  <c r="E67" i="11"/>
  <c r="E83" i="11"/>
  <c r="E71" i="11"/>
  <c r="E87" i="11"/>
  <c r="C15" i="23"/>
  <c r="AE13" i="23"/>
  <c r="AS24" i="23" s="1"/>
  <c r="E50" i="11"/>
  <c r="E49" i="11"/>
  <c r="E48" i="11" s="1"/>
  <c r="AG13" i="23"/>
  <c r="BA27" i="23" s="1"/>
  <c r="AI13" i="23"/>
  <c r="E94" i="11"/>
  <c r="E55" i="11"/>
  <c r="C16" i="23" l="1"/>
  <c r="C17" i="23"/>
  <c r="AJ22" i="23"/>
  <c r="BD86" i="23"/>
  <c r="AT136" i="23"/>
  <c r="AC51" i="11"/>
  <c r="V31" i="23" s="1"/>
  <c r="P31" i="23"/>
  <c r="P32" i="23" s="1"/>
  <c r="P33" i="23" s="1"/>
  <c r="AH12" i="23"/>
  <c r="BA23" i="23"/>
  <c r="N65" i="11"/>
  <c r="N92" i="11"/>
  <c r="AC80" i="11"/>
  <c r="AC92" i="11" s="1"/>
  <c r="AC95" i="11" s="1"/>
  <c r="AE82" i="11"/>
  <c r="AE92" i="11"/>
  <c r="AJ87" i="11"/>
  <c r="AJ92" i="11" s="1"/>
  <c r="AJ95" i="11" s="1"/>
  <c r="T71" i="11"/>
  <c r="T92" i="11"/>
  <c r="BF86" i="23"/>
  <c r="AC93" i="11"/>
  <c r="F57" i="11"/>
  <c r="F92" i="11" s="1"/>
  <c r="F95" i="11" s="1"/>
  <c r="AZ8" i="23"/>
  <c r="Y76" i="11"/>
  <c r="Y92" i="11" s="1"/>
  <c r="Y95" i="11" s="1"/>
  <c r="AD81" i="11"/>
  <c r="AD92" i="11" s="1"/>
  <c r="AD95" i="11" s="1"/>
  <c r="W74" i="11"/>
  <c r="W92" i="11" s="1"/>
  <c r="W95" i="11" s="1"/>
  <c r="Z77" i="11"/>
  <c r="Z92" i="11"/>
  <c r="AF83" i="11"/>
  <c r="AF92" i="11" s="1"/>
  <c r="AF95" i="11" s="1"/>
  <c r="AH44" i="23"/>
  <c r="BG147" i="23"/>
  <c r="AF93" i="11"/>
  <c r="I37" i="23"/>
  <c r="I36" i="23"/>
  <c r="BA175" i="23"/>
  <c r="AJ51" i="11"/>
  <c r="W47" i="23" s="1"/>
  <c r="Q47" i="23"/>
  <c r="Q49" i="23"/>
  <c r="Q48" i="23" s="1"/>
  <c r="AF48" i="23"/>
  <c r="BJ164" i="23" s="1"/>
  <c r="AJ93" i="11"/>
  <c r="G49" i="23"/>
  <c r="AZ176" i="23"/>
  <c r="G48" i="23"/>
  <c r="AI12" i="23"/>
  <c r="BA21" i="23"/>
  <c r="AS9" i="23"/>
  <c r="U48" i="11"/>
  <c r="U51" i="11"/>
  <c r="T47" i="23" s="1"/>
  <c r="N47" i="23"/>
  <c r="AZ124" i="23" s="1"/>
  <c r="N49" i="23"/>
  <c r="N48" i="23" s="1"/>
  <c r="AF30" i="23"/>
  <c r="BF111" i="23" s="1"/>
  <c r="BA174" i="23"/>
  <c r="I33" i="23"/>
  <c r="I32" i="23"/>
  <c r="L63" i="11"/>
  <c r="L92" i="11"/>
  <c r="G58" i="11"/>
  <c r="G92" i="11" s="1"/>
  <c r="G95" i="11" s="1"/>
  <c r="AJ12" i="23"/>
  <c r="BD22" i="23"/>
  <c r="C94" i="11"/>
  <c r="C46" i="11"/>
  <c r="M11" i="23"/>
  <c r="D51" i="11"/>
  <c r="S11" i="23" s="1"/>
  <c r="S70" i="11"/>
  <c r="S92" i="11" s="1"/>
  <c r="S95" i="11" s="1"/>
  <c r="I60" i="11"/>
  <c r="I92" i="11" s="1"/>
  <c r="I95" i="11" s="1"/>
  <c r="R69" i="11"/>
  <c r="R92" i="11" s="1"/>
  <c r="R95" i="11" s="1"/>
  <c r="V73" i="11"/>
  <c r="V92" i="11" s="1"/>
  <c r="V95" i="11" s="1"/>
  <c r="U72" i="11"/>
  <c r="U92" i="11"/>
  <c r="AB79" i="11"/>
  <c r="AB92" i="11"/>
  <c r="H59" i="11"/>
  <c r="H92" i="11" s="1"/>
  <c r="H95" i="11" s="1"/>
  <c r="AJ44" i="23"/>
  <c r="BJ146" i="23"/>
  <c r="Q11" i="23"/>
  <c r="AF51" i="11"/>
  <c r="W11" i="23" s="1"/>
  <c r="AF41" i="23"/>
  <c r="BB164" i="23" s="1"/>
  <c r="AD51" i="11"/>
  <c r="V35" i="23" s="1"/>
  <c r="P35" i="23"/>
  <c r="P37" i="23"/>
  <c r="P36" i="23" s="1"/>
  <c r="C28" i="23"/>
  <c r="C29" i="23"/>
  <c r="AY98" i="23"/>
  <c r="E21" i="23"/>
  <c r="E20" i="23"/>
  <c r="BF147" i="23"/>
  <c r="AO45" i="23"/>
  <c r="AO34" i="23"/>
  <c r="AT157" i="23"/>
  <c r="I48" i="23"/>
  <c r="I49" i="23"/>
  <c r="BA176" i="23"/>
  <c r="H48" i="11"/>
  <c r="F48" i="11"/>
  <c r="AO13" i="23"/>
  <c r="L93" i="11"/>
  <c r="C48" i="23"/>
  <c r="C49" i="23"/>
  <c r="R48" i="11"/>
  <c r="R93" i="11"/>
  <c r="G36" i="23"/>
  <c r="AZ175" i="23"/>
  <c r="G37" i="23"/>
  <c r="Y93" i="11"/>
  <c r="AG51" i="11"/>
  <c r="W27" i="23" s="1"/>
  <c r="Q27" i="23"/>
  <c r="Q28" i="23" s="1"/>
  <c r="Q29" i="23" s="1"/>
  <c r="AU106" i="23"/>
  <c r="P51" i="11"/>
  <c r="T27" i="23" s="1"/>
  <c r="N27" i="23"/>
  <c r="AI22" i="23"/>
  <c r="BA85" i="23"/>
  <c r="N51" i="11"/>
  <c r="T15" i="23" s="1"/>
  <c r="N15" i="23"/>
  <c r="N93" i="11"/>
  <c r="E44" i="23"/>
  <c r="E45" i="23"/>
  <c r="AL13" i="23"/>
  <c r="BB23" i="23" s="1"/>
  <c r="AL14" i="23"/>
  <c r="AY23" i="23" s="1"/>
  <c r="K51" i="11"/>
  <c r="S43" i="23" s="1"/>
  <c r="M45" i="23"/>
  <c r="M44" i="23" s="1"/>
  <c r="M43" i="23"/>
  <c r="AZ58" i="23" s="1"/>
  <c r="AF19" i="23"/>
  <c r="BH47" i="23" s="1"/>
  <c r="E41" i="23"/>
  <c r="E40" i="23"/>
  <c r="I51" i="23"/>
  <c r="J35" i="23" s="1"/>
  <c r="BB162" i="23" s="1"/>
  <c r="BA172" i="23"/>
  <c r="I12" i="23"/>
  <c r="I13" i="23"/>
  <c r="J13" i="23" s="1"/>
  <c r="V51" i="11"/>
  <c r="U11" i="23" s="1"/>
  <c r="O11" i="23"/>
  <c r="AO40" i="23"/>
  <c r="AZ157" i="23"/>
  <c r="AB93" i="11"/>
  <c r="X48" i="11"/>
  <c r="AZ174" i="23"/>
  <c r="G32" i="23"/>
  <c r="G33" i="23"/>
  <c r="E51" i="23"/>
  <c r="F43" i="23" s="1"/>
  <c r="BH96" i="23" s="1"/>
  <c r="E12" i="23"/>
  <c r="E13" i="23"/>
  <c r="AO41" i="23"/>
  <c r="AZ161" i="23"/>
  <c r="E56" i="11"/>
  <c r="E92" i="11"/>
  <c r="J61" i="11"/>
  <c r="J93" i="11" s="1"/>
  <c r="J92" i="11"/>
  <c r="AX8" i="23"/>
  <c r="AG49" i="23"/>
  <c r="G11" i="20"/>
  <c r="G8" i="20"/>
  <c r="F11" i="20"/>
  <c r="G10" i="20" s="1"/>
  <c r="AS73" i="23"/>
  <c r="AI86" i="11"/>
  <c r="AI92" i="11" s="1"/>
  <c r="AI95" i="11" s="1"/>
  <c r="AH85" i="11"/>
  <c r="AH92" i="11" s="1"/>
  <c r="AH95" i="11" s="1"/>
  <c r="M64" i="11"/>
  <c r="M93" i="11" s="1"/>
  <c r="Q68" i="11"/>
  <c r="Q92" i="11" s="1"/>
  <c r="Q95" i="11" s="1"/>
  <c r="O92" i="11"/>
  <c r="O66" i="11"/>
  <c r="X75" i="11"/>
  <c r="X92" i="11" s="1"/>
  <c r="X95" i="11" s="1"/>
  <c r="K51" i="23"/>
  <c r="L11" i="23" s="1"/>
  <c r="BH142" i="23" s="1"/>
  <c r="BB172" i="23"/>
  <c r="K13" i="23"/>
  <c r="K12" i="23"/>
  <c r="L12" i="23" s="1"/>
  <c r="K49" i="23"/>
  <c r="K48" i="23"/>
  <c r="L48" i="23" s="1"/>
  <c r="BB176" i="23"/>
  <c r="O47" i="23"/>
  <c r="O49" i="23"/>
  <c r="O48" i="23" s="1"/>
  <c r="Z51" i="11"/>
  <c r="U47" i="23" s="1"/>
  <c r="AF36" i="23"/>
  <c r="AX164" i="23" s="1"/>
  <c r="Z93" i="11"/>
  <c r="AU90" i="23"/>
  <c r="AO25" i="23"/>
  <c r="AE51" i="11"/>
  <c r="V47" i="23" s="1"/>
  <c r="P47" i="23"/>
  <c r="P49" i="23"/>
  <c r="P48" i="23" s="1"/>
  <c r="AF42" i="23"/>
  <c r="BD164" i="23" s="1"/>
  <c r="AE93" i="11"/>
  <c r="F93" i="11"/>
  <c r="AY34" i="23"/>
  <c r="F51" i="11"/>
  <c r="S19" i="23" s="1"/>
  <c r="AE14" i="23"/>
  <c r="AS25" i="23" s="1"/>
  <c r="M19" i="23"/>
  <c r="E36" i="23"/>
  <c r="F36" i="23" s="1"/>
  <c r="E37" i="23"/>
  <c r="F37" i="23" s="1"/>
  <c r="F35" i="23"/>
  <c r="AV107" i="23" s="1"/>
  <c r="AF17" i="23"/>
  <c r="AV47" i="23" s="1"/>
  <c r="I51" i="11"/>
  <c r="S35" i="23" s="1"/>
  <c r="M37" i="23"/>
  <c r="M36" i="23" s="1"/>
  <c r="M35" i="23"/>
  <c r="AZ56" i="23" s="1"/>
  <c r="E24" i="23"/>
  <c r="F24" i="23" s="1"/>
  <c r="E25" i="23"/>
  <c r="F25" i="23" s="1"/>
  <c r="F23" i="23"/>
  <c r="AY101" i="23" s="1"/>
  <c r="F27" i="23"/>
  <c r="AV101" i="23" s="1"/>
  <c r="E28" i="23"/>
  <c r="F28" i="23" s="1"/>
  <c r="E29" i="23"/>
  <c r="F29" i="23" s="1"/>
  <c r="F15" i="23"/>
  <c r="BB91" i="23" s="1"/>
  <c r="E16" i="23"/>
  <c r="F16" i="23" s="1"/>
  <c r="E17" i="23"/>
  <c r="F17" i="23" s="1"/>
  <c r="N43" i="23"/>
  <c r="AZ123" i="23" s="1"/>
  <c r="N45" i="23"/>
  <c r="N44" i="23" s="1"/>
  <c r="T51" i="11"/>
  <c r="T43" i="23" s="1"/>
  <c r="AF29" i="23"/>
  <c r="BH111" i="23" s="1"/>
  <c r="T93" i="11"/>
  <c r="AL23" i="23"/>
  <c r="BB87" i="23" s="1"/>
  <c r="AL24" i="23"/>
  <c r="S51" i="11"/>
  <c r="T39" i="23" s="1"/>
  <c r="N41" i="23"/>
  <c r="N40" i="23" s="1"/>
  <c r="N39" i="23"/>
  <c r="AZ122" i="23" s="1"/>
  <c r="AF28" i="23"/>
  <c r="BD111" i="23" s="1"/>
  <c r="S93" i="11"/>
  <c r="AH38" i="23"/>
  <c r="BA147" i="23"/>
  <c r="L35" i="23"/>
  <c r="BH162" i="23" s="1"/>
  <c r="K36" i="23"/>
  <c r="L36" i="23" s="1"/>
  <c r="K37" i="23"/>
  <c r="L37" i="23" s="1"/>
  <c r="BB175" i="23"/>
  <c r="V93" i="11"/>
  <c r="AB51" i="11"/>
  <c r="V27" i="23" s="1"/>
  <c r="P27" i="23"/>
  <c r="P28" i="23" s="1"/>
  <c r="P29" i="23" s="1"/>
  <c r="AH51" i="11"/>
  <c r="W31" i="23" s="1"/>
  <c r="Q31" i="23"/>
  <c r="Q32" i="23" s="1"/>
  <c r="Q33" i="23" s="1"/>
  <c r="D55" i="11"/>
  <c r="E93" i="11"/>
  <c r="U93" i="11"/>
  <c r="K62" i="11"/>
  <c r="K92" i="11" s="1"/>
  <c r="K95" i="11" s="1"/>
  <c r="AD93" i="11"/>
  <c r="G93" i="11"/>
  <c r="AO17" i="23"/>
  <c r="AU42" i="23"/>
  <c r="G51" i="11"/>
  <c r="S27" i="23" s="1"/>
  <c r="M27" i="23"/>
  <c r="AO23" i="23"/>
  <c r="AZ173" i="23"/>
  <c r="H27" i="23"/>
  <c r="AV150" i="23" s="1"/>
  <c r="G28" i="23"/>
  <c r="H28" i="23" s="1"/>
  <c r="G29" i="23"/>
  <c r="H29" i="23" s="1"/>
  <c r="AF16" i="23"/>
  <c r="AX47" i="23" s="1"/>
  <c r="H51" i="11"/>
  <c r="S23" i="23" s="1"/>
  <c r="M25" i="23"/>
  <c r="M24" i="23" s="1"/>
  <c r="M23" i="23"/>
  <c r="AZ55" i="23" s="1"/>
  <c r="H93" i="11"/>
  <c r="C20" i="23"/>
  <c r="C21" i="23"/>
  <c r="M47" i="23"/>
  <c r="AZ59" i="23" s="1"/>
  <c r="L51" i="11"/>
  <c r="S47" i="23" s="1"/>
  <c r="M49" i="23"/>
  <c r="M48" i="23" s="1"/>
  <c r="AF20" i="23"/>
  <c r="BF47" i="23" s="1"/>
  <c r="AF27" i="23"/>
  <c r="AV111" i="23" s="1"/>
  <c r="R51" i="11"/>
  <c r="T35" i="23" s="1"/>
  <c r="N37" i="23"/>
  <c r="N36" i="23" s="1"/>
  <c r="N35" i="23"/>
  <c r="AZ121" i="23" s="1"/>
  <c r="C36" i="23"/>
  <c r="C37" i="23"/>
  <c r="I93" i="11"/>
  <c r="AF35" i="23"/>
  <c r="AV164" i="23" s="1"/>
  <c r="O35" i="23"/>
  <c r="Y51" i="11"/>
  <c r="U35" i="23" s="1"/>
  <c r="O37" i="23"/>
  <c r="O36" i="23" s="1"/>
  <c r="BB173" i="23"/>
  <c r="L27" i="23"/>
  <c r="BH150" i="23" s="1"/>
  <c r="K28" i="23"/>
  <c r="L28" i="23" s="1"/>
  <c r="K29" i="23"/>
  <c r="L29" i="23" s="1"/>
  <c r="AO46" i="23"/>
  <c r="BF157" i="23"/>
  <c r="AT147" i="23"/>
  <c r="AO33" i="23"/>
  <c r="AX89" i="23"/>
  <c r="AO24" i="23"/>
  <c r="AK12" i="23"/>
  <c r="AO12" i="23" s="1"/>
  <c r="BD20" i="23"/>
  <c r="J51" i="11"/>
  <c r="S39" i="23" s="1"/>
  <c r="M41" i="23"/>
  <c r="M40" i="23" s="1"/>
  <c r="M39" i="23"/>
  <c r="AZ57" i="23" s="1"/>
  <c r="AF18" i="23"/>
  <c r="BD47" i="23" s="1"/>
  <c r="AJ38" i="23"/>
  <c r="AO38" i="23" s="1"/>
  <c r="BD146" i="23"/>
  <c r="BD151" i="23"/>
  <c r="AO42" i="23"/>
  <c r="AF47" i="23"/>
  <c r="BH164" i="23" s="1"/>
  <c r="Q35" i="23"/>
  <c r="AI51" i="11"/>
  <c r="W35" i="23" s="1"/>
  <c r="Q37" i="23"/>
  <c r="Q36" i="23" s="1"/>
  <c r="AI93" i="11"/>
  <c r="AH32" i="23"/>
  <c r="AO32" i="23" s="1"/>
  <c r="AU147" i="23"/>
  <c r="G51" i="23"/>
  <c r="H11" i="23"/>
  <c r="AV142" i="23" s="1"/>
  <c r="AZ172" i="23"/>
  <c r="G12" i="23"/>
  <c r="H12" i="23" s="1"/>
  <c r="G13" i="23"/>
  <c r="H13" i="23" s="1"/>
  <c r="BF136" i="23"/>
  <c r="AO44" i="23"/>
  <c r="L31" i="23"/>
  <c r="BH156" i="23" s="1"/>
  <c r="BB174" i="23"/>
  <c r="K33" i="23"/>
  <c r="L33" i="23" s="1"/>
  <c r="K32" i="23"/>
  <c r="L32" i="23" s="1"/>
  <c r="AH93" i="11"/>
  <c r="O31" i="23"/>
  <c r="O32" i="23" s="1"/>
  <c r="O33" i="23" s="1"/>
  <c r="X51" i="11"/>
  <c r="U31" i="23" s="1"/>
  <c r="BH86" i="23"/>
  <c r="BF22" i="23"/>
  <c r="C51" i="23"/>
  <c r="D51" i="23" s="1"/>
  <c r="C12" i="23"/>
  <c r="C13" i="23"/>
  <c r="D13" i="23" s="1"/>
  <c r="AG84" i="11"/>
  <c r="AG92" i="11" s="1"/>
  <c r="M15" i="23"/>
  <c r="AD14" i="23"/>
  <c r="E51" i="11"/>
  <c r="S15" i="23" s="1"/>
  <c r="AH22" i="23"/>
  <c r="BA87" i="23"/>
  <c r="N11" i="23"/>
  <c r="M51" i="11"/>
  <c r="T11" i="23" s="1"/>
  <c r="E49" i="23"/>
  <c r="F49" i="23" s="1"/>
  <c r="E48" i="23"/>
  <c r="F48" i="23" s="1"/>
  <c r="F47" i="23"/>
  <c r="BF96" i="23" s="1"/>
  <c r="BH22" i="23"/>
  <c r="BF21" i="23"/>
  <c r="C49" i="11"/>
  <c r="D48" i="11"/>
  <c r="C48" i="11" s="1"/>
  <c r="AA78" i="11"/>
  <c r="AA93" i="11" s="1"/>
  <c r="P67" i="11"/>
  <c r="P93" i="11" s="1"/>
  <c r="P92" i="11"/>
  <c r="N19" i="23"/>
  <c r="O51" i="11"/>
  <c r="T19" i="23" s="1"/>
  <c r="O93" i="11"/>
  <c r="W51" i="11"/>
  <c r="U27" i="23" s="1"/>
  <c r="O27" i="23"/>
  <c r="O28" i="23" s="1"/>
  <c r="O29" i="23" s="1"/>
  <c r="AZ147" i="23"/>
  <c r="AO39" i="23"/>
  <c r="W93" i="11"/>
  <c r="C24" i="23"/>
  <c r="D24" i="23" s="1"/>
  <c r="C25" i="23"/>
  <c r="D23" i="23"/>
  <c r="AY37" i="23" s="1"/>
  <c r="AU26" i="23"/>
  <c r="AO15" i="23"/>
  <c r="AF26" i="23"/>
  <c r="AX111" i="23" s="1"/>
  <c r="N23" i="23"/>
  <c r="AZ120" i="23" s="1"/>
  <c r="Q51" i="11"/>
  <c r="T23" i="23" s="1"/>
  <c r="N25" i="23"/>
  <c r="N24" i="23" s="1"/>
  <c r="Q93" i="11"/>
  <c r="C40" i="23"/>
  <c r="D40" i="23" s="1"/>
  <c r="C41" i="23"/>
  <c r="D41" i="23" s="1"/>
  <c r="D39" i="23"/>
  <c r="BD31" i="23" s="1"/>
  <c r="K93" i="11"/>
  <c r="C44" i="23"/>
  <c r="D44" i="23" s="1"/>
  <c r="D43" i="23"/>
  <c r="BF31" i="23" s="1"/>
  <c r="C45" i="23"/>
  <c r="D45" i="23" s="1"/>
  <c r="AK22" i="23"/>
  <c r="AO22" i="23" s="1"/>
  <c r="BD84" i="23"/>
  <c r="AA51" i="11"/>
  <c r="V11" i="23" s="1"/>
  <c r="P11" i="23"/>
  <c r="AJ32" i="23"/>
  <c r="AX146" i="23"/>
  <c r="AO36" i="23"/>
  <c r="AZ136" i="23"/>
  <c r="J27" i="23"/>
  <c r="BB150" i="23" s="1"/>
  <c r="BA173" i="23"/>
  <c r="I28" i="23"/>
  <c r="J28" i="23" s="1"/>
  <c r="I29" i="23"/>
  <c r="J29" i="23" s="1"/>
  <c r="AO47" i="23"/>
  <c r="AO48" i="23" s="1"/>
  <c r="BF161" i="23"/>
  <c r="AO35" i="23"/>
  <c r="AT161" i="23"/>
  <c r="X93" i="11"/>
  <c r="T51" i="23" l="1"/>
  <c r="T13" i="23"/>
  <c r="T12" i="23"/>
  <c r="S16" i="23"/>
  <c r="S17" i="23"/>
  <c r="AG93" i="11"/>
  <c r="AG95" i="11" s="1"/>
  <c r="U37" i="23"/>
  <c r="U36" i="23"/>
  <c r="D35" i="23"/>
  <c r="AV43" i="23" s="1"/>
  <c r="D20" i="23"/>
  <c r="M28" i="23"/>
  <c r="M29" i="23" s="1"/>
  <c r="AZ54" i="23"/>
  <c r="W32" i="23"/>
  <c r="W33" i="23"/>
  <c r="L49" i="23"/>
  <c r="M92" i="11"/>
  <c r="M95" i="11" s="1"/>
  <c r="F13" i="23"/>
  <c r="H33" i="23"/>
  <c r="O13" i="23"/>
  <c r="O12" i="23"/>
  <c r="J12" i="23"/>
  <c r="F40" i="23"/>
  <c r="F44" i="23"/>
  <c r="H36" i="23"/>
  <c r="D49" i="23"/>
  <c r="J49" i="23"/>
  <c r="F19" i="23"/>
  <c r="AY94" i="23" s="1"/>
  <c r="D28" i="23"/>
  <c r="V37" i="23"/>
  <c r="V36" i="23"/>
  <c r="J32" i="23"/>
  <c r="H49" i="23"/>
  <c r="J36" i="23"/>
  <c r="V13" i="23"/>
  <c r="V12" i="23"/>
  <c r="V51" i="23"/>
  <c r="AX25" i="23"/>
  <c r="AO14" i="23"/>
  <c r="AO49" i="23" s="1"/>
  <c r="S41" i="23"/>
  <c r="S40" i="23"/>
  <c r="T37" i="23"/>
  <c r="T36" i="23"/>
  <c r="S49" i="23"/>
  <c r="S48" i="23"/>
  <c r="D19" i="23"/>
  <c r="AY30" i="23" s="1"/>
  <c r="S28" i="23"/>
  <c r="S29" i="23"/>
  <c r="S21" i="23"/>
  <c r="S20" i="23"/>
  <c r="V49" i="23"/>
  <c r="V48" i="23"/>
  <c r="L51" i="23"/>
  <c r="O95" i="11"/>
  <c r="J95" i="11"/>
  <c r="F12" i="23"/>
  <c r="H32" i="23"/>
  <c r="U13" i="23"/>
  <c r="U51" i="23"/>
  <c r="U12" i="23"/>
  <c r="F39" i="23"/>
  <c r="BD96" i="23" s="1"/>
  <c r="AO27" i="23"/>
  <c r="H37" i="23"/>
  <c r="D48" i="23"/>
  <c r="J48" i="23"/>
  <c r="D27" i="23"/>
  <c r="AV37" i="23" s="1"/>
  <c r="AB95" i="11"/>
  <c r="S12" i="23"/>
  <c r="S51" i="23"/>
  <c r="S13" i="23"/>
  <c r="AO18" i="23"/>
  <c r="AO19" i="23" s="1"/>
  <c r="AO20" i="23" s="1"/>
  <c r="J33" i="23"/>
  <c r="H48" i="23"/>
  <c r="W48" i="23"/>
  <c r="W49" i="23"/>
  <c r="J37" i="23"/>
  <c r="D17" i="23"/>
  <c r="T25" i="23"/>
  <c r="T24" i="23"/>
  <c r="P95" i="11"/>
  <c r="AZ116" i="23"/>
  <c r="N12" i="23"/>
  <c r="N13" i="23"/>
  <c r="U33" i="23"/>
  <c r="U32" i="23"/>
  <c r="D37" i="23"/>
  <c r="S25" i="23"/>
  <c r="S24" i="23"/>
  <c r="D25" i="23"/>
  <c r="T20" i="23"/>
  <c r="T21" i="23"/>
  <c r="AA92" i="11"/>
  <c r="AA95" i="11" s="1"/>
  <c r="AZ52" i="23"/>
  <c r="M16" i="23"/>
  <c r="M17" i="23" s="1"/>
  <c r="D12" i="23"/>
  <c r="H51" i="23"/>
  <c r="D36" i="23"/>
  <c r="D92" i="11"/>
  <c r="D93" i="11"/>
  <c r="C93" i="11" s="1"/>
  <c r="V29" i="23"/>
  <c r="V28" i="23"/>
  <c r="T41" i="23"/>
  <c r="T40" i="23"/>
  <c r="S36" i="23"/>
  <c r="S37" i="23"/>
  <c r="U49" i="23"/>
  <c r="U48" i="23"/>
  <c r="L47" i="23"/>
  <c r="BJ155" i="23" s="1"/>
  <c r="L13" i="23"/>
  <c r="F11" i="23"/>
  <c r="AY75" i="23" s="1"/>
  <c r="H31" i="23"/>
  <c r="AV156" i="23" s="1"/>
  <c r="J11" i="23"/>
  <c r="BB142" i="23" s="1"/>
  <c r="F41" i="23"/>
  <c r="S44" i="23"/>
  <c r="S45" i="23"/>
  <c r="AZ117" i="23"/>
  <c r="N16" i="23"/>
  <c r="N17" i="23" s="1"/>
  <c r="AZ119" i="23"/>
  <c r="N28" i="23"/>
  <c r="N29" i="23" s="1"/>
  <c r="J47" i="23"/>
  <c r="BD155" i="23" s="1"/>
  <c r="F20" i="23"/>
  <c r="AO26" i="23"/>
  <c r="W13" i="23"/>
  <c r="W12" i="23"/>
  <c r="W51" i="23"/>
  <c r="AZ51" i="23"/>
  <c r="M13" i="23"/>
  <c r="M12" i="23"/>
  <c r="L95" i="11"/>
  <c r="H47" i="23"/>
  <c r="AX155" i="23" s="1"/>
  <c r="T95" i="11"/>
  <c r="AE95" i="11"/>
  <c r="N95" i="11"/>
  <c r="AO28" i="23"/>
  <c r="AO29" i="23" s="1"/>
  <c r="AO30" i="23" s="1"/>
  <c r="D16" i="23"/>
  <c r="U29" i="23"/>
  <c r="U28" i="23"/>
  <c r="P13" i="23"/>
  <c r="P12" i="23"/>
  <c r="N20" i="23"/>
  <c r="N21" i="23" s="1"/>
  <c r="AZ118" i="23"/>
  <c r="D11" i="23"/>
  <c r="AY11" i="23" s="1"/>
  <c r="W37" i="23"/>
  <c r="W36" i="23"/>
  <c r="D21" i="23"/>
  <c r="AY87" i="23"/>
  <c r="AX85" i="23"/>
  <c r="T44" i="23"/>
  <c r="T45" i="23"/>
  <c r="M20" i="23"/>
  <c r="M21" i="23" s="1"/>
  <c r="AZ53" i="23"/>
  <c r="AO16" i="23"/>
  <c r="E95" i="11"/>
  <c r="F51" i="23"/>
  <c r="J51" i="23"/>
  <c r="F45" i="23"/>
  <c r="T17" i="23"/>
  <c r="T16" i="23"/>
  <c r="T29" i="23"/>
  <c r="T28" i="23"/>
  <c r="W29" i="23"/>
  <c r="W28" i="23"/>
  <c r="H35" i="23"/>
  <c r="AV162" i="23" s="1"/>
  <c r="D47" i="23"/>
  <c r="BH31" i="23" s="1"/>
  <c r="F21" i="23"/>
  <c r="D29" i="23"/>
  <c r="Q13" i="23"/>
  <c r="Q12" i="23"/>
  <c r="U95" i="11"/>
  <c r="J31" i="23"/>
  <c r="BB156" i="23" s="1"/>
  <c r="T49" i="23"/>
  <c r="T48" i="23"/>
  <c r="Z95" i="11"/>
  <c r="AF49" i="23"/>
  <c r="V32" i="23"/>
  <c r="V33" i="23"/>
  <c r="D15" i="23"/>
  <c r="BB27" i="23" s="1"/>
  <c r="C92" i="11" l="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<sst xmlns="http://schemas.openxmlformats.org/spreadsheetml/2006/main" count="14979" uniqueCount="4054">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</sst>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4" zoomScaleNormal="100" workbookViewId="0">
      <selection activeCell="J6" sqref="J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7.4174512499999997E-5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0.48689495762675244</v>
      </c>
      <c r="AY8" s="75"/>
      <c r="AZ8" s="295">
        <f>output!AF12</f>
        <v>2.6758050465633207E-6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2.8088504117678521E-4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6.8808857720637495E-2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7304.438968957742</v>
      </c>
      <c r="D11" s="117">
        <f>C11/$C$51</f>
        <v>3.5982282958211355E-4</v>
      </c>
      <c r="E11" s="517">
        <f>M.aC*Molweight</f>
        <v>935.06811529338802</v>
      </c>
      <c r="F11" s="117">
        <f>E11/$E$51</f>
        <v>2.2888822565370272E-3</v>
      </c>
      <c r="G11" s="517">
        <f>M.aM*Molweight</f>
        <v>20.437535427424013</v>
      </c>
      <c r="H11" s="117">
        <f>G11/$G$51</f>
        <v>3.1920384074400333E-4</v>
      </c>
      <c r="I11" s="517">
        <f>M.aA*Molweight</f>
        <v>0.47487084001882962</v>
      </c>
      <c r="J11" s="117">
        <f>I11/$I$51</f>
        <v>1.2908985043957266E-5</v>
      </c>
      <c r="K11" s="517">
        <f>M.aT*Molweight</f>
        <v>0.17240000254039523</v>
      </c>
      <c r="L11" s="118">
        <f>K11/$K$51</f>
        <v>3.0462153283941065E-4</v>
      </c>
      <c r="M11" s="320">
        <f>C.aR*(Molweight*1000)</f>
        <v>3.1817915968801421E-8</v>
      </c>
      <c r="N11" s="320">
        <f>C.aC*(Molweight*1000)</f>
        <v>1.2988410116239719E-10</v>
      </c>
      <c r="O11" s="320">
        <f>C.aM*(Molweight*1000)</f>
        <v>2.6346815179843871E-13</v>
      </c>
      <c r="P11" s="320">
        <f>C.aA*(Molweight*1000)</f>
        <v>1.1173431529854815E-14</v>
      </c>
      <c r="Q11" s="321">
        <f>C.aT*(Molweight*1000)</f>
        <v>1.3521568826697665E-15</v>
      </c>
      <c r="R11" s="119" t="s">
        <v>1493</v>
      </c>
      <c r="S11" s="323">
        <f>F.aR</f>
        <v>2.7972778906543219E-7</v>
      </c>
      <c r="T11" s="323">
        <f>F.aC</f>
        <v>1.1418784463612665E-9</v>
      </c>
      <c r="U11" s="323">
        <f>F.aM</f>
        <v>2.316285066061452E-12</v>
      </c>
      <c r="V11" s="323">
        <f>F.aA</f>
        <v>9.0648650420796242E-14</v>
      </c>
      <c r="W11" s="324">
        <f>F.aT</f>
        <v>1.2429749302871397E-14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3.5982282958211355E-4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7295.6156291840407</v>
      </c>
      <c r="D12" s="122">
        <f>C12/$C$51</f>
        <v>3.5938818441672439E-4</v>
      </c>
      <c r="E12" s="318">
        <f>FRgas.aC*E11</f>
        <v>933.93860709599596</v>
      </c>
      <c r="F12" s="122">
        <f>E12/$E$51</f>
        <v>2.2861174191638558E-3</v>
      </c>
      <c r="G12" s="318">
        <f>FRgas.aM*G11</f>
        <v>20.412848066768451</v>
      </c>
      <c r="H12" s="122">
        <f>G12/$G$51</f>
        <v>3.1881826096766134E-4</v>
      </c>
      <c r="I12" s="318">
        <f>FRgas.aA*I11</f>
        <v>0.47419114476355989</v>
      </c>
      <c r="J12" s="122">
        <f>I12/$I$51</f>
        <v>1.2890508070546186E-5</v>
      </c>
      <c r="K12" s="318">
        <f>FRgas.aT*K11</f>
        <v>0.17219430914836995</v>
      </c>
      <c r="L12" s="123">
        <f>K12/$K$51</f>
        <v>3.0425808367786559E-4</v>
      </c>
      <c r="M12" s="320">
        <f>FRgas.aR*M11</f>
        <v>3.1779481766711858E-8</v>
      </c>
      <c r="N12" s="320">
        <f>FRgas.aC*N11</f>
        <v>1.2972720868090369E-10</v>
      </c>
      <c r="O12" s="320">
        <f>FRgas.aM*O11</f>
        <v>2.6314989751049876E-13</v>
      </c>
      <c r="P12" s="320">
        <f>FRgas.aA*P11</f>
        <v>1.1157438700319057E-14</v>
      </c>
      <c r="Q12" s="320">
        <f>FRgas.aT*Q11</f>
        <v>1.350543601163686E-15</v>
      </c>
      <c r="R12" s="120" t="s">
        <v>1493</v>
      </c>
      <c r="S12" s="325">
        <f>S11*FRgas.aR</f>
        <v>2.7938989407615795E-7</v>
      </c>
      <c r="T12" s="325">
        <f>T11*FRgas.aC</f>
        <v>1.1404991232461952E-9</v>
      </c>
      <c r="U12" s="325">
        <f>U11*FRgas.aM</f>
        <v>2.3134871276793992E-12</v>
      </c>
      <c r="V12" s="325">
        <f>V11*FRgas.aA</f>
        <v>9.0518902598029997E-14</v>
      </c>
      <c r="W12" s="326">
        <f>W11*FRgas.aT</f>
        <v>1.2414919156360625E-14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2.8088504117678521E-4</v>
      </c>
      <c r="AE12" s="325">
        <f>k.aR.aC*M.aR*Molweight</f>
        <v>6.8808857720637495E-2</v>
      </c>
      <c r="AF12" s="325">
        <f>kesc.aR*M.aR*Molweight</f>
        <v>2.6758050465633207E-6</v>
      </c>
      <c r="AG12" s="326">
        <f>KDEG.aR*M.aR*Molweight</f>
        <v>0.48689495762675244</v>
      </c>
      <c r="AH12" s="325">
        <f>SUM(AH13:AH15)</f>
        <v>1.8254051184433599E-3</v>
      </c>
      <c r="AI12" s="325">
        <f>SUM(AI13:AI15)</f>
        <v>0.10583429445195659</v>
      </c>
      <c r="AJ12" s="325">
        <f>SUM(AJ18:AJ20)</f>
        <v>5.3018611662688994E-2</v>
      </c>
      <c r="AK12" s="325">
        <f>SUM(AK18:AK20)</f>
        <v>0.18733740860278955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27101.658388831042</v>
      </c>
      <c r="BS12" s="425"/>
      <c r="BT12" s="425">
        <f>engine!F45</f>
        <v>607902.96759892663</v>
      </c>
      <c r="BU12" s="425">
        <f>engine!G45</f>
        <v>21110.904551411273</v>
      </c>
      <c r="BV12" s="425">
        <f>engine!H45</f>
        <v>58240314.0653878</v>
      </c>
      <c r="BW12" s="425">
        <f>engine!I45</f>
        <v>1009695.6382741656</v>
      </c>
      <c r="BX12" s="425">
        <f>engine!J45</f>
        <v>867453.34440288111</v>
      </c>
      <c r="BY12" s="425">
        <f>engine!K45</f>
        <v>14388465.479509817</v>
      </c>
      <c r="BZ12" s="425">
        <f>engine!L45</f>
        <v>138665.34325185866</v>
      </c>
      <c r="CA12" s="425">
        <f>engine!M45</f>
        <v>3469.3830338876078</v>
      </c>
      <c r="CB12" s="425">
        <f>engine!N45</f>
        <v>643.70573990194976</v>
      </c>
      <c r="CC12" s="425">
        <f>engine!O45</f>
        <v>246.03475176434188</v>
      </c>
      <c r="CD12" s="425">
        <f>engine!P45</f>
        <v>376266.33667971857</v>
      </c>
      <c r="CE12" s="425">
        <f>engine!Q45</f>
        <v>23571.428299407256</v>
      </c>
      <c r="CF12" s="425">
        <f>engine!R45</f>
        <v>899806.25427419995</v>
      </c>
      <c r="CG12" s="425">
        <f>engine!S45</f>
        <v>52317.398833855266</v>
      </c>
      <c r="CH12" s="425">
        <f>engine!T45</f>
        <v>140056.90177064479</v>
      </c>
      <c r="CI12" s="425">
        <f>engine!U45</f>
        <v>19376.817885010729</v>
      </c>
      <c r="CJ12" s="425">
        <f>engine!V45</f>
        <v>75.829383449925842</v>
      </c>
      <c r="CK12" s="425">
        <f>engine!W45</f>
        <v>37657.457778312666</v>
      </c>
      <c r="CL12" s="611"/>
      <c r="CM12" s="425">
        <f>engine!Y45</f>
        <v>26877.191373048259</v>
      </c>
      <c r="CN12" s="425">
        <f>engine!Z45</f>
        <v>4361.3905116524729</v>
      </c>
      <c r="CO12" s="425">
        <f>engine!AA45</f>
        <v>1.7619131790547256</v>
      </c>
      <c r="CP12" s="425">
        <f>engine!AB45</f>
        <v>8319.8802313240558</v>
      </c>
      <c r="CQ12" s="425"/>
      <c r="CR12" s="425">
        <f>engine!AD45</f>
        <v>22713.320987626175</v>
      </c>
      <c r="CS12" s="425">
        <f>engine!AE45</f>
        <v>497.06411289008014</v>
      </c>
      <c r="CT12" s="425">
        <f>engine!AF45</f>
        <v>0.63965569360490959</v>
      </c>
      <c r="CU12" s="425">
        <f>engine!AG45</f>
        <v>43.364392902825614</v>
      </c>
      <c r="CV12" s="425"/>
      <c r="CW12" s="425">
        <f>engine!AI45</f>
        <v>197.79160315363976</v>
      </c>
      <c r="CX12" s="425">
        <f>engine!AJ45</f>
        <v>6.8347259387697399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8.8233397737008161</v>
      </c>
      <c r="D13" s="122">
        <f>C13/$C$51</f>
        <v>4.346451653891285E-7</v>
      </c>
      <c r="E13" s="318">
        <f>(1-FRgas.aC)*E11</f>
        <v>1.1295081973920373</v>
      </c>
      <c r="F13" s="122">
        <f>E13/$E$51</f>
        <v>2.7648373731710292E-6</v>
      </c>
      <c r="G13" s="318">
        <f>(1-FRgas.aM)*G11</f>
        <v>2.4687360655563175E-2</v>
      </c>
      <c r="H13" s="122">
        <f>G13/$G$51</f>
        <v>3.8557977634201515E-7</v>
      </c>
      <c r="I13" s="318">
        <f>(1-FRgas.aA)*I11</f>
        <v>6.7969525526973505E-4</v>
      </c>
      <c r="J13" s="122">
        <f>I13/$I$51</f>
        <v>1.8476973411081238E-8</v>
      </c>
      <c r="K13" s="318">
        <f>(1-FRgas.aT)*K11</f>
        <v>2.056933920252693E-4</v>
      </c>
      <c r="L13" s="123">
        <f>K13/$K$51</f>
        <v>3.6344916154507445E-7</v>
      </c>
      <c r="M13" s="320">
        <f>(1-FRgas.aR)*M11</f>
        <v>3.8434202089562295E-11</v>
      </c>
      <c r="N13" s="320">
        <f>(1-FRgas.aC)*N11</f>
        <v>1.5689248149349409E-13</v>
      </c>
      <c r="O13" s="320">
        <f>(1-FRgas.aM)*O11</f>
        <v>3.1825428793996914E-16</v>
      </c>
      <c r="P13" s="320">
        <f>(1-FRgas.aA)*P11</f>
        <v>1.5992829535758474E-17</v>
      </c>
      <c r="Q13" s="320">
        <f>(1-FRgas.aT)*Q11</f>
        <v>1.6132815060805434E-18</v>
      </c>
      <c r="R13" s="120" t="s">
        <v>1493</v>
      </c>
      <c r="S13" s="325">
        <f>S11*(1-FRgas.aR)</f>
        <v>3.3789498927425412E-10</v>
      </c>
      <c r="T13" s="325">
        <f>T11*(1-FRgas.aC)</f>
        <v>1.3793231150713095E-12</v>
      </c>
      <c r="U13" s="325">
        <f>U11*(1-FRgas.aM)</f>
        <v>2.7979383820528253E-15</v>
      </c>
      <c r="V13" s="325">
        <f>V11*(1-FRgas.aA)</f>
        <v>1.2974782276624308E-16</v>
      </c>
      <c r="W13" s="326">
        <f>W11*(1-FRgas.aT)</f>
        <v>1.4830146510770943E-17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1.2109858203560865E-5</v>
      </c>
      <c r="AF13" s="330"/>
      <c r="AG13" s="326">
        <f>KDEG.w0R*M.w0R*Molweight</f>
        <v>2.3245767107476809E-4</v>
      </c>
      <c r="AH13" s="325">
        <f>k.aR.w0R*M.aR*Molweight</f>
        <v>1.3275663028426479E-4</v>
      </c>
      <c r="AI13" s="325">
        <f>k.w0R.aR*M.w0R*Molweight</f>
        <v>9.7732906154709691E-5</v>
      </c>
      <c r="AJ13" s="325"/>
      <c r="AK13" s="325"/>
      <c r="AL13" s="631">
        <f>SUM(AL18:AL20)*AREAFRAC.w0R/(AREAFRAC.w0R+AREAFRAC.w1R)</f>
        <v>2.0954380514877387E-4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1.2109858203560865E-5</v>
      </c>
      <c r="AE14" s="325">
        <f>(WATERflow.w1R.w0R+WATERflow.w1R.w2R)*C.w1R*Molweight</f>
        <v>1.1902179896127426E-2</v>
      </c>
      <c r="AF14" s="330"/>
      <c r="AG14" s="326">
        <f>KDEG.w1R*M.w1R*Molweight</f>
        <v>7.4587887797298259E-3</v>
      </c>
      <c r="AH14" s="325">
        <f>k.aR.w1R*M.aR*Molweight</f>
        <v>1.4603229331269126E-3</v>
      </c>
      <c r="AI14" s="325">
        <f>k.w1R.aR*M.w1R*Molweight</f>
        <v>0.10453073032848632</v>
      </c>
      <c r="AJ14" s="325"/>
      <c r="AK14" s="325"/>
      <c r="AL14" s="631">
        <f>SUM(AL18:AL20)*AREAFRAC.w1R/(AREAFRAC.w0R+AREAFRAC.w1R)</f>
        <v>2.3049818566365132E-3</v>
      </c>
      <c r="AM14" s="325">
        <f>k.w1R.sd1R*M.w1R*Molweight</f>
        <v>0.75305044343040639</v>
      </c>
      <c r="AN14" s="326">
        <f>k.sd1R.w1R*M.sd1R*Molweight</f>
        <v>0.55606680794913721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5051.5408506282465</v>
      </c>
      <c r="D15" s="122">
        <f>C15/$C$51</f>
        <v>2.4884316651112374E-4</v>
      </c>
      <c r="E15" s="318">
        <f>M.w0C*Molweight</f>
        <v>173.49157101837349</v>
      </c>
      <c r="F15" s="122">
        <f>E15/$E$51</f>
        <v>4.2467684660394339E-4</v>
      </c>
      <c r="G15" s="318"/>
      <c r="H15" s="122"/>
      <c r="I15" s="318"/>
      <c r="J15" s="122"/>
      <c r="K15" s="318"/>
      <c r="L15" s="123"/>
      <c r="M15" s="320">
        <f>C.w0R*Molweight</f>
        <v>8.8402517401728082E-8</v>
      </c>
      <c r="N15" s="320">
        <f>C.w0C*Molweight</f>
        <v>1.9908150806505576E-10</v>
      </c>
      <c r="O15" s="320"/>
      <c r="P15" s="320"/>
      <c r="Q15" s="320"/>
      <c r="R15" s="120" t="s">
        <v>1489</v>
      </c>
      <c r="S15" s="325">
        <f>F.w0R</f>
        <v>9.9929112974883021E-6</v>
      </c>
      <c r="T15" s="325">
        <f>F.w0C</f>
        <v>2.2503927597715851E-8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1.190386334681681E-2</v>
      </c>
      <c r="AE15" s="325">
        <f>k.w2R.w2C*M.w2R*Molweight</f>
        <v>7.7942129224351257E-3</v>
      </c>
      <c r="AF15" s="330"/>
      <c r="AG15" s="326">
        <f>KDEG.w2R*M.w2R*Molweight</f>
        <v>2.602121330396378E-4</v>
      </c>
      <c r="AH15" s="325">
        <f>k.aR.w2R*M.aR*Molweight</f>
        <v>2.3232555503218259E-4</v>
      </c>
      <c r="AI15" s="325">
        <f>k.w2R.aR*M.w2R*Molweight</f>
        <v>1.205831217315555E-3</v>
      </c>
      <c r="AJ15" s="325"/>
      <c r="AK15" s="325"/>
      <c r="AL15" s="631"/>
      <c r="AM15" s="325">
        <f>k.w2R.sd2R*M.w2R*Molweight</f>
        <v>7.8059373624446296E-3</v>
      </c>
      <c r="AN15" s="326">
        <f>k.sd2R.w2R*M.sd2R*Molweight</f>
        <v>4.9300047333859518E-3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2675.4844177233449</v>
      </c>
      <c r="D16" s="122">
        <f>C16/$C$51</f>
        <v>1.3179662090125364E-4</v>
      </c>
      <c r="E16" s="318">
        <f>FRw.w0C*E15</f>
        <v>91.887605899153172</v>
      </c>
      <c r="F16" s="122">
        <f>E16/$E$51</f>
        <v>2.2492469510870718E-4</v>
      </c>
      <c r="G16" s="318"/>
      <c r="H16" s="122"/>
      <c r="I16" s="318"/>
      <c r="J16" s="122"/>
      <c r="K16" s="318"/>
      <c r="L16" s="123"/>
      <c r="M16" s="320">
        <f>M15*FRw.w0R</f>
        <v>4.6821269943095684E-8</v>
      </c>
      <c r="N16" s="320">
        <f>N15*FRw.w0C</f>
        <v>1.0544099086493146E-10</v>
      </c>
      <c r="O16" s="320"/>
      <c r="P16" s="320"/>
      <c r="Q16" s="320"/>
      <c r="R16" s="120" t="s">
        <v>1489</v>
      </c>
      <c r="S16" s="325">
        <f>S15*FRw.w0R</f>
        <v>5.2926184811108584E-6</v>
      </c>
      <c r="T16" s="325">
        <f>T15*FRw.w0C</f>
        <v>1.1918919277427022E-8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4.5448391243266856E-2</v>
      </c>
      <c r="AG16" s="326">
        <f>KDEG.sd1R*M.sd1R*Molweight</f>
        <v>0.15153524423800252</v>
      </c>
      <c r="AH16" s="325"/>
      <c r="AI16" s="325"/>
      <c r="AJ16" s="325"/>
      <c r="AK16" s="325"/>
      <c r="AL16" s="631"/>
      <c r="AM16" s="325">
        <f>k.w1R.sd1R*M.w1R*Molweight</f>
        <v>0.75305044343040639</v>
      </c>
      <c r="AN16" s="326">
        <f>k.sd1R.w1R*M.sd1R*Molweight</f>
        <v>0.55606680794913721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2376.0564329049016</v>
      </c>
      <c r="D17" s="122">
        <f>C17/$C$51</f>
        <v>1.1704654560987013E-4</v>
      </c>
      <c r="E17" s="318">
        <f>(1-FRw.w0C)*E15</f>
        <v>81.603965119220319</v>
      </c>
      <c r="F17" s="122">
        <f>E17/$E$51</f>
        <v>1.997521514952362E-4</v>
      </c>
      <c r="G17" s="318"/>
      <c r="H17" s="122"/>
      <c r="I17" s="318"/>
      <c r="J17" s="122"/>
      <c r="K17" s="318"/>
      <c r="L17" s="123"/>
      <c r="M17" s="320">
        <f>M16*Kp.susp1R</f>
        <v>6.6011116956201453E-5</v>
      </c>
      <c r="N17" s="320">
        <f>N16*Kp.susp1C</f>
        <v>1.486563177039398E-7</v>
      </c>
      <c r="O17" s="320"/>
      <c r="P17" s="320"/>
      <c r="Q17" s="320"/>
      <c r="R17" s="120" t="s">
        <v>1494</v>
      </c>
      <c r="S17" s="325">
        <f>S15*(1-FRw.w0R)</f>
        <v>4.7002928163774437E-6</v>
      </c>
      <c r="T17" s="325">
        <f>T15*(1-FRw.w0C)</f>
        <v>1.0585008320288829E-8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2.4880951670492484E-4</v>
      </c>
      <c r="AG17" s="326">
        <f>KDEG.sd2R*M.sd2R*Molweight</f>
        <v>2.6271231123537507E-3</v>
      </c>
      <c r="AH17" s="325"/>
      <c r="AI17" s="325"/>
      <c r="AJ17" s="325"/>
      <c r="AK17" s="325"/>
      <c r="AL17" s="631"/>
      <c r="AM17" s="325">
        <f>k.w2R.sd2R*M.w2R*Molweight</f>
        <v>7.8059373624446296E-3</v>
      </c>
      <c r="AN17" s="326">
        <f>k.sd2R.w2R*M.sd2R*Molweight</f>
        <v>4.9300047333859518E-3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1.9076161083663419E-6</v>
      </c>
      <c r="AG18" s="326">
        <f>KDEG.s1R*M.s1R*Molweight</f>
        <v>1.0156605511727049E-2</v>
      </c>
      <c r="AH18" s="325"/>
      <c r="AI18" s="325"/>
      <c r="AJ18" s="325">
        <f>k.aR.s1R*M.aR*Molweight</f>
        <v>1.4757757885490753E-2</v>
      </c>
      <c r="AK18" s="325">
        <f>k.s1R.aR*M.s1R*Molweight</f>
        <v>4.310476920709543E-3</v>
      </c>
      <c r="AL18" s="631">
        <f>(k.s1R.w1R+k.s1R.w0R)*M.s1R*Molweight</f>
        <v>2.8876783694579202E-4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163842.00782726269</v>
      </c>
      <c r="D19" s="122">
        <f>C19/$C$51</f>
        <v>8.0709956112115372E-3</v>
      </c>
      <c r="E19" s="318">
        <f>M.w1C*Molweight</f>
        <v>66.31128629552542</v>
      </c>
      <c r="F19" s="122">
        <f>E19/$E$51</f>
        <v>1.6231836390053018E-4</v>
      </c>
      <c r="G19" s="318"/>
      <c r="H19" s="122"/>
      <c r="I19" s="318"/>
      <c r="J19" s="122"/>
      <c r="K19" s="318"/>
      <c r="L19" s="123"/>
      <c r="M19" s="320">
        <f>C.w1R*Molweight</f>
        <v>8.6886456282081991E-6</v>
      </c>
      <c r="N19" s="320">
        <f>C.w1C*Molweight</f>
        <v>2.3058234664198296E-10</v>
      </c>
      <c r="O19" s="320"/>
      <c r="P19" s="320"/>
      <c r="Q19" s="320"/>
      <c r="R19" s="120" t="s">
        <v>1489</v>
      </c>
      <c r="S19" s="325">
        <f>F.w1R</f>
        <v>9.8215376224452177E-4</v>
      </c>
      <c r="T19" s="325">
        <f>F.w1C</f>
        <v>2.6064743453957269E-8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1.4398539090760508E-5</v>
      </c>
      <c r="AG19" s="326">
        <f>KDEG.s2R*M.s2R*Molweight</f>
        <v>0.16846781298085733</v>
      </c>
      <c r="AH19" s="325"/>
      <c r="AI19" s="325"/>
      <c r="AJ19" s="325">
        <f>k.aR.s2R*M.aR*Molweight</f>
        <v>3.2795017523312778E-2</v>
      </c>
      <c r="AK19" s="325">
        <f>k.s2R.aR*M.s2R*Molweight</f>
        <v>0.17923112810547887</v>
      </c>
      <c r="AL19" s="631">
        <f>(k.s2R.w1R+k.s2R.w0R)*M.s2R*Molweight</f>
        <v>2.1795977355317151E-3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85847.341853641075</v>
      </c>
      <c r="D20" s="122">
        <f>C20/$C$51</f>
        <v>4.2289125269107091E-3</v>
      </c>
      <c r="E20" s="318">
        <f>FRw.w1C*E19</f>
        <v>34.744738170984505</v>
      </c>
      <c r="F20" s="122">
        <f>E20/$E$51</f>
        <v>8.5049007026230202E-5</v>
      </c>
      <c r="G20" s="318"/>
      <c r="H20" s="122"/>
      <c r="I20" s="318"/>
      <c r="J20" s="122"/>
      <c r="K20" s="318"/>
      <c r="L20" s="123"/>
      <c r="M20" s="320">
        <f>M19*FRw.w1R</f>
        <v>4.5525390062133924E-6</v>
      </c>
      <c r="N20" s="320">
        <f>N19*FRw.w1C</f>
        <v>1.2081688817228525E-10</v>
      </c>
      <c r="O20" s="320"/>
      <c r="P20" s="320"/>
      <c r="Q20" s="320"/>
      <c r="R20" s="120" t="s">
        <v>1489</v>
      </c>
      <c r="S20" s="325">
        <f>S19*FRw.w1R</f>
        <v>5.1461338211344497E-4</v>
      </c>
      <c r="T20" s="325">
        <f>T19*FRw.w1C</f>
        <v>1.3656991703729579E-8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3.0493601617223476E-7</v>
      </c>
      <c r="AG20" s="326">
        <f>KDEG.s3R*M.s3R*Molweight</f>
        <v>1.6235676519603644E-3</v>
      </c>
      <c r="AH20" s="325"/>
      <c r="AI20" s="325"/>
      <c r="AJ20" s="325">
        <f>k.aR.s3R*M.aR*Molweight</f>
        <v>5.4658362538854638E-3</v>
      </c>
      <c r="AK20" s="325">
        <f>k.s3R.aR*M.s3R*Molweight</f>
        <v>3.795803576601147E-3</v>
      </c>
      <c r="AL20" s="631">
        <f>(k.s3R.w1R+k.s3R.w0R)*M.s3R*Molweight</f>
        <v>4.6160089307779913E-5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4.310476920709543E-3</v>
      </c>
      <c r="BE20" s="2"/>
      <c r="BF20" s="296">
        <f>IF(output!AK20&lt;0,"",output!AK20)</f>
        <v>3.795803576601147E-3</v>
      </c>
      <c r="BG20" s="75"/>
      <c r="BH20" s="296">
        <f>IF(output!AK19&lt;0,"",output!AK19)</f>
        <v>0.17923112810547887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77994.66597362161</v>
      </c>
      <c r="D21" s="122">
        <f>C21/$C$51</f>
        <v>3.8420830843008276E-3</v>
      </c>
      <c r="E21" s="318">
        <f>(1-FRw.w1C)*E19</f>
        <v>31.566548124540919</v>
      </c>
      <c r="F21" s="122">
        <f>E21/$E$51</f>
        <v>7.7269356874299977E-5</v>
      </c>
      <c r="G21" s="318"/>
      <c r="H21" s="122"/>
      <c r="I21" s="318"/>
      <c r="J21" s="122"/>
      <c r="K21" s="318"/>
      <c r="L21" s="123"/>
      <c r="M21" s="320">
        <f>M20*Kp.susp1R</f>
        <v>6.4184116567546478E-3</v>
      </c>
      <c r="N21" s="320">
        <f>N20*Kp.susp1C</f>
        <v>1.7033407562669226E-7</v>
      </c>
      <c r="O21" s="320"/>
      <c r="P21" s="320"/>
      <c r="Q21" s="320"/>
      <c r="R21" s="120" t="s">
        <v>1494</v>
      </c>
      <c r="S21" s="325">
        <f>S19*(1-FRw.w1R)</f>
        <v>4.6754038013107675E-4</v>
      </c>
      <c r="T21" s="325">
        <f>T19*(1-FRw.w1C)</f>
        <v>1.240775175022769E-8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1.205831217315555E-3</v>
      </c>
      <c r="AV21" s="75"/>
      <c r="AW21" s="75"/>
      <c r="AX21" s="288">
        <f>IF(output!AI14&lt;0,"",output!AI14)</f>
        <v>0.10453073032848632</v>
      </c>
      <c r="AY21" s="75"/>
      <c r="AZ21" s="75"/>
      <c r="BA21" s="296">
        <f>IF(output!AI13&lt;0,"",output!AI13)</f>
        <v>9.7732906154709691E-5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6.881147865521392E-2</v>
      </c>
      <c r="AE22" s="325">
        <f>(k.aC.aM+k.aC.aR)*M.aC*Molweight</f>
        <v>1.5729491079001592E-3</v>
      </c>
      <c r="AF22" s="325">
        <f>kesc.aC*M.aC*Molweight</f>
        <v>3.4253965190423314E-7</v>
      </c>
      <c r="AG22" s="326">
        <f>KDEG.aC*M.aC*Molweight</f>
        <v>6.2329215468667883E-2</v>
      </c>
      <c r="AH22" s="325">
        <f>SUM(AH23:AH25)</f>
        <v>3.5045549909140349E-3</v>
      </c>
      <c r="AI22" s="325">
        <f>SUM(AI23:AI25)</f>
        <v>1.1202585580836972E-3</v>
      </c>
      <c r="AJ22" s="325">
        <f>SUM(AJ28:AJ30)</f>
        <v>3.1976311692977059E-3</v>
      </c>
      <c r="AK22" s="325">
        <f>SUM(AK28:AK30)</f>
        <v>6.7295606313407343E-4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1.4757757885490753E-2</v>
      </c>
      <c r="BE22" s="2"/>
      <c r="BF22" s="296">
        <f>IF(output!AJ20&lt;0,"",output!AJ20)</f>
        <v>5.4658362538854638E-3</v>
      </c>
      <c r="BG22" s="75"/>
      <c r="BH22" s="296">
        <f>IF(output!AJ19&lt;0,"",output!AJ19)</f>
        <v>3.2795017523312778E-2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15696929.446903318</v>
      </c>
      <c r="D23" s="122">
        <f>C23/$C$51</f>
        <v>0.773243994965088</v>
      </c>
      <c r="E23" s="318">
        <f>M.sd1C*Molweight</f>
        <v>6352.9713552562434</v>
      </c>
      <c r="F23" s="122">
        <f>E23/$E$51</f>
        <v>1.5550956313777784E-2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6.4032163679066834E-2</v>
      </c>
      <c r="N23" s="320">
        <f>C.sd1C*(Molweight*1000)/(FRACw.sdC*1000+FRACs.sdC*RHOsolid)</f>
        <v>1.699308176840399E-6</v>
      </c>
      <c r="O23" s="320"/>
      <c r="P23" s="320"/>
      <c r="Q23" s="320"/>
      <c r="R23" s="120" t="s">
        <v>1495</v>
      </c>
      <c r="S23" s="325">
        <f>F.sd1R</f>
        <v>9.6323255333583588E-2</v>
      </c>
      <c r="T23" s="325">
        <f>F.sd1C</f>
        <v>2.5562605728682381E-6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4.1590445107144332E-7</v>
      </c>
      <c r="AF23" s="330"/>
      <c r="AG23" s="326">
        <f>KDEG.w0C*M.w0C*Molweight</f>
        <v>7.9835930743820798E-6</v>
      </c>
      <c r="AH23" s="325">
        <f>k.aC.w0C*M.aC*Molweight</f>
        <v>7.9991915431781801E-6</v>
      </c>
      <c r="AI23" s="325">
        <f>k.w0C.aC*M.w0C*Molweight</f>
        <v>3.356567021894537E-6</v>
      </c>
      <c r="AJ23" s="325"/>
      <c r="AK23" s="325"/>
      <c r="AL23" s="631">
        <f>SUM(AL28:AL30)*AREAFRAC.w0C/(AREAFRAC.w1C+AREAFRAC.w0C)</f>
        <v>3.7568730041698821E-6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2.3232555503218259E-4</v>
      </c>
      <c r="AV23" s="75"/>
      <c r="AW23" s="75"/>
      <c r="AX23" s="288">
        <f>IF(output!AH14&lt;0,"",output!AH14)</f>
        <v>1.4603229331269126E-3</v>
      </c>
      <c r="AY23" s="291">
        <f>output!AL14</f>
        <v>2.3049818566365132E-3</v>
      </c>
      <c r="AZ23" s="87"/>
      <c r="BA23" s="296">
        <f>IF(output!AH13&lt;0,"",output!AH13)</f>
        <v>1.3275663028426479E-4</v>
      </c>
      <c r="BB23" s="291">
        <f>output!AL13</f>
        <v>2.0954380514877387E-4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12557543.557522655</v>
      </c>
      <c r="D24" s="122">
        <f>C24/$C$51</f>
        <v>0.61859519597207036</v>
      </c>
      <c r="E24" s="318">
        <f>E23*FRACw.sdC</f>
        <v>5082.3770842049953</v>
      </c>
      <c r="F24" s="122">
        <f>E24/$E$51</f>
        <v>1.2440765051022228E-2</v>
      </c>
      <c r="G24" s="318"/>
      <c r="H24" s="122"/>
      <c r="I24" s="318"/>
      <c r="J24" s="122"/>
      <c r="K24" s="318"/>
      <c r="L24" s="123"/>
      <c r="M24" s="320">
        <f>M25/Kp.sd1R</f>
        <v>8.5212587226292131E-4</v>
      </c>
      <c r="N24" s="320">
        <f>N25/Kp.sd1C</f>
        <v>2.2614017381814982E-8</v>
      </c>
      <c r="O24" s="320"/>
      <c r="P24" s="320"/>
      <c r="Q24" s="320"/>
      <c r="R24" s="120" t="s">
        <v>1489</v>
      </c>
      <c r="S24" s="325">
        <f>S23*FRACw.sdR</f>
        <v>7.7058604266866879E-2</v>
      </c>
      <c r="T24" s="325">
        <f>T23*FRACw.sdC</f>
        <v>2.0450084582945907E-6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4.1590445107144332E-7</v>
      </c>
      <c r="AE24" s="325">
        <f>(k.w1C.w0C+k.w1C.w1R+k.w1C.w2C)*M.w1C*Molweight</f>
        <v>4.81713370764506E-6</v>
      </c>
      <c r="AF24" s="330"/>
      <c r="AG24" s="326">
        <f>KDEG.w1C*M.w1C*Molweight</f>
        <v>3.0187732972118601E-6</v>
      </c>
      <c r="AH24" s="325">
        <f>k.aC.w1C*M.aC*Molweight</f>
        <v>8.7991106974959983E-5</v>
      </c>
      <c r="AI24" s="325">
        <f>k.w1C.aC*M.w1C*Molweight</f>
        <v>4.2306410165581673E-5</v>
      </c>
      <c r="AJ24" s="518"/>
      <c r="AK24" s="518"/>
      <c r="AL24" s="631">
        <f>SUM(AL28:AL30)*AREAFRAC.w1C/(AREAFRAC.w1C+AREAFRAC.w0C)</f>
        <v>4.1325603045868702E-5</v>
      </c>
      <c r="AM24" s="325">
        <f>k.w1C.sd1C*M.w1C*Molweight</f>
        <v>3.0477985598133597E-4</v>
      </c>
      <c r="AN24" s="326">
        <f>k.sd1C.w1C*M.sd1C*Molweight</f>
        <v>2.2518955867987443E-4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1.2109858203560865E-5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3139385.8893806632</v>
      </c>
      <c r="D25" s="122">
        <f>C25/$C$51</f>
        <v>0.15464879899301756</v>
      </c>
      <c r="E25" s="318">
        <f>E23*FRACs.sdC</f>
        <v>1270.5942710512484</v>
      </c>
      <c r="F25" s="122">
        <f>E25/$E$51</f>
        <v>3.110191262755556E-3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0.16512022416995314</v>
      </c>
      <c r="N25" s="320">
        <f>C.sd1C*FRACs.sdC/(FRACw.sdC/(Kp.sd1C*RHOsolid/1000)+FRACs.sdC)*(Molweight*1000)/(FRACs.sdC*RHOsolid)</f>
        <v>4.3820188319741344E-6</v>
      </c>
      <c r="O25" s="320"/>
      <c r="P25" s="320"/>
      <c r="Q25" s="320"/>
      <c r="R25" s="120" t="s">
        <v>1494</v>
      </c>
      <c r="S25" s="325">
        <f>S23*(1-FRACw.sdR)</f>
        <v>1.9264651066716713E-2</v>
      </c>
      <c r="T25" s="325">
        <f>T23*(1-FRACw.sdC)</f>
        <v>5.1125211457364747E-7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7.8606207638639951E-3</v>
      </c>
      <c r="AE25" s="325">
        <f>(k.w2C.w2M+k.w2C.w2R)*M.w2C*Molweight</f>
        <v>3.2155442748193221E-3</v>
      </c>
      <c r="AF25" s="330"/>
      <c r="AG25" s="326">
        <f>KDEG.w2C*M.w2C*Molweight</f>
        <v>4.6378432444712471E-3</v>
      </c>
      <c r="AH25" s="325">
        <f>k.aC.w2C*M.aC*Molweight</f>
        <v>3.4085646923958969E-3</v>
      </c>
      <c r="AI25" s="325">
        <f>k.w2C.aC*M.w2C*Molweight</f>
        <v>1.0745955808962209E-3</v>
      </c>
      <c r="AJ25" s="325"/>
      <c r="AK25" s="325"/>
      <c r="AL25" s="631"/>
      <c r="AM25" s="325">
        <f>k.w2C.sd2C*M.w2C*Molweight</f>
        <v>6.9563846697465121E-3</v>
      </c>
      <c r="AN25" s="326">
        <f>k.sd2C.w2C*M.sd2C*Molweight</f>
        <v>4.6151823136734169E-3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1.1902179896127426E-2</v>
      </c>
      <c r="AT25" s="75"/>
      <c r="AU25" s="75"/>
      <c r="AV25" s="87"/>
      <c r="AW25" s="75"/>
      <c r="AX25" s="289">
        <f>output!AD14</f>
        <v>1.2109858203560865E-5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1.8259890662874687E-5</v>
      </c>
      <c r="AG26" s="326">
        <f>KDEG.sd1C*M.sd1C*Molweight</f>
        <v>6.1330406638586854E-5</v>
      </c>
      <c r="AH26" s="325"/>
      <c r="AI26" s="325"/>
      <c r="AJ26" s="325"/>
      <c r="AK26" s="325"/>
      <c r="AL26" s="631"/>
      <c r="AM26" s="325">
        <f>k.w1C.sd1C*M.w1C*Molweight</f>
        <v>3.0477985598133597E-4</v>
      </c>
      <c r="AN26" s="326">
        <f>k.sd1C.w1C*M.sd1C*Molweight</f>
        <v>2.2518955867987443E-4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7.7942129224351257E-3</v>
      </c>
      <c r="AT26" s="75"/>
      <c r="AU26" s="285">
        <f>output!AD15</f>
        <v>1.190386334681681E-2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5689.8109946963659</v>
      </c>
      <c r="D27" s="122">
        <f>C27/$C$51</f>
        <v>2.8028489259746605E-4</v>
      </c>
      <c r="E27" s="318">
        <f>M.w2C*Molweight</f>
        <v>101411.30306191774</v>
      </c>
      <c r="F27" s="122">
        <f>E27/$E$51</f>
        <v>0.24823703043055087</v>
      </c>
      <c r="G27" s="318">
        <f>M.w2M*Molweight</f>
        <v>10149.438020410829</v>
      </c>
      <c r="H27" s="122">
        <f>G27/$G$51</f>
        <v>0.15851909390019311</v>
      </c>
      <c r="I27" s="318">
        <f>M.w2A*Molweight</f>
        <v>2242.3741199464594</v>
      </c>
      <c r="J27" s="122">
        <f>I27/$I$51</f>
        <v>6.0957152004106806E-2</v>
      </c>
      <c r="K27" s="318">
        <f>M.w2T*Molweight</f>
        <v>11.687571175169559</v>
      </c>
      <c r="L27" s="123">
        <f>K27/$K$51</f>
        <v>2.0651309710483613E-2</v>
      </c>
      <c r="M27" s="320">
        <f>C.w2R*Molweight</f>
        <v>5.6898109946963595E-7</v>
      </c>
      <c r="N27" s="320">
        <f>C.w2C*Molweight</f>
        <v>1.3654740933793702E-10</v>
      </c>
      <c r="O27" s="320">
        <f>C.w2M*Molweight</f>
        <v>2.6168064016586647E-12</v>
      </c>
      <c r="P27" s="320">
        <f>C.w2A*Molweight</f>
        <v>8.793623999790036E-13</v>
      </c>
      <c r="Q27" s="320">
        <f>C.w2T*Molweight</f>
        <v>1.3095317843327237E-15</v>
      </c>
      <c r="R27" s="120" t="s">
        <v>1489</v>
      </c>
      <c r="S27" s="325">
        <f>F.w2R</f>
        <v>6.4316920197074557E-5</v>
      </c>
      <c r="T27" s="325">
        <f>F.w2C</f>
        <v>1.543515037264264E-8</v>
      </c>
      <c r="U27" s="325">
        <f>F.w2M</f>
        <v>2.958005611496694E-10</v>
      </c>
      <c r="V27" s="325">
        <f>F.w2A</f>
        <v>7.6941145284323545E-12</v>
      </c>
      <c r="W27" s="326">
        <f>F.w2T</f>
        <v>5.6216156737667813E-13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2.3412023560730973E-3</v>
      </c>
      <c r="AH27" s="325"/>
      <c r="AI27" s="325"/>
      <c r="AJ27" s="325"/>
      <c r="AK27" s="325"/>
      <c r="AL27" s="631"/>
      <c r="AM27" s="325">
        <f>k.w2C.sd2C*M.w2C*Molweight</f>
        <v>6.9563846697465121E-3</v>
      </c>
      <c r="AN27" s="326">
        <f>k.sd2C.w2C*M.sd2C*Molweight</f>
        <v>4.6151823136734169E-3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2.3245767107476809E-4</v>
      </c>
      <c r="BB27" s="264">
        <f>IF(ISERROR(output!D15),0,output!D15)</f>
        <v>2.4884316651112374E-4</v>
      </c>
      <c r="BC27" s="86"/>
      <c r="BD27" s="295">
        <f>output!AG18</f>
        <v>1.0156605511727049E-2</v>
      </c>
      <c r="BE27" s="75"/>
      <c r="BF27" s="295">
        <f>output!AG19</f>
        <v>0.16846781298085733</v>
      </c>
      <c r="BG27" s="75"/>
      <c r="BH27" s="256">
        <f>output!AG20</f>
        <v>1.6235676519603644E-3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2994.9259322407129</v>
      </c>
      <c r="D28" s="122">
        <f>C28/$C$51</f>
        <v>1.4753257955983301E-4</v>
      </c>
      <c r="E28" s="318">
        <f>FRw.w2C*E27</f>
        <v>53379.513246672846</v>
      </c>
      <c r="F28" s="122">
        <f>E28/$E$51</f>
        <v>0.13066365833098428</v>
      </c>
      <c r="G28" s="318">
        <f>FRw.w2M*G27</f>
        <v>5342.3242271723921</v>
      </c>
      <c r="H28" s="122">
        <f>G28/$G$51</f>
        <v>8.3439141567183822E-2</v>
      </c>
      <c r="I28" s="318">
        <f>FRw.w2A*I27</f>
        <v>1180.310630330785</v>
      </c>
      <c r="J28" s="122">
        <f>I28/$I$51</f>
        <v>3.2085803107134804E-2</v>
      </c>
      <c r="K28" s="318">
        <f>FRw.w2T*K27</f>
        <v>6.1519460013789642</v>
      </c>
      <c r="L28" s="123">
        <f>K28/$K$51</f>
        <v>1.0870157733589597E-2</v>
      </c>
      <c r="M28" s="320">
        <f>M27*FRw.w2R</f>
        <v>2.9949259322407095E-7</v>
      </c>
      <c r="N28" s="320">
        <f>N27*FRw.w2C</f>
        <v>7.1873982736450924E-11</v>
      </c>
      <c r="O28" s="320">
        <f>O27*FRw.w2M</f>
        <v>1.3773992421340996E-12</v>
      </c>
      <c r="P28" s="320">
        <f>P27*FRw.w2A</f>
        <v>4.6286691385520978E-13</v>
      </c>
      <c r="Q28" s="320">
        <f>Q27*FRw.w2T</f>
        <v>6.8929366962229294E-16</v>
      </c>
      <c r="R28" s="120" t="s">
        <v>1489</v>
      </c>
      <c r="S28" s="325">
        <f>S27*FRw.w2R</f>
        <v>3.3854272551342347E-5</v>
      </c>
      <c r="T28" s="325">
        <f>T27*FRw.w2C</f>
        <v>8.1245461689592096E-9</v>
      </c>
      <c r="U28" s="325">
        <f>U27*FRw.w2M</f>
        <v>1.556995078016252E-10</v>
      </c>
      <c r="V28" s="325">
        <f>V27*FRw.w2A</f>
        <v>4.0499241799615842E-12</v>
      </c>
      <c r="W28" s="326">
        <f>W27*FRw.w2T</f>
        <v>2.9590301994475027E-13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1.1505115912831944E-7</v>
      </c>
      <c r="AG28" s="326">
        <f>KDEG.s1C*M.s1C*Molweight</f>
        <v>6.1255995470387849E-4</v>
      </c>
      <c r="AH28" s="325"/>
      <c r="AI28" s="325"/>
      <c r="AJ28" s="325">
        <f>k.aC.s1C*M.aC*Molweight</f>
        <v>8.9006228423750588E-4</v>
      </c>
      <c r="AK28" s="325">
        <f>k.s1C.aC*M.s1C*Molweight</f>
        <v>2.5997126148625692E-4</v>
      </c>
      <c r="AL28" s="631">
        <f>(k.s1C.w1C+k.s1C.w0C)*M.s1C*Molweight</f>
        <v>1.7416016888242124E-5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2694.885062455653</v>
      </c>
      <c r="D29" s="122">
        <f>C29/$C$51</f>
        <v>1.3275231303763307E-4</v>
      </c>
      <c r="E29" s="318">
        <f>(1-FRw.w2C)*E27</f>
        <v>48031.789815244898</v>
      </c>
      <c r="F29" s="122">
        <f>E29/$E$51</f>
        <v>0.11757337209956657</v>
      </c>
      <c r="G29" s="318">
        <f>(1-FRw.w2M)*G27</f>
        <v>4807.1137932384372</v>
      </c>
      <c r="H29" s="122">
        <f>G29/$G$51</f>
        <v>7.5079952333009306E-2</v>
      </c>
      <c r="I29" s="318">
        <f>(1-FRw.w2A)*I27</f>
        <v>1062.0634896156744</v>
      </c>
      <c r="J29" s="122">
        <f>I29/$I$51</f>
        <v>2.8871348896972002E-2</v>
      </c>
      <c r="K29" s="318">
        <f>(1-FRw.w2T)*K27</f>
        <v>5.5356251737905948</v>
      </c>
      <c r="L29" s="123">
        <f>K29/$K$51</f>
        <v>9.7811519768940154E-3</v>
      </c>
      <c r="M29" s="320">
        <f>M28*Kp.susp2R</f>
        <v>7.4497503856248853E-4</v>
      </c>
      <c r="N29" s="320">
        <f>N28*Kp.susp2C</f>
        <v>1.7878346333816335E-7</v>
      </c>
      <c r="O29" s="320">
        <f>O28*Kp.susp2M</f>
        <v>3.4262218056159959E-9</v>
      </c>
      <c r="P29" s="320">
        <f>P28*Kp.susp2A</f>
        <v>1.1513616857315674E-9</v>
      </c>
      <c r="Q29" s="320">
        <f>Q28*Kp.susp2T</f>
        <v>1.714588573225774E-12</v>
      </c>
      <c r="R29" s="120" t="s">
        <v>1494</v>
      </c>
      <c r="S29" s="325">
        <f>S27*(1-FRw.w2R)</f>
        <v>3.0462647645732214E-5</v>
      </c>
      <c r="T29" s="325">
        <f>T27*(1-FRw.w2C)</f>
        <v>7.3106042036834308E-9</v>
      </c>
      <c r="U29" s="325">
        <f>U27*(1-FRw.w2M)</f>
        <v>1.401010533480442E-10</v>
      </c>
      <c r="V29" s="325">
        <f>V27*(1-FRw.w2A)</f>
        <v>3.6441903484707703E-12</v>
      </c>
      <c r="W29" s="326">
        <f>W27*(1-FRw.w2T)</f>
        <v>2.6625854743192786E-13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1.4015495800766486E-7</v>
      </c>
      <c r="AG29" s="326">
        <f>KDEG.s2C*M.s2C*Molweight</f>
        <v>1.6398607598410225E-3</v>
      </c>
      <c r="AH29" s="325"/>
      <c r="AI29" s="325"/>
      <c r="AJ29" s="325">
        <f>k.aC.s2C*M.aC*Molweight</f>
        <v>1.9779161871944571E-3</v>
      </c>
      <c r="AK29" s="325">
        <f>k.s2C.aC*M.s2C*Molweight</f>
        <v>3.1669913184314869E-4</v>
      </c>
      <c r="AL29" s="631">
        <f>(k.s2C.w1C+k.s2C.w0C)*M.s2C*Molweight</f>
        <v>2.1216140552278334E-5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4.2611149357039364E-8</v>
      </c>
      <c r="AG30" s="326">
        <f>KDEG.s3C*M.s3C*Molweight</f>
        <v>2.2687409830219983E-4</v>
      </c>
      <c r="AH30" s="325"/>
      <c r="AI30" s="325"/>
      <c r="AJ30" s="325">
        <f>k.aC.s3C*M.aC*Molweight</f>
        <v>3.2965269786574284E-4</v>
      </c>
      <c r="AK30" s="325">
        <f>k.s3C.aC*M.s3C*Molweight</f>
        <v>9.628566980466787E-5</v>
      </c>
      <c r="AL30" s="631">
        <f>(k.s3C.w1C+k.s3C.w0C)*M.s3C*Molweight</f>
        <v>6.4503186095181224E-6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8.0709956112115372E-3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45437.298087863113</v>
      </c>
      <c r="H31" s="122">
        <f>G31/$G$51</f>
        <v>0.70966287075956624</v>
      </c>
      <c r="I31" s="318">
        <f>M.w3A*Molweight</f>
        <v>28287.558990110003</v>
      </c>
      <c r="J31" s="122">
        <f>I31/$I$51</f>
        <v>0.76897472988425541</v>
      </c>
      <c r="K31" s="318">
        <f>M.w3T*Molweight</f>
        <v>498.93732205339757</v>
      </c>
      <c r="L31" s="123">
        <f>K31/$K$51</f>
        <v>0.88159541528477892</v>
      </c>
      <c r="M31" s="320"/>
      <c r="N31" s="320"/>
      <c r="O31" s="320">
        <f>C.w3M*Molweight</f>
        <v>3.9049982298290953E-13</v>
      </c>
      <c r="P31" s="320">
        <f>C.w3A*Molweight</f>
        <v>3.6977201294261443E-13</v>
      </c>
      <c r="Q31" s="320">
        <f>C.w3T*Molweight</f>
        <v>1.8634447135514385E-15</v>
      </c>
      <c r="R31" s="120" t="s">
        <v>1489</v>
      </c>
      <c r="S31" s="325"/>
      <c r="T31" s="325"/>
      <c r="U31" s="325">
        <f>F.w3M</f>
        <v>4.4141617314133391E-11</v>
      </c>
      <c r="V31" s="325">
        <f>F.w3A</f>
        <v>3.235376241987806E-12</v>
      </c>
      <c r="W31" s="326">
        <f>F.w3T</f>
        <v>7.9994774729629641E-13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7.4587887797298259E-3</v>
      </c>
      <c r="AY31" s="75"/>
      <c r="AZ31" s="75"/>
      <c r="BA31" s="87"/>
      <c r="BB31" s="2"/>
      <c r="BC31" s="86"/>
      <c r="BD31" s="277">
        <f>IF(ISERROR(output!D39),0,output!D39)</f>
        <v>1.151698956703495E-2</v>
      </c>
      <c r="BE31" s="75"/>
      <c r="BF31" s="277">
        <f>IF(ISERROR(output!D43),0,output!D43)</f>
        <v>0.19103252974052021</v>
      </c>
      <c r="BG31" s="75"/>
      <c r="BH31" s="273">
        <f>IF(ISERROR(output!D47),0,output!D47)</f>
        <v>1.8410296321357664E-3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23916.671829896964</v>
      </c>
      <c r="H32" s="122">
        <f>G32/$G$51</f>
        <v>0.37354276561512301</v>
      </c>
      <c r="I32" s="318">
        <f>FRw.w3A*I31</f>
        <v>14889.623584726887</v>
      </c>
      <c r="J32" s="122">
        <f>I32/$I$51</f>
        <v>0.40476254165821435</v>
      </c>
      <c r="K32" s="318">
        <f>FRw.w3T*K31</f>
        <v>262.62389484875996</v>
      </c>
      <c r="L32" s="123">
        <f>K32/$K$51</f>
        <v>0.46404229831922639</v>
      </c>
      <c r="M32" s="320"/>
      <c r="N32" s="320"/>
      <c r="O32" s="320">
        <f>O31*FRw.w3M</f>
        <v>2.0554602735961961E-13</v>
      </c>
      <c r="P32" s="320">
        <f>P31*FRw.w3A</f>
        <v>1.9463560241473057E-13</v>
      </c>
      <c r="Q32" s="320">
        <f>Q31*FRw.w3T</f>
        <v>9.8085488272179264E-16</v>
      </c>
      <c r="R32" s="120" t="s">
        <v>1489</v>
      </c>
      <c r="S32" s="325"/>
      <c r="T32" s="325"/>
      <c r="U32" s="325">
        <f>U31*FRw.w3M</f>
        <v>2.3234668868328302E-11</v>
      </c>
      <c r="V32" s="325">
        <f>V31*FRw.w3A</f>
        <v>1.7029936876140244E-12</v>
      </c>
      <c r="W32" s="326">
        <f>W31*FRw.w3T</f>
        <v>4.2106570060910587E-13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1.2924617520566669E-3</v>
      </c>
      <c r="AE32" s="325">
        <f>(k.aM.aA+k.aM.aC+k.aM.aT)*M.aM*Molweight</f>
        <v>2.3800956835428248E-5</v>
      </c>
      <c r="AF32" s="325">
        <f>kesc.aM*M.aM*Molweight</f>
        <v>7.4867981878450818E-9</v>
      </c>
      <c r="AG32" s="326">
        <f>KDEG.aM*M.aM*Molweight</f>
        <v>1.362313106895703E-3</v>
      </c>
      <c r="AH32" s="325">
        <f>AH33</f>
        <v>6.8908438922350707E-5</v>
      </c>
      <c r="AI32" s="325">
        <f>AI33</f>
        <v>2.1509518004426907E-4</v>
      </c>
      <c r="AJ32" s="325">
        <f>AJ36</f>
        <v>7.419920117934365E-5</v>
      </c>
      <c r="AK32" s="325">
        <f>AK36</f>
        <v>2.1672258530077471E-5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0.55606680794913721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21520.626257966149</v>
      </c>
      <c r="H33" s="122">
        <f>G33/$G$51</f>
        <v>0.33612010514444324</v>
      </c>
      <c r="I33" s="318">
        <f>(1-FRw.w3A)*I31</f>
        <v>13397.935405383116</v>
      </c>
      <c r="J33" s="122">
        <f>I33/$I$51</f>
        <v>0.36421218822604101</v>
      </c>
      <c r="K33" s="318">
        <f>(1-FRw.w3T)*K31</f>
        <v>236.31342720463763</v>
      </c>
      <c r="L33" s="123">
        <f>K33/$K$51</f>
        <v>0.41755311696555258</v>
      </c>
      <c r="M33" s="320"/>
      <c r="N33" s="320"/>
      <c r="O33" s="320">
        <f>O32*Kp.susp3M</f>
        <v>5.1128696710049977E-10</v>
      </c>
      <c r="P33" s="320">
        <f>P32*Kp.susp3A</f>
        <v>4.8414775087964747E-10</v>
      </c>
      <c r="Q33" s="320">
        <f>Q32*Kp.susp3T</f>
        <v>2.4398346423651839E-12</v>
      </c>
      <c r="R33" s="120" t="s">
        <v>1494</v>
      </c>
      <c r="S33" s="325"/>
      <c r="T33" s="325"/>
      <c r="U33" s="325">
        <f>U31*(1-FRw.w3M)</f>
        <v>2.0906948445805089E-11</v>
      </c>
      <c r="V33" s="325">
        <f>V31*(1-FRw.w3A)</f>
        <v>1.5323825543737815E-12</v>
      </c>
      <c r="W33" s="326">
        <f>W31*(1-FRw.w3T)</f>
        <v>3.7888204668719054E-13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3.5913562599478813E-3</v>
      </c>
      <c r="AE33" s="325">
        <f>(k.w2M.w2C+k.w2M.w2A+k.w2M.w2T+k.w2M.w3M)*M.w2M*Molweight</f>
        <v>2.9824571274635263E-3</v>
      </c>
      <c r="AF33" s="330"/>
      <c r="AG33" s="326">
        <f>KDEG.w2M*M.w2M*Molweight</f>
        <v>4.6416426115146144E-4</v>
      </c>
      <c r="AH33" s="325">
        <f>k.aM.w2M*M.aM*Molweight</f>
        <v>6.8908438922350707E-5</v>
      </c>
      <c r="AI33" s="325">
        <f>k.w2M.aM*M.w2M*Molweight</f>
        <v>2.1509518004426907E-4</v>
      </c>
      <c r="AJ33" s="325"/>
      <c r="AK33" s="325"/>
      <c r="AL33" s="325">
        <f>AL36</f>
        <v>1.4518697890233214E-6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2.602121330396378E-4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2.5838112614348942E-3</v>
      </c>
      <c r="AE34" s="325">
        <f>(k.w3M.w2M+k.w3M.w3A+k.w3M.w3T)*M.w3M*Molweight</f>
        <v>4.3587397949772862E-4</v>
      </c>
      <c r="AF34" s="330"/>
      <c r="AG34" s="326">
        <f>KDEG.w3M*M.w3M*Molweight</f>
        <v>2.0779840079084497E-3</v>
      </c>
      <c r="AH34" s="325"/>
      <c r="AI34" s="325"/>
      <c r="AJ34" s="325"/>
      <c r="AK34" s="325"/>
      <c r="AL34" s="325"/>
      <c r="AM34" s="325">
        <f>k.w3M.sdM*M.w3M*Molweight</f>
        <v>2.0778704431669901E-4</v>
      </c>
      <c r="AN34" s="326">
        <f>k.sdM.w3M*M.sdM*Molweight</f>
        <v>1.3783377028798286E-4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0.75305044343040639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272133.16842765309</v>
      </c>
      <c r="D35" s="122">
        <f>C35/$C$51</f>
        <v>1.3405509595318861E-2</v>
      </c>
      <c r="E35" s="318">
        <f>M.sd2C*Molweight</f>
        <v>242515.78165198237</v>
      </c>
      <c r="F35" s="122">
        <f>E35/$E$51</f>
        <v>0.59363597204815888</v>
      </c>
      <c r="G35" s="318">
        <f>M.sdM*Molweight</f>
        <v>7243.9406188639659</v>
      </c>
      <c r="H35" s="122">
        <f>G35/$G$51</f>
        <v>0.11313955520097251</v>
      </c>
      <c r="I35" s="318">
        <f>M.sdA*Molweight</f>
        <v>6121.6942725850067</v>
      </c>
      <c r="J35" s="122">
        <f>I35/$I$51</f>
        <v>0.16641337633059383</v>
      </c>
      <c r="K35" s="318">
        <f>M.sdT*Molweight</f>
        <v>53.308792881968984</v>
      </c>
      <c r="L35" s="123">
        <f>K35/$K$51</f>
        <v>9.4193770082567588E-2</v>
      </c>
      <c r="M35" s="320">
        <f>C.sd2R*(Molweight*1000)/(FRACw.sdR*1000+FRACs.sdR*RHOsolid)</f>
        <v>6.9777735494269957E-3</v>
      </c>
      <c r="N35" s="320">
        <f>C.sd2C*(Molweight*1000)/(FRACw.sdC*1000+FRACs.sdC*RHOsolid)</f>
        <v>1.6745668740300306E-6</v>
      </c>
      <c r="O35" s="320">
        <f>C.sdM*(Molweight*1000)/(FRACw.sdM*1000+FRACs.sdM*RHOsolid)</f>
        <v>4.7889452539037853E-9</v>
      </c>
      <c r="P35" s="320">
        <f>C.sdA*(Molweight*1000)/(FRACw.sdA*1000+FRACs.sdA*RHOsolid)</f>
        <v>6.1555497964655675E-9</v>
      </c>
      <c r="Q35" s="320">
        <f>C.sdT*(Molweight*1000)/(FRACw.sdT*1000+FRACs.sdT*RHOsolid)</f>
        <v>1.5315317929173019E-11</v>
      </c>
      <c r="R35" s="120" t="s">
        <v>1495</v>
      </c>
      <c r="S35" s="325">
        <f>F.sd2R</f>
        <v>1.0496628954006593E-2</v>
      </c>
      <c r="T35" s="325">
        <f>F.sd2C</f>
        <v>2.5190423579749664E-6</v>
      </c>
      <c r="U35" s="325">
        <f>F.sdM</f>
        <v>7.2039857778713453E-9</v>
      </c>
      <c r="V35" s="325">
        <f>F.sdA</f>
        <v>7.1674253437766247E-10</v>
      </c>
      <c r="W35" s="326">
        <f>F.sdT</f>
        <v>8.749368307746624E-11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2.1615442985959755E-8</v>
      </c>
      <c r="AG35" s="326">
        <f>KDEG.sdM*M.sdM*Molweight</f>
        <v>6.9931658585730227E-5</v>
      </c>
      <c r="AH35" s="325"/>
      <c r="AI35" s="325"/>
      <c r="AJ35" s="325"/>
      <c r="AK35" s="325"/>
      <c r="AL35" s="325"/>
      <c r="AM35" s="325">
        <f>k.w3M.sdM*M.w3M*Molweight</f>
        <v>2.0778704431669901E-4</v>
      </c>
      <c r="AN35" s="326">
        <f>k.sdM.w3M*M.sdM*Molweight</f>
        <v>1.3783377028798286E-4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0.15153524423800252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217706.53474212249</v>
      </c>
      <c r="D36" s="122">
        <f>C36/$C$51</f>
        <v>1.072440767625509E-2</v>
      </c>
      <c r="E36" s="318">
        <f>E35*FRACw.sdC</f>
        <v>194012.62532158592</v>
      </c>
      <c r="F36" s="122">
        <f>E36/$E$51</f>
        <v>0.47490877763852718</v>
      </c>
      <c r="G36" s="318">
        <f>G35*FRACw.sdM</f>
        <v>5795.1524950911735</v>
      </c>
      <c r="H36" s="122">
        <f>G36/$G$51</f>
        <v>9.0511644160778018E-2</v>
      </c>
      <c r="I36" s="318">
        <f>I35*FRACw.sdA</f>
        <v>4897.3554180680057</v>
      </c>
      <c r="J36" s="122">
        <f>I36/$I$51</f>
        <v>0.13313070106447508</v>
      </c>
      <c r="K36" s="318">
        <f>K35*FRACw.sdT</f>
        <v>42.64703430557519</v>
      </c>
      <c r="L36" s="123">
        <f>K36/$K$51</f>
        <v>7.5355016066054076E-2</v>
      </c>
      <c r="M36" s="320">
        <f>M37/Kp.sd2R</f>
        <v>9.2858667123292031E-5</v>
      </c>
      <c r="N36" s="320">
        <f>N37/Kp.sd2C</f>
        <v>2.2284765596042535E-8</v>
      </c>
      <c r="O36" s="320">
        <f>O37/Kp.sdM</f>
        <v>6.3730224269092047E-11</v>
      </c>
      <c r="P36" s="320">
        <f>P37/Kp.sdA</f>
        <v>8.1916695269909226E-11</v>
      </c>
      <c r="Q36" s="320">
        <f>Q37/Kp.sdT</f>
        <v>2.0381286371628516E-13</v>
      </c>
      <c r="R36" s="120" t="s">
        <v>1489</v>
      </c>
      <c r="S36" s="325">
        <f>S35*FRACw.sdR</f>
        <v>8.3973031632052757E-3</v>
      </c>
      <c r="T36" s="325">
        <f>T35*FRACw.sdC</f>
        <v>2.0152338863799731E-6</v>
      </c>
      <c r="U36" s="325">
        <f>U35*FRACw.sdM</f>
        <v>5.7631886222970767E-9</v>
      </c>
      <c r="V36" s="325">
        <f>V35*FRACw.sdA</f>
        <v>5.7339402750213001E-10</v>
      </c>
      <c r="W36" s="326">
        <f>W35*FRACw.sdT</f>
        <v>6.9994946461972999E-11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9.5911311525710057E-9</v>
      </c>
      <c r="AG36" s="326">
        <f>KDEG.sM*M.sM*Molweight</f>
        <v>5.1065481729090259E-5</v>
      </c>
      <c r="AH36" s="325"/>
      <c r="AI36" s="325"/>
      <c r="AJ36" s="325">
        <f>k.aM.sM*M.aM*Molweight</f>
        <v>7.419920117934365E-5</v>
      </c>
      <c r="AK36" s="325">
        <f>k.sM.aM*M.sM*Molweight</f>
        <v>2.1672258530077471E-5</v>
      </c>
      <c r="AL36" s="325">
        <f>k.sM.w2M*M.sM*Molweight</f>
        <v>1.4518697890233214E-6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54426.633685530607</v>
      </c>
      <c r="D37" s="122">
        <f>C37/$C$51</f>
        <v>2.6811019190637717E-3</v>
      </c>
      <c r="E37" s="318">
        <f>E35*FRACs.sdC</f>
        <v>48503.156330396465</v>
      </c>
      <c r="F37" s="122">
        <f>E37/$E$51</f>
        <v>0.11872719440963177</v>
      </c>
      <c r="G37" s="318">
        <f>G35*FRACs.sdM</f>
        <v>1448.7881237727929</v>
      </c>
      <c r="H37" s="122">
        <f>G37/$G$51</f>
        <v>2.2627911040194498E-2</v>
      </c>
      <c r="I37" s="318">
        <f>I35*FRACs.sdA</f>
        <v>1224.338854517001</v>
      </c>
      <c r="J37" s="122">
        <f>I37/$I$51</f>
        <v>3.3282675266118757E-2</v>
      </c>
      <c r="K37" s="318">
        <f>K35*FRACs.sdT</f>
        <v>10.661758576393794</v>
      </c>
      <c r="L37" s="123">
        <f>K37/$K$51</f>
        <v>1.8838754016513512E-2</v>
      </c>
      <c r="M37" s="320">
        <f>C.sd2R*FRACs.sdR/(FRACw.sdR/(Kp.sd2R*RHOsolid/1000)+FRACs.sdR)*(Molweight*1000)/(FRACs.sdR*RHOsolid)</f>
        <v>1.7993637361112921E-2</v>
      </c>
      <c r="N37" s="320">
        <f>C.sd2C*FRACs.sdC/(FRACw.sdC/(Kp.sd2C*RHOsolid/1000)+FRACs.sdC)*(Molweight*1000)/(FRACs.sdC*RHOsolid)</f>
        <v>4.3182182475244119E-6</v>
      </c>
      <c r="O37" s="320">
        <f>C.sdM*FRACs.sdM/(FRACw.sdM/(Kp.sdM*RHOsolid/1000)+FRACs.sdM)*(Molweight*1000)/(FRACs.sdM*RHOsolid)</f>
        <v>1.2349289301319295E-8</v>
      </c>
      <c r="P37" s="320">
        <f>C.sdA*FRACs.sdA/(FRACw.sdA/(Kp.sdA*RHOsolid/1000)+FRACs.sdA)*(Molweight*1000)/(FRACs.sdA*RHOsolid)</f>
        <v>1.587336275837862E-8</v>
      </c>
      <c r="Q37" s="320">
        <f>C.sdT*FRACs.sdT/(FRACw.sdT/(Kp.sdT*RHOsolid/1000)+FRACs.sdT)*(Molweight*1000)/(FRACs.sdT*RHOsolid)</f>
        <v>3.9493726033903797E-11</v>
      </c>
      <c r="R37" s="120" t="s">
        <v>1494</v>
      </c>
      <c r="S37" s="325">
        <f>S35*(1-FRACw.sdR)</f>
        <v>2.0993257908013181E-3</v>
      </c>
      <c r="T37" s="325">
        <f>T35*(1-FRACw.sdC)</f>
        <v>5.0380847159499318E-7</v>
      </c>
      <c r="U37" s="325">
        <f>U35*(1-FRACw.sdM)</f>
        <v>1.4407971555742688E-9</v>
      </c>
      <c r="V37" s="325">
        <f>V35*(1-FRACw.sdA)</f>
        <v>1.4334850687553245E-10</v>
      </c>
      <c r="W37" s="326">
        <f>W35*(1-FRACw.sdT)</f>
        <v>1.7498736615493243E-11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2.8028489259746605E-4</v>
      </c>
      <c r="AW37" s="75"/>
      <c r="AX37" s="75"/>
      <c r="AY37" s="300">
        <f>IF(ISERROR(output!D23),0,output!D23)</f>
        <v>0.773243994965088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7.752426199514013E-6</v>
      </c>
      <c r="AE38" s="325">
        <f>k.aA.aM*M.aA*Molweight</f>
        <v>3.2877295695606618E-7</v>
      </c>
      <c r="AF38" s="325">
        <f>kesc.aA*M.aA*Molweight</f>
        <v>1.7395747922437035E-10</v>
      </c>
      <c r="AG38" s="326">
        <f>KDEG.aA*M.aA*Molweight</f>
        <v>2.6465577684874595E-5</v>
      </c>
      <c r="AH38" s="325">
        <f>AH39</f>
        <v>2.6440785000998298E-6</v>
      </c>
      <c r="AI38" s="325">
        <f>AI39</f>
        <v>2.301437275378797E-5</v>
      </c>
      <c r="AJ38" s="325">
        <f>AJ42</f>
        <v>1.5590686566087463E-6</v>
      </c>
      <c r="AK38" s="325">
        <f>AK42</f>
        <v>2.3087280271648079E-7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233796.0253834645</v>
      </c>
      <c r="D39" s="122">
        <f>C39/$C$51</f>
        <v>1.151698956703495E-2</v>
      </c>
      <c r="E39" s="318">
        <f>M.s1C*Molweight</f>
        <v>14100.58533370067</v>
      </c>
      <c r="F39" s="122">
        <f>E39/$E$51</f>
        <v>3.4515752434748768E-2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4.4569237644997024E-5</v>
      </c>
      <c r="N39" s="320">
        <f>C.s1C*(Molweight*1000)/(FRACw.s1C*1000+(1-FRACa.s1C-FRACw.s1C)*RHOsolid)</f>
        <v>1.7625725498121907E-7</v>
      </c>
      <c r="O39" s="320"/>
      <c r="P39" s="320"/>
      <c r="Q39" s="320"/>
      <c r="R39" s="120" t="s">
        <v>1495</v>
      </c>
      <c r="S39" s="325">
        <f>F.s1R</f>
        <v>7.3538920284693597E-5</v>
      </c>
      <c r="T39" s="325">
        <f>F.s1C</f>
        <v>2.9082319798480477E-7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6.4641240044853931E-4</v>
      </c>
      <c r="AE39" s="325">
        <f>(k.w2A.w2M+k.w2A.w3A)*M.w2A*Molweight</f>
        <v>6.0378443574315933E-4</v>
      </c>
      <c r="AF39" s="330"/>
      <c r="AG39" s="326">
        <f>KDEG.w2A*M.w2A*Molweight</f>
        <v>2.231884851860042E-5</v>
      </c>
      <c r="AH39" s="325">
        <f>k.aA.w2A*M.aA*Molweight</f>
        <v>2.6440785000998298E-6</v>
      </c>
      <c r="AI39" s="325">
        <f>k.w2A.aA*M.w2A*Molweight</f>
        <v>2.301437275378797E-5</v>
      </c>
      <c r="AJ39" s="325"/>
      <c r="AK39" s="325"/>
      <c r="AL39" s="325">
        <f>AL42</f>
        <v>6.117806690852134E-8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401.48825180145815</v>
      </c>
      <c r="D40" s="122">
        <f>C40/$C$51</f>
        <v>1.9777650196150545E-5</v>
      </c>
      <c r="E40" s="318">
        <f>E39*FRw.s1C</f>
        <v>24.214352428444489</v>
      </c>
      <c r="F40" s="122">
        <f>E40/$E$51</f>
        <v>5.9272475149696475E-5</v>
      </c>
      <c r="G40" s="318"/>
      <c r="H40" s="122"/>
      <c r="I40" s="318"/>
      <c r="J40" s="122"/>
      <c r="K40" s="318"/>
      <c r="L40" s="123"/>
      <c r="M40" s="320">
        <f>M41/Kp.s1R</f>
        <v>6.5056373329421426E-7</v>
      </c>
      <c r="N40" s="320">
        <f>N41/Kp.s1C</f>
        <v>2.5727740450513101E-9</v>
      </c>
      <c r="O40" s="320"/>
      <c r="P40" s="320"/>
      <c r="Q40" s="320"/>
      <c r="R40" s="120" t="s">
        <v>1489</v>
      </c>
      <c r="S40" s="325">
        <f>S39*FRACw.s1R</f>
        <v>1.470778405693872E-5</v>
      </c>
      <c r="T40" s="325">
        <f>T39*FRACw.s1C</f>
        <v>5.8164639596960954E-8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6.0378443574315933E-4</v>
      </c>
      <c r="AE40" s="325">
        <f>(k.w3A.w2A+k.w3A.w3M)*M.w3A*Molweight</f>
        <v>3.0935724214113176E-4</v>
      </c>
      <c r="AF40" s="330"/>
      <c r="AG40" s="326">
        <f>KDEG.w3A*M.w3A*Molweight</f>
        <v>2.8155236828915651E-4</v>
      </c>
      <c r="AH40" s="325"/>
      <c r="AI40" s="325"/>
      <c r="AJ40" s="325"/>
      <c r="AK40" s="325"/>
      <c r="AL40" s="325"/>
      <c r="AM40" s="325">
        <f>k.w3A.sdA*M.w3A*Molweight</f>
        <v>1.2936042680449915E-4</v>
      </c>
      <c r="AN40" s="326">
        <f>k.sdA.w3A*M.sdA*Molweight</f>
        <v>1.16485601491628E-4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4.9300047333859518E-3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233394.49826705147</v>
      </c>
      <c r="D41" s="122">
        <f>C41/$C$51</f>
        <v>1.1497210002335227E-2</v>
      </c>
      <c r="E41" s="318">
        <f>E39*FRs.s1C</f>
        <v>14076.368637289812</v>
      </c>
      <c r="F41" s="122">
        <f>E41/$E$51</f>
        <v>3.4456474221942458E-2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5.0425052436496239E-5</v>
      </c>
      <c r="N41" s="320">
        <f>C.s1C*FRs.s1C*(Molweight*1000)/(FRACs.s1C*RHOsolid)</f>
        <v>1.9941515256630218E-7</v>
      </c>
      <c r="O41" s="320"/>
      <c r="P41" s="320"/>
      <c r="Q41" s="320"/>
      <c r="R41" s="120" t="s">
        <v>1494</v>
      </c>
      <c r="S41" s="325">
        <f>S39*(1-FRACw.s1R)</f>
        <v>5.8831136227754879E-5</v>
      </c>
      <c r="T41" s="325">
        <f>T39*(1-FRACw.s1C)</f>
        <v>2.3265855838784382E-7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1.294117679812477E-8</v>
      </c>
      <c r="AG41" s="326">
        <f>KDEG.sdA*M.sdA*Molweight</f>
        <v>1.2861884136072994E-5</v>
      </c>
      <c r="AH41" s="325"/>
      <c r="AI41" s="325"/>
      <c r="AJ41" s="325"/>
      <c r="AK41" s="325"/>
      <c r="AL41" s="325"/>
      <c r="AM41" s="325">
        <f>k.w3A.sdA*M.w3A*Molweight</f>
        <v>1.2936042680449915E-4</v>
      </c>
      <c r="AN41" s="326">
        <f>k.sdA.w3A*M.sdA*Molweight</f>
        <v>1.16485601491628E-4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3.9039055248011676E-10</v>
      </c>
      <c r="AG42" s="326">
        <f>KDEG.sA*M.sA*Molweight</f>
        <v>1.2666273964312642E-6</v>
      </c>
      <c r="AH42" s="325"/>
      <c r="AI42" s="325"/>
      <c r="AJ42" s="325">
        <f>k.aA.sA*M.aA*Molweight</f>
        <v>1.5590686566087463E-6</v>
      </c>
      <c r="AK42" s="325">
        <f>k.sA.aA*M.sA*Molweight</f>
        <v>2.3087280271648079E-7</v>
      </c>
      <c r="AL42" s="325">
        <f>k.sA.w2A*M.sA*Molweight</f>
        <v>6.117806690852134E-8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7.8059373624446296E-3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3877979.2160374857</v>
      </c>
      <c r="D43" s="122">
        <f>C43/$C$51</f>
        <v>0.19103252974052021</v>
      </c>
      <c r="E43" s="318">
        <f>M.s2C*Molweight</f>
        <v>37748.136165224183</v>
      </c>
      <c r="F43" s="122">
        <f>E43/$E$51</f>
        <v>9.2400796982384542E-2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8.3167966222161429E-5</v>
      </c>
      <c r="N43" s="320">
        <f>C.s2C*(Molweight*1000)/(FRACw.s2C*1000+(1-FRACa.s2C-FRACw.s2C)*RHOsolid)</f>
        <v>5.3083297903192216E-8</v>
      </c>
      <c r="O43" s="320"/>
      <c r="P43" s="320"/>
      <c r="Q43" s="320"/>
      <c r="R43" s="120" t="s">
        <v>1495</v>
      </c>
      <c r="S43" s="325">
        <f>F.s2R</f>
        <v>1.3722525954271768E-4</v>
      </c>
      <c r="T43" s="325">
        <f>F.s2C</f>
        <v>8.758623858482567E-8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1.3405509595318861E-2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6659.4311140602513</v>
      </c>
      <c r="D44" s="122">
        <f>C44/$C$51</f>
        <v>3.2804919817274321E-4</v>
      </c>
      <c r="E44" s="318">
        <f>E43*FRw.s2C</f>
        <v>64.822707516554942</v>
      </c>
      <c r="F44" s="122">
        <f>E44/$E$51</f>
        <v>1.5867458490847883E-4</v>
      </c>
      <c r="G44" s="318"/>
      <c r="H44" s="122"/>
      <c r="I44" s="318"/>
      <c r="J44" s="122"/>
      <c r="K44" s="318"/>
      <c r="L44" s="123"/>
      <c r="M44" s="320">
        <f>M45/Kp.s2R</f>
        <v>1.2139663841238006E-6</v>
      </c>
      <c r="N44" s="320">
        <f>N45/Kp.s2C</f>
        <v>7.748336545920414E-10</v>
      </c>
      <c r="O44" s="320"/>
      <c r="P44" s="320"/>
      <c r="Q44" s="320"/>
      <c r="R44" s="120" t="s">
        <v>1489</v>
      </c>
      <c r="S44" s="325">
        <f>S43*FRACw.s2R</f>
        <v>2.7445051908543536E-5</v>
      </c>
      <c r="T44" s="325">
        <f>T43*FRACw.s2C</f>
        <v>1.7517247716965135E-8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1.3427596059486364E-5</v>
      </c>
      <c r="AE44" s="325">
        <f>k.aT.aM*M.aT*Molweight</f>
        <v>6.8912376336985099E-8</v>
      </c>
      <c r="AF44" s="325">
        <f>kesc.aT*M.aT*Molweight</f>
        <v>6.315458295778494E-11</v>
      </c>
      <c r="AG44" s="326">
        <f>KDEG.aT*M.aT*Molweight</f>
        <v>1.277242893635463E-5</v>
      </c>
      <c r="AH44" s="325">
        <f>AH45</f>
        <v>6.5145667164055086E-7</v>
      </c>
      <c r="AI44" s="325">
        <f>AI45</f>
        <v>2.6652393108988851E-7</v>
      </c>
      <c r="AJ44" s="325">
        <f>AJ48</f>
        <v>3.1554480448266858E-7</v>
      </c>
      <c r="AK44" s="325">
        <f>AK48</f>
        <v>1.1428595282154189E-7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2.6271231123537507E-3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3871282.849837149</v>
      </c>
      <c r="D45" s="122">
        <f>C45/$C$51</f>
        <v>0.19070266108881909</v>
      </c>
      <c r="E45" s="318">
        <f>E43*FRs.s2C</f>
        <v>37682.953932659046</v>
      </c>
      <c r="F45" s="122">
        <f>E45/$E$51</f>
        <v>9.2241242343401905E-2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9.409426846716416E-5</v>
      </c>
      <c r="N45" s="320">
        <f>C.s2C*FRs.s2C*(Molweight*1000)/(FRACs.s2C*RHOsolid)</f>
        <v>6.0057186810159955E-8</v>
      </c>
      <c r="O45" s="320"/>
      <c r="P45" s="320"/>
      <c r="Q45" s="320"/>
      <c r="R45" s="120" t="s">
        <v>1494</v>
      </c>
      <c r="S45" s="325">
        <f>S43*(1-FRACw.s2R)</f>
        <v>1.0978020763417415E-4</v>
      </c>
      <c r="T45" s="325">
        <f>T43*(1-FRACw.s2C)</f>
        <v>7.0068990867860542E-8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3.7793576305273678E-6</v>
      </c>
      <c r="AE45" s="325">
        <f>(k.w2T.w2M+k.w2T.w3T)*M.w2T*Molweight</f>
        <v>2.8523652539802793E-6</v>
      </c>
      <c r="AF45" s="330"/>
      <c r="AG45" s="326">
        <f>KDEG.w2T*M.w2T*Molweight</f>
        <v>1.3161123536459439E-6</v>
      </c>
      <c r="AH45" s="325">
        <f>k.aT.w2T*M.aT*Molweight</f>
        <v>6.5145667164055086E-7</v>
      </c>
      <c r="AI45" s="325">
        <f>k.w2T.aT*M.w2T*Molweight</f>
        <v>2.6652393108988851E-7</v>
      </c>
      <c r="AJ45" s="325"/>
      <c r="AK45" s="325"/>
      <c r="AL45" s="325">
        <f>AL48</f>
        <v>4.1872365481937352E-9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6.1230908933766802E-5</v>
      </c>
      <c r="AE46" s="325">
        <f>(k.w3T.w2T+k.w3T.w3M)*M.w3T*Molweight</f>
        <v>3.7793576305273678E-6</v>
      </c>
      <c r="AF46" s="330"/>
      <c r="AG46" s="326">
        <f>KDEG.w3T*M.w3T*Molweight</f>
        <v>5.6184263043854787E-5</v>
      </c>
      <c r="AH46" s="325"/>
      <c r="AI46" s="325"/>
      <c r="AJ46" s="325"/>
      <c r="AK46" s="325"/>
      <c r="AL46" s="325"/>
      <c r="AM46" s="325">
        <f>k.w3T.sdT*M.w3T*Molweight</f>
        <v>2.2816654117128668E-6</v>
      </c>
      <c r="AN46" s="326">
        <f>k.sdT.w3T*M.sdT*Molweight</f>
        <v>1.0143771523282235E-6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37373.083313240946</v>
      </c>
      <c r="D47" s="122">
        <f>C47/$C$51</f>
        <v>1.8410296321357664E-3</v>
      </c>
      <c r="E47" s="318">
        <f>M.s3C*Molweight</f>
        <v>5222.4399563680909</v>
      </c>
      <c r="F47" s="122">
        <f>E47/$E$51</f>
        <v>1.2783614323337685E-2</v>
      </c>
      <c r="G47" s="318">
        <f>M.sM*Molweight</f>
        <v>1175.4819707005745</v>
      </c>
      <c r="H47" s="122">
        <f>G47/$G$51</f>
        <v>1.8359276298524154E-2</v>
      </c>
      <c r="I47" s="318">
        <f>M.sA*Molweight</f>
        <v>133.96871970613438</v>
      </c>
      <c r="J47" s="122">
        <f>I47/$I$51</f>
        <v>3.6418327959998925E-3</v>
      </c>
      <c r="K47" s="318">
        <f>M.sT*Molweight</f>
        <v>1.8420953350172202</v>
      </c>
      <c r="L47" s="123">
        <f>K47/$K$51</f>
        <v>3.2548833893305288E-3</v>
      </c>
      <c r="M47" s="320">
        <f>C.s3R*(Molweight*1000)/(FRACw.s3R*1000+(1-FRACa.s3R-FRACw.s3R)*RHOsolid)</f>
        <v>1.9236266049654468E-5</v>
      </c>
      <c r="N47" s="320">
        <f>C.s3C*(Molweight*1000)/(FRACw.s3C*1000+(1-FRACa.s3C-FRACw.s3C)*RHOsolid)</f>
        <v>1.7625728683737269E-7</v>
      </c>
      <c r="O47" s="320">
        <f>C.sM*(Molweight*1000)/(FRACw.sM*1000+(1-FRACa.sM-FRACw.sM)*RHOsolid)</f>
        <v>3.565550931493081E-10</v>
      </c>
      <c r="P47" s="320">
        <f>C.sA*(Molweight*1000)/(FRACw.sA*1000+(1-FRACa.sA-FRACw.sA)*RHOsolid)</f>
        <v>9.2711916751650095E-11</v>
      </c>
      <c r="Q47" s="320">
        <f>C.sT*(Molweight*1000)/(FRACw.sT*1000+(1-FRACa.sT-FRACw.sT)*RHOsolid)</f>
        <v>5.6658064898645744E-13</v>
      </c>
      <c r="R47" s="120" t="s">
        <v>1495</v>
      </c>
      <c r="S47" s="325">
        <f>F.s3R</f>
        <v>3.1739403056284097E-5</v>
      </c>
      <c r="T47" s="325">
        <f>F.s3C</f>
        <v>2.9082052899964633E-7</v>
      </c>
      <c r="U47" s="325">
        <f>F.sM</f>
        <v>5.8831332905133918E-10</v>
      </c>
      <c r="V47" s="325">
        <f>F.sA</f>
        <v>1.1840799417157701E-11</v>
      </c>
      <c r="W47" s="326">
        <f>F.sT</f>
        <v>3.550269313436095E-12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1.1269404887952234E-10</v>
      </c>
      <c r="AG47" s="326">
        <f>KDEG.sdT*M.sdT*Molweight</f>
        <v>1.2671755653357642E-6</v>
      </c>
      <c r="AH47" s="325"/>
      <c r="AI47" s="325"/>
      <c r="AJ47" s="325"/>
      <c r="AK47" s="325"/>
      <c r="AL47" s="325"/>
      <c r="AM47" s="325">
        <f>k.w3T.sdT*M.w3T*Molweight</f>
        <v>2.2816654117128668E-6</v>
      </c>
      <c r="AN47" s="326">
        <f>k.sdT.w3T*M.sdT*Molweight</f>
        <v>1.0143771523282235E-6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2.4880951670492484E-4</v>
      </c>
      <c r="AW47" s="75"/>
      <c r="AX47" s="290">
        <f>output!AF16</f>
        <v>4.5448391243266856E-2</v>
      </c>
      <c r="AY47" s="75"/>
      <c r="AZ47" s="75"/>
      <c r="BA47" s="75"/>
      <c r="BB47" s="75"/>
      <c r="BC47" s="2"/>
      <c r="BD47" s="295">
        <f>output!AF18</f>
        <v>1.9076161083663419E-6</v>
      </c>
      <c r="BE47" s="75"/>
      <c r="BF47" s="295">
        <f>output!AF20</f>
        <v>3.0493601617223476E-7</v>
      </c>
      <c r="BG47" s="75"/>
      <c r="BH47" s="299">
        <f>output!AF19</f>
        <v>1.4398539090760508E-5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64.178650781648997</v>
      </c>
      <c r="D48" s="122">
        <f>C48/$C$51</f>
        <v>3.1614945132891373E-6</v>
      </c>
      <c r="E48" s="318">
        <f>E47*FRw.s3C</f>
        <v>8.9681963722038027</v>
      </c>
      <c r="F48" s="122">
        <f>E48/$E$51</f>
        <v>2.1952567105805335E-5</v>
      </c>
      <c r="G48" s="318">
        <f>G47*FRw.sM</f>
        <v>2.0186066066206325</v>
      </c>
      <c r="H48" s="122">
        <f>G48/$G$51</f>
        <v>3.152762641428434E-5</v>
      </c>
      <c r="I48" s="318">
        <f>I47*FRw.sA</f>
        <v>0.23005898057443577</v>
      </c>
      <c r="J48" s="122">
        <f>I48/$I$51</f>
        <v>6.2539698991533925E-6</v>
      </c>
      <c r="K48" s="318">
        <f>K47*FRw.sT</f>
        <v>3.1633528025533076E-3</v>
      </c>
      <c r="L48" s="123">
        <f>K48/$K$51</f>
        <v>5.5894742774139232E-6</v>
      </c>
      <c r="M48" s="320">
        <f>M49/Kp.s3R</f>
        <v>2.8078335206566479E-7</v>
      </c>
      <c r="N48" s="320">
        <f>N49/Kp.s3C</f>
        <v>2.5727504338133149E-9</v>
      </c>
      <c r="O48" s="320">
        <f>O49/Kp.sM</f>
        <v>5.2045272654628489E-12</v>
      </c>
      <c r="P48" s="320">
        <f>P49/Kp.sA</f>
        <v>1.353288121026093E-12</v>
      </c>
      <c r="Q48" s="320">
        <f>Q49/Kp.sT</f>
        <v>8.2702034053681215E-15</v>
      </c>
      <c r="R48" s="120" t="s">
        <v>1489</v>
      </c>
      <c r="S48" s="325">
        <f>S47*FRACw.s3R</f>
        <v>6.3478806112568194E-6</v>
      </c>
      <c r="T48" s="325">
        <f>T47*FRACw.s3C</f>
        <v>5.8164105799929267E-8</v>
      </c>
      <c r="U48" s="325">
        <f>U47*FRACw.sM</f>
        <v>1.1766266581026784E-10</v>
      </c>
      <c r="V48" s="325">
        <f>V47*FRACw.sA</f>
        <v>2.3681598834315402E-12</v>
      </c>
      <c r="W48" s="326">
        <f>W47*FRACw.sT</f>
        <v>7.1005386268721908E-13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2.791329351722251E-11</v>
      </c>
      <c r="AG48" s="326">
        <f>KDEG.sT*M.sT*Molweight</f>
        <v>1.9704370181941573E-7</v>
      </c>
      <c r="AH48" s="325"/>
      <c r="AI48" s="325"/>
      <c r="AJ48" s="325">
        <f>k.aT.sT*M.aT*Molweight</f>
        <v>3.1554480448266858E-7</v>
      </c>
      <c r="AK48" s="325">
        <f>k.sT.aT*M.sT*Molweight</f>
        <v>1.1428595282154189E-7</v>
      </c>
      <c r="AL48" s="333">
        <f>k.sT.w2T*M.sT*Molweight</f>
        <v>4.1872365481937352E-9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37308.548709531322</v>
      </c>
      <c r="D49" s="122">
        <f>C49/$C$51</f>
        <v>1.8378506030807709E-3</v>
      </c>
      <c r="E49" s="318">
        <f>E47*FRs.s3C</f>
        <v>5213.4220198452531</v>
      </c>
      <c r="F49" s="122">
        <f>E49/$E$51</f>
        <v>1.2761540001093016E-2</v>
      </c>
      <c r="G49" s="318">
        <f>G47*FRs.sM</f>
        <v>1173.463168690075</v>
      </c>
      <c r="H49" s="122">
        <f>G49/$G$51</f>
        <v>1.8327745620192536E-2</v>
      </c>
      <c r="I49" s="318">
        <f>I47*FRs.sA</f>
        <v>133.73865885757596</v>
      </c>
      <c r="J49" s="122">
        <f>I49/$I$51</f>
        <v>3.6355787753210842E-3</v>
      </c>
      <c r="K49" s="318">
        <f>K47*FRs.sT</f>
        <v>1.8389308700337885</v>
      </c>
      <c r="L49" s="123">
        <f>K49/$K$51</f>
        <v>3.2492919498893157E-3</v>
      </c>
      <c r="M49" s="320">
        <f>C.s3R*FRs.s3R*(Molweight*1000)/(FRACs.s3R*RHOsolid)</f>
        <v>2.1763456102160575E-5</v>
      </c>
      <c r="N49" s="320">
        <f>C.s3C*FRs.s3C*(Molweight*1000)/(FRACs.s3C*RHOsolid)</f>
        <v>1.994133224644181E-7</v>
      </c>
      <c r="O49" s="320">
        <f>C.sM*FRs.sM*(Molweight*1000)/(FRACs.sM*RHOsolid)</f>
        <v>4.0340176809310699E-10</v>
      </c>
      <c r="P49" s="320">
        <f>C.sA*FRs.sA*(Molweight*1000)/(FRACs.sA*RHOsolid)</f>
        <v>1.0489306577064782E-10</v>
      </c>
      <c r="Q49" s="320">
        <f>C.sT*FRs.sT*(Molweight*1000)/(FRACs.sT*RHOsolid)</f>
        <v>6.4102165404227895E-13</v>
      </c>
      <c r="R49" s="120" t="s">
        <v>1494</v>
      </c>
      <c r="S49" s="325">
        <f>S47*(1-FRACw.s3R)</f>
        <v>2.5391522445027278E-5</v>
      </c>
      <c r="T49" s="325">
        <f>T47*(1-FRACw.s3C)</f>
        <v>2.3265642319971707E-7</v>
      </c>
      <c r="U49" s="325">
        <f>U47*(1-FRACw.sM)</f>
        <v>4.7065066324107135E-10</v>
      </c>
      <c r="V49" s="325">
        <f>V47*(1-FRACw.sA)</f>
        <v>9.472639533726161E-12</v>
      </c>
      <c r="W49" s="326">
        <f>W47*(1-FRACw.sT)</f>
        <v>2.8402154507488763E-12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4.5735440306474015E-2</v>
      </c>
      <c r="AG49" s="336">
        <f>SUM(AG11:AG48)</f>
        <v>0.9055583192064639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20300098.738706708</v>
      </c>
      <c r="D51" s="130">
        <f>C51/SUM($C$51,$E$51,$G$51,$I$51,$K$51)</f>
        <v>0.97549713505374336</v>
      </c>
      <c r="E51" s="317">
        <f>SUM(E11,E15,E19,E23,E27,E31,E35,E39,E43,E47)</f>
        <v>408526.08849705657</v>
      </c>
      <c r="F51" s="130">
        <f>E51/SUM($C$51,$E$51,$G$51,$I$51,$K$51)</f>
        <v>1.9631235988213702E-2</v>
      </c>
      <c r="G51" s="317">
        <f>SUM(G11,G15,G19,G23,G27,G31,G35,G39,G43,G47)</f>
        <v>64026.596233265904</v>
      </c>
      <c r="H51" s="130">
        <f>G51/SUM($C$51,$E$51,$G$51,$I$51,$K$51)</f>
        <v>3.0767220394698823E-3</v>
      </c>
      <c r="I51" s="317">
        <f>SUM(I11,I15,I19,I23,I27,I31,I35,I39,I43,I47)</f>
        <v>36786.070973187627</v>
      </c>
      <c r="J51" s="130">
        <f>I51/SUM($C$51,$E$51,$G$51,$I$51,$K$51)</f>
        <v>1.7677109508736492E-3</v>
      </c>
      <c r="K51" s="317">
        <f>SUM(K11,K15,K19,K23,K27,K31,K35,K39,K43,K47)</f>
        <v>565.94818144809369</v>
      </c>
      <c r="L51" s="130">
        <f>K51/SUM($C$51,$E$51,$G$51,$I$51,$K$51)</f>
        <v>2.7195967699350403E-5</v>
      </c>
      <c r="M51" s="199"/>
      <c r="N51" s="199"/>
      <c r="O51" s="199"/>
      <c r="P51" s="199"/>
      <c r="Q51" s="199"/>
      <c r="R51" s="199"/>
      <c r="S51" s="328">
        <f>SUM(S11,S15,S19,S23,S27,S35,S39,S43,S47)</f>
        <v>0.10811913119200202</v>
      </c>
      <c r="T51" s="328">
        <f>SUM(T11,T15,T19,T23,T27,T35,T39,T43,T47)</f>
        <v>5.8096785962831575E-6</v>
      </c>
      <c r="U51" s="328">
        <f>SUM(U11,U15,U19,U23,U27,U35,U39,U43,U47)</f>
        <v>8.0904159531384153E-9</v>
      </c>
      <c r="V51" s="328">
        <f>SUM(V11,V15,V19,V23,V27,V35,V39,V43,V47)</f>
        <v>7.3636809697367332E-10</v>
      </c>
      <c r="W51" s="328">
        <f>SUM(W11,W15,W19,W23,W27,W35,W39,W43,W47)</f>
        <v>9.1618543707581872E-11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3.1817915968801421E-8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8.8402517401728082E-8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8.6886456282081991E-6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5.6898109946963595E-7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6.4032163679066834E-2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6.9777735494269957E-3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4.4569237644997024E-5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8.3167966222161429E-5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1.9236266049654468E-5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6.2329215468667883E-2</v>
      </c>
      <c r="AY72" s="75"/>
      <c r="AZ72" s="256">
        <f>output!AF22</f>
        <v>3.4253965190423314E-7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6.881147865521392E-2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1.5729491079001592E-3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2.2888822565370272E-3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2.5997126148625692E-4</v>
      </c>
      <c r="BE84" s="2"/>
      <c r="BF84" s="304">
        <f>IF(output!AK30&lt;0,"",output!AK30)</f>
        <v>9.628566980466787E-5</v>
      </c>
      <c r="BG84" s="75"/>
      <c r="BH84" s="311">
        <f>IF(output!AK29&lt;0,"",output!AK29)</f>
        <v>3.1669913184314869E-4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1.0745955808962209E-3</v>
      </c>
      <c r="AV85" s="87"/>
      <c r="AW85" s="75"/>
      <c r="AX85" s="304">
        <f>output!AL24</f>
        <v>4.1325603045868702E-5</v>
      </c>
      <c r="AY85" s="87"/>
      <c r="AZ85" s="201"/>
      <c r="BA85" s="311">
        <f>IF(output!AI23&lt;0,"",output!AI23)</f>
        <v>3.356567021894537E-6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8.9006228423750588E-4</v>
      </c>
      <c r="BE86" s="87"/>
      <c r="BF86" s="304">
        <f>IF(output!AJ30&lt;0,"",output!AJ30)</f>
        <v>3.2965269786574284E-4</v>
      </c>
      <c r="BG86" s="75"/>
      <c r="BH86" s="311">
        <f>IF(output!AJ29&lt;0,"",output!AJ29)</f>
        <v>1.9779161871944571E-3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3.4085646923958969E-3</v>
      </c>
      <c r="AV87" s="200"/>
      <c r="AW87" s="84"/>
      <c r="AX87" s="304">
        <f>IF(output!AH24&lt;0,"",output!AH24)</f>
        <v>8.7991106974959983E-5</v>
      </c>
      <c r="AY87" s="291">
        <f>output!AL24</f>
        <v>4.1325603045868702E-5</v>
      </c>
      <c r="AZ87" s="75"/>
      <c r="BA87" s="311">
        <f>IF(output!AH23&lt;0,"",output!AH23)</f>
        <v>7.9991915431781801E-6</v>
      </c>
      <c r="BB87" s="291">
        <f>output!AL23</f>
        <v>3.7568730041698821E-6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4.1590445107144332E-7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4.81713370764506E-6</v>
      </c>
      <c r="AT89" s="83"/>
      <c r="AU89" s="302"/>
      <c r="AV89" s="75"/>
      <c r="AW89" s="81"/>
      <c r="AX89" s="265">
        <f>output!AD24</f>
        <v>4.1590445107144332E-7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3.2155442748193221E-3</v>
      </c>
      <c r="AT90" s="81"/>
      <c r="AU90" s="278">
        <f>output!AD25</f>
        <v>7.8606207638639951E-3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7.9835930743820798E-6</v>
      </c>
      <c r="BB91" s="309">
        <f>IF(ISERROR(output!F15),0,output!F15)</f>
        <v>4.2467684660394339E-4</v>
      </c>
      <c r="BC91" s="2"/>
      <c r="BD91" s="295">
        <f>output!AG28</f>
        <v>6.1255995470387849E-4</v>
      </c>
      <c r="BE91" s="2"/>
      <c r="BF91" s="312">
        <f>output!AG30</f>
        <v>2.2687409830219983E-4</v>
      </c>
      <c r="BG91" s="75"/>
      <c r="BH91" s="295">
        <f>output!AG29</f>
        <v>1.6398607598410225E-3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1.6231836390053018E-4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3.0187732972118601E-6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2.2518955867987443E-4</v>
      </c>
      <c r="AZ96" s="75"/>
      <c r="BA96" s="75"/>
      <c r="BB96" s="43"/>
      <c r="BC96" s="2"/>
      <c r="BD96" s="277">
        <f>IF(ISERROR(output!F39),0,output!F39)</f>
        <v>3.4515752434748768E-2</v>
      </c>
      <c r="BE96" s="43"/>
      <c r="BF96" s="277">
        <f>IF(ISERROR(output!F47),0,output!F47)</f>
        <v>1.2783614323337685E-2</v>
      </c>
      <c r="BG96" s="43"/>
      <c r="BH96" s="277">
        <f>IF(ISERROR(output!F43),0,output!F43)</f>
        <v>9.2400796982384542E-2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4.6378432444712471E-3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3.0477985598133597E-4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6.1330406638586854E-5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0.24823703043055087</v>
      </c>
      <c r="AW101" s="56"/>
      <c r="AX101" s="307"/>
      <c r="AY101" s="276">
        <f>IF(ISERROR(output!F23),0,output!F23)</f>
        <v>1.5550956313777784E-2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4.6151823136734169E-3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6.9563846697465121E-3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0.59363597204815888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2.3412023560730973E-3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1.8259890662874687E-5</v>
      </c>
      <c r="AY111" s="75"/>
      <c r="AZ111" s="75"/>
      <c r="BA111" s="75"/>
      <c r="BB111" s="76"/>
      <c r="BC111" s="2"/>
      <c r="BD111" s="295">
        <f>output!AF28</f>
        <v>1.1505115912831944E-7</v>
      </c>
      <c r="BE111" s="76"/>
      <c r="BF111" s="295">
        <f>output!AF30</f>
        <v>4.2611149357039364E-8</v>
      </c>
      <c r="BG111" s="43"/>
      <c r="BH111" s="294">
        <f>output!AF29</f>
        <v>1.4015495800766486E-7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1.2988410116239719E-10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1.9908150806505576E-10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2.3058234664198296E-10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1.3654740933793702E-10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1.699308176840399E-6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1.6745668740300306E-6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1.7625725498121907E-7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5.3083297903192216E-8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1.7625728683737269E-7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2.3800956835428248E-5</v>
      </c>
      <c r="AT136" s="81">
        <f>output!AD32</f>
        <v>1.2924617520566669E-3</v>
      </c>
      <c r="AU136" s="268">
        <f>output!AF32</f>
        <v>7.4867981878450818E-9</v>
      </c>
      <c r="AV136" s="221"/>
      <c r="AW136" s="221"/>
      <c r="AX136" s="221"/>
      <c r="AY136" s="279">
        <f>output!AE38</f>
        <v>3.2877295695606618E-7</v>
      </c>
      <c r="AZ136" s="266">
        <f>output!AD38</f>
        <v>7.752426199514013E-6</v>
      </c>
      <c r="BA136" s="268">
        <f>output!AF38</f>
        <v>1.7395747922437035E-10</v>
      </c>
      <c r="BB136" s="75"/>
      <c r="BC136" s="75"/>
      <c r="BD136" s="75"/>
      <c r="BE136" s="279">
        <f>output!AE44</f>
        <v>6.8912376336985099E-8</v>
      </c>
      <c r="BF136" s="266">
        <f>output!AD44</f>
        <v>1.3427596059486364E-5</v>
      </c>
      <c r="BG136" s="268">
        <f>output!AF44</f>
        <v>6.315458295778494E-11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1.362313106895703E-3</v>
      </c>
      <c r="AV141" s="223" t="s">
        <v>446</v>
      </c>
      <c r="AW141" s="221"/>
      <c r="AX141" s="221"/>
      <c r="AY141" s="2"/>
      <c r="AZ141" s="202"/>
      <c r="BA141" s="269">
        <f>output!AG38</f>
        <v>2.6465577684874595E-5</v>
      </c>
      <c r="BB141" s="47" t="s">
        <v>446</v>
      </c>
      <c r="BC141" s="75"/>
      <c r="BD141" s="75"/>
      <c r="BE141" s="2"/>
      <c r="BF141" s="202"/>
      <c r="BG141" s="269">
        <f>output!AG44</f>
        <v>1.277242893635463E-5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3.1920384074400333E-4</v>
      </c>
      <c r="AW142" s="221"/>
      <c r="AX142" s="221"/>
      <c r="AY142" s="203"/>
      <c r="AZ142" s="202"/>
      <c r="BA142" s="75"/>
      <c r="BB142" s="277">
        <f>IF(ISERROR(output!J11),0,output!J11)</f>
        <v>1.2908985043957266E-5</v>
      </c>
      <c r="BC142" s="75"/>
      <c r="BD142" s="75"/>
      <c r="BE142" s="203"/>
      <c r="BF142" s="75"/>
      <c r="BG142" s="75"/>
      <c r="BH142" s="277">
        <f>IF(ISERROR(output!L11),0,output!L11)</f>
        <v>3.0462153283941065E-4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2.1672258530077471E-5</v>
      </c>
      <c r="AY144" s="2"/>
      <c r="AZ144" s="75"/>
      <c r="BA144" s="75"/>
      <c r="BB144" s="75"/>
      <c r="BC144" s="75"/>
      <c r="BD144" s="270">
        <f>k.sA.aA*M.sA*Molweight</f>
        <v>2.3087280271648079E-7</v>
      </c>
      <c r="BE144" s="2"/>
      <c r="BF144" s="75"/>
      <c r="BG144" s="75"/>
      <c r="BH144" s="75"/>
      <c r="BI144" s="75"/>
      <c r="BJ144" s="270">
        <f>k.sT.aT*M.sT*Molweight</f>
        <v>1.1428595282154189E-7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2.1509518004426907E-4</v>
      </c>
      <c r="AV145" s="221"/>
      <c r="AW145" s="221"/>
      <c r="AX145" s="221"/>
      <c r="AY145" s="2"/>
      <c r="AZ145" s="75"/>
      <c r="BA145" s="270">
        <f>k.w2A.aA*M.w2A*Molweight</f>
        <v>2.301437275378797E-5</v>
      </c>
      <c r="BB145" s="75"/>
      <c r="BC145" s="75"/>
      <c r="BD145" s="221"/>
      <c r="BE145" s="2"/>
      <c r="BF145" s="75"/>
      <c r="BG145" s="270">
        <f>k.w2T.aT*M.w2T*Molweight</f>
        <v>2.6652393108988851E-7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7.419920117934365E-5</v>
      </c>
      <c r="AY146" s="2"/>
      <c r="AZ146" s="75"/>
      <c r="BA146" s="221"/>
      <c r="BB146" s="75"/>
      <c r="BC146" s="75"/>
      <c r="BD146" s="270">
        <f>IF(output!AJ42&lt;0,"",output!AJ42)</f>
        <v>1.5590686566087463E-6</v>
      </c>
      <c r="BE146" s="2"/>
      <c r="BF146" s="75"/>
      <c r="BG146" s="221"/>
      <c r="BH146" s="75"/>
      <c r="BI146" s="75"/>
      <c r="BJ146" s="270">
        <f>IF(output!AJ48&lt;0,"",output!AJ48)</f>
        <v>3.1554480448266858E-7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2.9824571274635263E-3</v>
      </c>
      <c r="AT147" s="81">
        <f>output!AD33</f>
        <v>3.5913562599478813E-3</v>
      </c>
      <c r="AU147" s="270">
        <f>IF(output!AH33&lt;0,"",output!AH33)</f>
        <v>6.8908438922350707E-5</v>
      </c>
      <c r="AV147" s="272">
        <f>output!AL33</f>
        <v>1.4518697890233214E-6</v>
      </c>
      <c r="AW147" s="221"/>
      <c r="AX147" s="221"/>
      <c r="AY147" s="279">
        <f>output!AE39</f>
        <v>6.0378443574315933E-4</v>
      </c>
      <c r="AZ147" s="266">
        <f>output!AD39</f>
        <v>6.4641240044853931E-4</v>
      </c>
      <c r="BA147" s="270">
        <f>IF(output!AH39&lt;0,"",output!AH39)</f>
        <v>2.6440785000998298E-6</v>
      </c>
      <c r="BB147" s="272">
        <f>output!AL39</f>
        <v>6.117806690852134E-8</v>
      </c>
      <c r="BC147" s="75"/>
      <c r="BD147" s="75"/>
      <c r="BE147" s="279">
        <f>output!AE45</f>
        <v>2.8523652539802793E-6</v>
      </c>
      <c r="BF147" s="266">
        <f>output!AD45</f>
        <v>3.7793576305273678E-6</v>
      </c>
      <c r="BG147" s="270">
        <f>IF(output!AH45&lt;0,"",output!AH45)</f>
        <v>6.5145667164055086E-7</v>
      </c>
      <c r="BH147" s="272">
        <f>output!AL45</f>
        <v>4.1872365481937352E-9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0.15851909390019311</v>
      </c>
      <c r="AW150" s="221"/>
      <c r="AX150" s="221"/>
      <c r="AY150" s="2"/>
      <c r="AZ150" s="75"/>
      <c r="BA150" s="59"/>
      <c r="BB150" s="273">
        <f>IF(ISERROR(output!J27),0,output!J27)</f>
        <v>6.0957152004106806E-2</v>
      </c>
      <c r="BC150" s="78"/>
      <c r="BD150" s="75"/>
      <c r="BE150" s="2"/>
      <c r="BF150" s="75"/>
      <c r="BG150" s="59"/>
      <c r="BH150" s="273">
        <f>IF(ISERROR(output!L27),0,output!L27)</f>
        <v>2.0651309710483613E-2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5.1065481729090259E-5</v>
      </c>
      <c r="AY151" s="2"/>
      <c r="AZ151" s="75"/>
      <c r="BA151" s="59"/>
      <c r="BB151" s="49"/>
      <c r="BC151" s="75"/>
      <c r="BD151" s="274">
        <f>output!AJ42</f>
        <v>1.5590686566087463E-6</v>
      </c>
      <c r="BE151" s="2"/>
      <c r="BF151" s="75"/>
      <c r="BG151" s="59"/>
      <c r="BH151" s="59"/>
      <c r="BI151" s="75"/>
      <c r="BJ151" s="274">
        <f>output!AG48</f>
        <v>1.9704370181941573E-7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4.6416426115146144E-4</v>
      </c>
      <c r="AW152" s="221"/>
      <c r="AX152" s="221"/>
      <c r="AY152" s="2"/>
      <c r="AZ152" s="75"/>
      <c r="BA152" s="59"/>
      <c r="BB152" s="257">
        <f>output!AG39</f>
        <v>2.231884851860042E-5</v>
      </c>
      <c r="BC152" s="2"/>
      <c r="BD152" s="75"/>
      <c r="BE152" s="2"/>
      <c r="BF152" s="75"/>
      <c r="BG152" s="59"/>
      <c r="BH152" s="257">
        <f>output!AG45</f>
        <v>1.3161123536459439E-6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3.7729900605029221E-4</v>
      </c>
      <c r="AU153" s="224"/>
      <c r="AV153" s="225"/>
      <c r="AW153" s="221"/>
      <c r="AX153" s="221"/>
      <c r="AY153" s="2"/>
      <c r="AZ153" s="275">
        <f>k.w3A.w2A*M.w3A*Molweight</f>
        <v>2.5389144019973957E-4</v>
      </c>
      <c r="BA153" s="59"/>
      <c r="BB153" s="49"/>
      <c r="BC153" s="2"/>
      <c r="BD153" s="75"/>
      <c r="BE153" s="2"/>
      <c r="BF153" s="275">
        <f>k.w3T.w2T*M.w3T*Molweight</f>
        <v>3.7793576305273678E-6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2.5283454594935023E-3</v>
      </c>
      <c r="AU155" s="221"/>
      <c r="AV155" s="223" t="s">
        <v>2166</v>
      </c>
      <c r="AW155" s="221"/>
      <c r="AX155" s="271">
        <f>IF(ISERROR(output!H47),0,output!H47)</f>
        <v>1.8359276298524154E-2</v>
      </c>
      <c r="AY155" s="2"/>
      <c r="AZ155" s="275">
        <f>k.w2A.w3A*M.w2A*Molweight</f>
        <v>6.0378443574315933E-4</v>
      </c>
      <c r="BA155" s="75"/>
      <c r="BB155" s="223" t="s">
        <v>2166</v>
      </c>
      <c r="BC155" s="47"/>
      <c r="BD155" s="271">
        <f>IF(ISERROR(output!J47),0,output!J47)</f>
        <v>3.6418327959998925E-3</v>
      </c>
      <c r="BE155" s="2"/>
      <c r="BF155" s="275">
        <f>k.w2T.w3T*M.w2T*Molweight</f>
        <v>2.6559354863303713E-6</v>
      </c>
      <c r="BG155" s="75"/>
      <c r="BH155" s="223" t="s">
        <v>2166</v>
      </c>
      <c r="BI155" s="47"/>
      <c r="BJ155" s="271">
        <f>IF(ISERROR(output!L47),0,output!L47)</f>
        <v>3.2548833893305288E-3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0.70966287075956624</v>
      </c>
      <c r="AW156" s="221"/>
      <c r="AX156" s="221"/>
      <c r="AY156" s="203"/>
      <c r="AZ156" s="2"/>
      <c r="BA156" s="75"/>
      <c r="BB156" s="273">
        <f>IF(ISERROR(output!J31),0,output!J31)</f>
        <v>0.76897472988425541</v>
      </c>
      <c r="BC156" s="75"/>
      <c r="BD156" s="75"/>
      <c r="BE156" s="203"/>
      <c r="BF156" s="2"/>
      <c r="BG156" s="75"/>
      <c r="BH156" s="273">
        <f>IF(ISERROR(output!L31),0,output!L31)</f>
        <v>0.88159541528477892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4.3587397949772862E-4</v>
      </c>
      <c r="AT157" s="266">
        <f>output!AD34</f>
        <v>2.5838112614348942E-3</v>
      </c>
      <c r="AU157" s="221"/>
      <c r="AV157" s="225"/>
      <c r="AW157" s="226"/>
      <c r="AX157" s="221"/>
      <c r="AY157" s="279">
        <f>output!AE40</f>
        <v>3.0935724214113176E-4</v>
      </c>
      <c r="AZ157" s="266">
        <f>output!AD40</f>
        <v>6.0378443574315933E-4</v>
      </c>
      <c r="BA157" s="75"/>
      <c r="BB157" s="2"/>
      <c r="BC157" s="76"/>
      <c r="BD157" s="75"/>
      <c r="BE157" s="279">
        <f>output!AE46</f>
        <v>3.7793576305273678E-6</v>
      </c>
      <c r="BF157" s="266">
        <f>output!AD46</f>
        <v>6.1230908933766802E-5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2.0779840079084497E-3</v>
      </c>
      <c r="AW158" s="226"/>
      <c r="AX158" s="221"/>
      <c r="AY158" s="2"/>
      <c r="AZ158" s="75"/>
      <c r="BA158" s="75"/>
      <c r="BB158" s="274">
        <f>output!AG40</f>
        <v>2.8155236828915651E-4</v>
      </c>
      <c r="BC158" s="2"/>
      <c r="BD158" s="75"/>
      <c r="BE158" s="2"/>
      <c r="BF158" s="75"/>
      <c r="BG158" s="75"/>
      <c r="BH158" s="274">
        <f>output!AG46</f>
        <v>5.6184263043854787E-5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1.3783377028798286E-4</v>
      </c>
      <c r="AU159" s="221"/>
      <c r="AV159" s="221"/>
      <c r="AW159" s="226"/>
      <c r="AX159" s="221"/>
      <c r="AY159" s="2"/>
      <c r="AZ159" s="272">
        <f>k.sdA.w3A*M.sdA*Molweight</f>
        <v>1.16485601491628E-4</v>
      </c>
      <c r="BA159" s="2"/>
      <c r="BB159" s="75"/>
      <c r="BC159" s="2"/>
      <c r="BD159" s="75"/>
      <c r="BE159" s="2"/>
      <c r="BF159" s="275">
        <f>k.sdT.w3T*M.sdT*Molweight</f>
        <v>1.0143771523282235E-6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2.0778704431669901E-4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1.2936042680449915E-4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2.2816654117128668E-6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0.11313955520097251</v>
      </c>
      <c r="AW162" s="221"/>
      <c r="AX162" s="221"/>
      <c r="AY162" s="2"/>
      <c r="AZ162" s="75"/>
      <c r="BA162" s="47"/>
      <c r="BB162" s="276">
        <f>IF(ISERROR(output!J35),0,output!J35)</f>
        <v>0.16641337633059383</v>
      </c>
      <c r="BC162" s="75"/>
      <c r="BD162" s="75"/>
      <c r="BE162" s="2"/>
      <c r="BF162" s="75"/>
      <c r="BG162" s="47"/>
      <c r="BH162" s="276">
        <f>IF(ISERROR(output!L35),0,output!L35)</f>
        <v>9.4193770082567588E-2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6.9931658585730227E-5</v>
      </c>
      <c r="AV164" s="269">
        <f>output!AF35</f>
        <v>2.1615442985959755E-8</v>
      </c>
      <c r="AW164" s="221"/>
      <c r="AX164" s="274">
        <f>output!AF36</f>
        <v>9.5911311525710057E-9</v>
      </c>
      <c r="AY164" s="2"/>
      <c r="AZ164" s="2"/>
      <c r="BA164" s="269">
        <f>output!AG41</f>
        <v>1.2861884136072994E-5</v>
      </c>
      <c r="BB164" s="269">
        <f>output!AF41</f>
        <v>1.294117679812477E-8</v>
      </c>
      <c r="BC164" s="75"/>
      <c r="BD164" s="274">
        <f>output!AF42</f>
        <v>3.9039055248011676E-10</v>
      </c>
      <c r="BE164" s="2"/>
      <c r="BF164" s="2"/>
      <c r="BG164" s="269">
        <f>output!AG47</f>
        <v>1.2671755653357642E-6</v>
      </c>
      <c r="BH164" s="269">
        <f>output!AF47</f>
        <v>1.1269404887952234E-10</v>
      </c>
      <c r="BI164" s="75"/>
      <c r="BJ164" s="274">
        <f>output!AF48</f>
        <v>2.791329351722251E-11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20.437535427424013</v>
      </c>
      <c r="BA172" s="128">
        <f>output!I11</f>
        <v>0.47487084001882962</v>
      </c>
      <c r="BB172" s="128">
        <f>output!K11</f>
        <v>0.17240000254039523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10149.438020410829</v>
      </c>
      <c r="BA173" s="128">
        <f>output!I27</f>
        <v>2242.3741199464594</v>
      </c>
      <c r="BB173" s="128">
        <f>output!K27</f>
        <v>11.687571175169559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45437.298087863113</v>
      </c>
      <c r="BA174" s="128">
        <f>output!I31</f>
        <v>28287.558990110003</v>
      </c>
      <c r="BB174" s="128">
        <f>output!K31</f>
        <v>498.93732205339757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7243.9406188639659</v>
      </c>
      <c r="BA175" s="128">
        <f>output!I35</f>
        <v>6121.6942725850067</v>
      </c>
      <c r="BB175" s="128">
        <f>output!K35</f>
        <v>53.308792881968984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1175.4819707005745</v>
      </c>
      <c r="BA176" s="128">
        <f>output!I47</f>
        <v>133.96871970613438</v>
      </c>
      <c r="BB176" s="128">
        <f>output!K47</f>
        <v>1.8420953350172202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0.69366678141972216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2.0810003442591665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2.0810003442591665</v>
      </c>
      <c r="G11" s="508">
        <f>2*Scale*(M.tot/Emis.tot)/(3600*24*365)</f>
        <v>4.1620006885183329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5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1.0210629778182223E-4</v>
      </c>
      <c r="M271" s="451">
        <f>((DRYDEPaerosol.R+AerosolWashout.R+GasWashout.R+GASABS.aR.sR)/HEIGHT.aR)*AREAFRAC.s1R</f>
        <v>1.0210629778182223E-4</v>
      </c>
      <c r="N271" s="451">
        <f>((DRYDEPaerosol.R+AerosolWashout.R+GasWashout.R+GASABS.aR.sR)/HEIGHT.aR)*AREAFRAC.s1R</f>
        <v>1.0210629778182223E-4</v>
      </c>
      <c r="O271" s="451">
        <f>((DRYDEPaerosol.R+AerosolWashout.R+GasWashout.R+GASABS.aR.sR)/HEIGHT.aR)*AREAFRAC.s1R</f>
        <v>1.0210629778182223E-4</v>
      </c>
      <c r="P271" s="451">
        <f>((DRYDEPaerosol.R+AerosolWashout.R+GasWashout.R+GASABS.aR.sR)/HEIGHT.aR)*AREAFRAC.s1R</f>
        <v>1.0210629778182223E-4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2.2690288395960491E-4</v>
      </c>
      <c r="M272" s="451">
        <f>((DRYDEPaerosol.R+AerosolWashout.R+GasWashout.R+GASABS.aR.sR)/HEIGHT.aR)*AREAFRAC.s2R</f>
        <v>2.2690288395960491E-4</v>
      </c>
      <c r="N272" s="451">
        <f>((DRYDEPaerosol.R+AerosolWashout.R+GasWashout.R+GASABS.aR.sR)/HEIGHT.aR)*AREAFRAC.s2R</f>
        <v>2.2690288395960491E-4</v>
      </c>
      <c r="O272" s="451">
        <f>((DRYDEPaerosol.R+AerosolWashout.R+GasWashout.R+GASABS.aR.sR)/HEIGHT.aR)*AREAFRAC.s2R</f>
        <v>2.2690288395960491E-4</v>
      </c>
      <c r="P272" s="451">
        <f>((DRYDEPaerosol.R+AerosolWashout.R+GasWashout.R+GASABS.aR.sR)/HEIGHT.aR)*AREAFRAC.s2R</f>
        <v>2.2690288395960491E-4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3.7817147326600823E-5</v>
      </c>
      <c r="M273" s="451">
        <f>((DRYDEPaerosol.R+AerosolWashout.R+GasWashout.R+GASABS.aR.sR)/HEIGHT.aR)*AREAFRAC.s3R</f>
        <v>3.7817147326600823E-5</v>
      </c>
      <c r="N273" s="451">
        <f>((DRYDEPaerosol.R+AerosolWashout.R+GasWashout.R+GASABS.aR.sR)/HEIGHT.aR)*AREAFRAC.s3R</f>
        <v>3.7817147326600823E-5</v>
      </c>
      <c r="O273" s="451">
        <f>((DRYDEPaerosol.R+AerosolWashout.R+GasWashout.R+GASABS.aR.sR)/HEIGHT.aR)*AREAFRAC.s3R</f>
        <v>3.7817147326600823E-5</v>
      </c>
      <c r="P273" s="451">
        <f>((DRYDEPaerosol.R+AerosolWashout.R+GasWashout.R+GASABS.aR.sR)/HEIGHT.aR)*AREAFRAC.s3R</f>
        <v>3.7817147326600823E-5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4.965564523969054E-5</v>
      </c>
      <c r="M496" s="451">
        <f>((DRYDEPaerosol.C+AerosolWashout.C+GasWashout.C+GASABS.aC.sC)/HEIGHT.aC)*AREAFRAC.s1C</f>
        <v>4.965564523969054E-5</v>
      </c>
      <c r="N496" s="451">
        <f>((DRYDEPaerosol.C+AerosolWashout.C+GasWashout.C+GASABS.aC.sC)/HEIGHT.aC)*AREAFRAC.s1C</f>
        <v>4.965564523969054E-5</v>
      </c>
      <c r="O496" s="451">
        <f>((DRYDEPaerosol.C+AerosolWashout.C+GasWashout.C+GASABS.aC.sC)/HEIGHT.aC)*AREAFRAC.s1C</f>
        <v>4.965564523969054E-5</v>
      </c>
      <c r="P496" s="451">
        <f>((DRYDEPaerosol.C+AerosolWashout.C+GasWashout.C+GASABS.aC.sC)/HEIGHT.aC)*AREAFRAC.s1C</f>
        <v>4.965564523969054E-5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1.103458783104234E-4</v>
      </c>
      <c r="M497" s="451">
        <f>((DRYDEPaerosol.C+AerosolWashout.C+GasWashout.C+GASABS.aC.sC)/HEIGHT.aC)*AREAFRAC.s2C</f>
        <v>1.103458783104234E-4</v>
      </c>
      <c r="N497" s="451">
        <f>((DRYDEPaerosol.C+AerosolWashout.C+GasWashout.C+GASABS.aC.sC)/HEIGHT.aC)*AREAFRAC.s2C</f>
        <v>1.103458783104234E-4</v>
      </c>
      <c r="O497" s="451">
        <f>((DRYDEPaerosol.C+AerosolWashout.C+GasWashout.C+GASABS.aC.sC)/HEIGHT.aC)*AREAFRAC.s2C</f>
        <v>1.103458783104234E-4</v>
      </c>
      <c r="P497" s="451">
        <f>((DRYDEPaerosol.C+AerosolWashout.C+GasWashout.C+GASABS.aC.sC)/HEIGHT.aC)*AREAFRAC.s2C</f>
        <v>1.103458783104234E-4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1.8390979718403899E-5</v>
      </c>
      <c r="M498" s="451">
        <f>((DRYDEPaerosol.C+AerosolWashout.C+GasWashout.C+GASABS.aC.sC)/HEIGHT.aC)*AREAFRAC.s3C</f>
        <v>1.8390979718403899E-5</v>
      </c>
      <c r="N498" s="451">
        <f>((DRYDEPaerosol.C+AerosolWashout.C+GasWashout.C+GASABS.aC.sC)/HEIGHT.aC)*AREAFRAC.s3C</f>
        <v>1.8390979718403899E-5</v>
      </c>
      <c r="O498" s="451">
        <f>((DRYDEPaerosol.C+AerosolWashout.C+GasWashout.C+GASABS.aC.sC)/HEIGHT.aC)*AREAFRAC.s3C</f>
        <v>1.8390979718403899E-5</v>
      </c>
      <c r="P498" s="451">
        <f>((DRYDEPaerosol.C+AerosolWashout.C+GasWashout.C+GASABS.aC.sC)/HEIGHT.aC)*AREAFRAC.s3C</f>
        <v>1.8390979718403899E-5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1.8991299190111892E-4</v>
      </c>
      <c r="M681" s="452">
        <f>((DRYDEPaerosol.M+AerosolWashout.M+GasWashout.M+GASABS.aM.sM)/HEIGHT.aC)*AREAFRAC.sM</f>
        <v>1.8991299190111892E-4</v>
      </c>
      <c r="N681" s="452">
        <f>((DRYDEPaerosol.M+AerosolWashout.M+GasWashout.M+GASABS.aM.sM)/HEIGHT.aC)*AREAFRAC.sM</f>
        <v>1.8991299190111892E-4</v>
      </c>
      <c r="O681" s="452">
        <f>((DRYDEPaerosol.M+AerosolWashout.M+GasWashout.M+GASABS.aM.sM)/HEIGHT.aC)*AREAFRAC.sM</f>
        <v>1.8991299190111892E-4</v>
      </c>
      <c r="P681" s="452">
        <f>((DRYDEPaerosol.M+AerosolWashout.M+GasWashout.M+GASABS.aM.sM)/HEIGHT.aC)*AREAFRAC.sM</f>
        <v>1.8991299190111892E-4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6.4551646060528596E-4</v>
      </c>
      <c r="M817" s="451">
        <f>((DRYDEPaerosol.A+AerosolWashout.A+GasWashout.A+GASABS.aA.sA)/HEIGHT.aC)*AREAFRAC.sA</f>
        <v>6.4551646060528596E-4</v>
      </c>
      <c r="N817" s="451">
        <f>((DRYDEPaerosol.A+AerosolWashout.A+GasWashout.A+GASABS.aA.sA)/HEIGHT.aC)*AREAFRAC.sA</f>
        <v>6.4551646060528596E-4</v>
      </c>
      <c r="O817" s="451">
        <f>((DRYDEPaerosol.A+AerosolWashout.A+GasWashout.A+GASABS.aA.sA)/HEIGHT.aC)*AREAFRAC.sA</f>
        <v>6.4551646060528596E-4</v>
      </c>
      <c r="P817" s="451">
        <f>((DRYDEPaerosol.A+AerosolWashout.A+GasWashout.A+GASABS.aA.sA)/HEIGHT.aC)*AREAFRAC.sA</f>
        <v>6.4551646060528596E-4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5.8409712011937781E-5</v>
      </c>
      <c r="M953" s="451">
        <f>((DRYDEPaerosol.T+AerosolWashout.T+GasWashout.T+GASABS.aT.sT)/HEIGHT.aT)*AREAFRAC.sT</f>
        <v>5.8409712011937781E-5</v>
      </c>
      <c r="N953" s="451">
        <f>((DRYDEPaerosol.T+AerosolWashout.T+GasWashout.T+GASABS.aT.sT)/HEIGHT.aT)*AREAFRAC.sT</f>
        <v>5.8409712011937781E-5</v>
      </c>
      <c r="O953" s="451">
        <f>((DRYDEPaerosol.T+AerosolWashout.T+GasWashout.T+GASABS.aT.sT)/HEIGHT.aT)*AREAFRAC.sT</f>
        <v>5.8409712011937781E-5</v>
      </c>
      <c r="P953" s="451">
        <f>((DRYDEPaerosol.T+AerosolWashout.T+GasWashout.T+GASABS.aT.sT)/HEIGHT.aT)*AREAFRAC.sT</f>
        <v>5.8409712011937781E-5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1.8174788077284409E-8</v>
      </c>
      <c r="L108" s="664">
        <f>IF(ISBLANK(I108),IF(ISNUMBER(J108)=FALSE,K108,J108),I108)</f>
        <v>1.8174788077284409E-8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1.999226688501285E-7</v>
      </c>
      <c r="L109" s="664">
        <f t="shared" ref="L109:L137" si="4">IF(ISBLANK(I109),IF(ISNUMBER(J109)=FALSE,K109,J109),I109)</f>
        <v>1.999226688501285E-7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3.1806077923234773E-8</v>
      </c>
      <c r="L110" s="664">
        <f t="shared" si="4"/>
        <v>3.1806077923234773E-8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2.0203821194492796E-6</v>
      </c>
      <c r="L111" s="664">
        <f t="shared" si="4"/>
        <v>2.0203821194492796E-6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4.4897380432206203E-6</v>
      </c>
      <c r="L112" s="664">
        <f t="shared" si="4"/>
        <v>4.4897380432206203E-6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7.482896738701035E-7</v>
      </c>
      <c r="L113" s="664">
        <f t="shared" si="4"/>
        <v>7.482896738701035E-7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1.8436912747509891E-8</v>
      </c>
      <c r="L117" s="664">
        <f t="shared" si="4"/>
        <v>1.8436912747509891E-8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4.6217660828161167E-8</v>
      </c>
      <c r="L118" s="664">
        <f t="shared" si="4"/>
        <v>4.6217660828161167E-8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1.0156517044062907E-7</v>
      </c>
      <c r="L119" s="664">
        <f t="shared" si="4"/>
        <v>1.0156517044062907E-7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6.6438946335702526E-6</v>
      </c>
      <c r="L120" s="664">
        <f t="shared" si="4"/>
        <v>6.6438946335702526E-6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8.3585862613571861E-5</v>
      </c>
      <c r="L121" s="664">
        <f t="shared" si="4"/>
        <v>8.3585862613571861E-5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7.6943175922159962E-5</v>
      </c>
      <c r="L122" s="664">
        <f t="shared" si="4"/>
        <v>7.6943175922159962E-5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4.558950038571068E-4</v>
      </c>
      <c r="L123" s="664">
        <f t="shared" si="4"/>
        <v>4.558950038571068E-4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8.7173998297433491E-4</v>
      </c>
      <c r="L132" s="664">
        <f t="shared" si="5"/>
        <v>8.7173998297433491E-4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9.2184563737549456E-10</v>
      </c>
      <c r="L138" s="664">
        <f t="shared" ref="L138:L145" si="6">IF(ISBLANK(I138),IF(ISNUMBER(J138)=FALSE,K138,J138),I138)</f>
        <v>9.2184563737549456E-10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9.2435321656322334E-9</v>
      </c>
      <c r="L139" s="664">
        <f t="shared" si="6"/>
        <v>9.2435321656322334E-9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5.0782585220314541E-9</v>
      </c>
      <c r="L140" s="664">
        <f t="shared" si="6"/>
        <v>5.0782585220314541E-9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4.5961988223700326E-6</v>
      </c>
      <c r="L147" s="664">
        <f t="shared" ref="L147:L167" si="7">IF(ISBLANK(I147),IF(ISNUMBER(J147)=FALSE,K147,J147),I147)</f>
        <v>4.5961988223700326E-6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1.3719150547743615E-6</v>
      </c>
      <c r="L148" s="664">
        <f t="shared" si="7"/>
        <v>1.3719150547743615E-6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3.5425196362772575E-8</v>
      </c>
      <c r="L149" s="664">
        <f t="shared" si="7"/>
        <v>3.5425196362772575E-8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1.8116147920780187E-8</v>
      </c>
      <c r="L150" s="664">
        <f t="shared" si="7"/>
        <v>1.8116147920780187E-8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1.3774184858517597E-5</v>
      </c>
      <c r="L151" s="664">
        <f t="shared" si="7"/>
        <v>1.3774184858517597E-5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1.3704672863057882E-5</v>
      </c>
      <c r="L153" s="664">
        <f t="shared" si="7"/>
        <v>1.3704672863057882E-5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6.6657772828413903E-5</v>
      </c>
      <c r="L187" s="664">
        <f t="shared" ref="L187:L211" si="9">IF(ISBLANK(I187),IF(ISNUMBER(J187)=FALSE,K187,J187),I187)</f>
        <v>6.6657772828413903E-5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4.3450324320842322E-8</v>
      </c>
      <c r="L193" s="664">
        <f t="shared" si="9"/>
        <v>4.3450324320842322E-8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4.344587790032124E-8</v>
      </c>
      <c r="L194" s="664">
        <f t="shared" si="9"/>
        <v>4.344587790032124E-8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4.3450324244486762E-8</v>
      </c>
      <c r="L195" s="664">
        <f t="shared" si="9"/>
        <v>4.3450324244486762E-8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6.665740650253207E-5</v>
      </c>
      <c r="L197" s="664">
        <f t="shared" si="9"/>
        <v>6.665740650253207E-5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8.5546618608296207E-9</v>
      </c>
      <c r="L114" s="664">
        <f>IF(ISBLANK(I114),IF(ISNUMBER(J114)=FALSE,K114,J114),I114)</f>
        <v>8.5546618608296207E-9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9.410128046912581E-8</v>
      </c>
      <c r="L115" s="664">
        <f t="shared" ref="L115:L136" si="4">IF(ISBLANK(I115),IF(ISNUMBER(J115)=FALSE,K115,J115),I115)</f>
        <v>9.410128046912581E-8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3.6452581760061642E-6</v>
      </c>
      <c r="L116" s="664">
        <f t="shared" si="4"/>
        <v>3.6452581760061642E-6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9.5186892770719595E-7</v>
      </c>
      <c r="L117" s="664">
        <f t="shared" si="4"/>
        <v>9.5186892770719595E-7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2.1152642837937686E-6</v>
      </c>
      <c r="L118" s="664">
        <f t="shared" si="4"/>
        <v>2.1152642837937686E-6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3.5254404729896136E-7</v>
      </c>
      <c r="L119" s="664">
        <f t="shared" si="4"/>
        <v>3.5254404729896136E-7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1.8436912747509891E-8</v>
      </c>
      <c r="L123" s="664">
        <f t="shared" si="4"/>
        <v>1.8436912747509891E-8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8.3897952062308888E-9</v>
      </c>
      <c r="L124" s="664">
        <f t="shared" si="4"/>
        <v>8.3897952062308888E-9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1.8436912747509891E-8</v>
      </c>
      <c r="L125" s="664">
        <f t="shared" si="4"/>
        <v>1.8436912747509891E-8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6.4092962450712656E-6</v>
      </c>
      <c r="L126" s="664">
        <f t="shared" si="4"/>
        <v>6.4092962450712656E-6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7.550717384329472E-5</v>
      </c>
      <c r="L127" s="664">
        <f t="shared" si="4"/>
        <v>7.550717384329472E-5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6.9099085540381809E-5</v>
      </c>
      <c r="L128" s="664">
        <f t="shared" si="4"/>
        <v>6.9099085540381809E-5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4.4805091347532866E-4</v>
      </c>
      <c r="L129" s="664">
        <f t="shared" si="4"/>
        <v>4.4805091347532866E-4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8.7173998297433491E-4</v>
      </c>
      <c r="L138" s="664">
        <f t="shared" si="5"/>
        <v>8.7173998297433491E-4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9.2184563737549456E-10</v>
      </c>
      <c r="L144" s="664">
        <f t="shared" si="5"/>
        <v>9.2184563737549456E-10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1.6779590412461777E-9</v>
      </c>
      <c r="L145" s="664">
        <f t="shared" si="5"/>
        <v>1.6779590412461777E-9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9.2184563737549456E-10</v>
      </c>
      <c r="L146" s="664">
        <f t="shared" si="5"/>
        <v>9.2184563737549456E-10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4.5961988223700326E-6</v>
      </c>
      <c r="L153" s="664">
        <f t="shared" ref="L153:L173" si="6">IF(ISBLANK(I153),IF(ISNUMBER(J153)=FALSE,K153,J153),I153)</f>
        <v>4.5961988223700326E-6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6.8595752738718068E-8</v>
      </c>
      <c r="L154" s="664">
        <f t="shared" si="6"/>
        <v>6.8595752738718068E-8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3.5446336224003256E-8</v>
      </c>
      <c r="L155" s="664">
        <f t="shared" si="6"/>
        <v>3.5446336224003256E-8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1.9030441162366687E-8</v>
      </c>
      <c r="L156" s="664">
        <f t="shared" si="6"/>
        <v>1.9030441162366687E-8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1.3774184858517597E-5</v>
      </c>
      <c r="L157" s="664">
        <f t="shared" si="6"/>
        <v>1.3774184858517597E-5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1.3704672863057882E-5</v>
      </c>
      <c r="L159" s="664">
        <f t="shared" si="6"/>
        <v>1.3704672863057882E-5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6.6657772828413903E-5</v>
      </c>
      <c r="L193" s="664">
        <f t="shared" ref="L193:L217" si="11">IF(ISBLANK(I193),IF(ISNUMBER(J193)=FALSE,K193,J193),I193)</f>
        <v>6.6657772828413903E-5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9.6538144450854565E-9</v>
      </c>
      <c r="L198" s="664">
        <f t="shared" si="11"/>
        <v>9.6538144450854565E-9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4.3450324320842322E-8</v>
      </c>
      <c r="L199" s="664">
        <f t="shared" si="11"/>
        <v>4.3450324320842322E-8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4.344587790032124E-8</v>
      </c>
      <c r="L200" s="664">
        <f t="shared" si="11"/>
        <v>4.344587790032124E-8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4.3450324244486762E-8</v>
      </c>
      <c r="L201" s="664">
        <f t="shared" si="11"/>
        <v>4.3450324244486762E-8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6.665740650253207E-5</v>
      </c>
      <c r="L203" s="664">
        <f t="shared" si="11"/>
        <v>6.665740650253207E-5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3.3716608916496962E-6</v>
      </c>
      <c r="L76" s="664">
        <f t="shared" ref="L76:L89" si="4">IF(ISBLANK(I76),IF(ISNUMBER(J76)=FALSE,K76,J76),I76)</f>
        <v>3.3716608916496962E-6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3.6305356603702711E-6</v>
      </c>
      <c r="L77" s="664">
        <f t="shared" si="4"/>
        <v>3.6305356603702711E-6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1.8436912747509891E-8</v>
      </c>
      <c r="L79" s="664">
        <f t="shared" si="4"/>
        <v>1.8436912747509891E-8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6.389331337766207E-6</v>
      </c>
      <c r="L80" s="664">
        <f t="shared" si="4"/>
        <v>6.389331337766207E-6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7.4824173847343951E-5</v>
      </c>
      <c r="L81" s="664">
        <f t="shared" si="4"/>
        <v>7.4824173847343951E-5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6.8436050451736098E-5</v>
      </c>
      <c r="L82" s="664">
        <f t="shared" si="4"/>
        <v>6.8436050451736098E-5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4.4738787838668293E-4</v>
      </c>
      <c r="L83" s="664">
        <f t="shared" si="4"/>
        <v>4.4738787838668293E-4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8.7173998297433491E-4</v>
      </c>
      <c r="L93" s="664">
        <f>IF(ISBLANK(I93),IF(ISNUMBER(J93)=FALSE,K93,J93),I93)</f>
        <v>8.7173998297433491E-4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9.2184563737549456E-10</v>
      </c>
      <c r="L95" s="664">
        <f>IF(ISBLANK(I95),IF(ISNUMBER(J95)=FALSE,K95,J95),I95)</f>
        <v>9.2184563737549456E-10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4.5730501825812043E-9</v>
      </c>
      <c r="L103" s="664">
        <f t="shared" ref="L103:L109" si="6">IF(ISBLANK(I103),IF(ISNUMBER(J103)=FALSE,K103,J103),I103)</f>
        <v>4.5730501825812043E-9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1.902745722805203E-8</v>
      </c>
      <c r="L104" s="664">
        <f t="shared" si="6"/>
        <v>1.902745722805203E-8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1.3704672863057882E-5</v>
      </c>
      <c r="L105" s="664">
        <f t="shared" si="6"/>
        <v>1.3704672863057882E-5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6.6657772828413903E-5</v>
      </c>
      <c r="L123" s="664">
        <f t="shared" ref="L123:L138" si="7">IF(ISBLANK(I123),IF(ISNUMBER(J123)=FALSE,K123,J123),I123)</f>
        <v>6.6657772828413903E-5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4.3450324320842322E-8</v>
      </c>
      <c r="L127" s="664">
        <f t="shared" si="7"/>
        <v>4.3450324320842322E-8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6.665740650253207E-5</v>
      </c>
      <c r="L129" s="664">
        <f t="shared" si="7"/>
        <v>6.665740650253207E-5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5.5679950783985527E-6</v>
      </c>
      <c r="L212" s="664">
        <f t="shared" ref="L212:L225" si="12">IF(ISBLANK(I212),IF(ISNUMBER(J212)=FALSE,K212,J212),I212)</f>
        <v>5.5679950783985527E-6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3.2831425415528271E-6</v>
      </c>
      <c r="L213" s="664">
        <f t="shared" si="12"/>
        <v>3.2831425415528271E-6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1.723333649996128E-9</v>
      </c>
      <c r="L215" s="664">
        <f t="shared" si="12"/>
        <v>1.723333649996128E-9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7.2366344725239068E-6</v>
      </c>
      <c r="L216" s="664">
        <f t="shared" si="12"/>
        <v>7.2366344725239068E-6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6.5275639576669147E-5</v>
      </c>
      <c r="L217" s="664">
        <f t="shared" si="12"/>
        <v>6.5275639576669147E-5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5.8040436430724994E-5</v>
      </c>
      <c r="L218" s="664">
        <f t="shared" si="12"/>
        <v>5.8040436430724994E-5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1.670857503409422E-3</v>
      </c>
      <c r="L219" s="664">
        <f t="shared" si="12"/>
        <v>1.670857503409422E-3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9.7122188135816015E-4</v>
      </c>
      <c r="L229" s="664">
        <f>IF(ISBLANK(I229),IF(ISNUMBER(J229)=FALSE,K229,J229),I229)</f>
        <v>9.7122188135816015E-4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8.6166682499806407E-11</v>
      </c>
      <c r="L231" s="664">
        <f>IF(ISBLANK(I231),IF(ISNUMBER(J231)=FALSE,K231,J231),I231)</f>
        <v>8.6166682499806407E-11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4.5730501825812043E-9</v>
      </c>
      <c r="L239" s="664">
        <f t="shared" ref="L239:L245" si="14">IF(ISBLANK(I239),IF(ISNUMBER(J239)=FALSE,K239,J239),I239)</f>
        <v>4.5730501825812043E-9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1.9028327176234441E-8</v>
      </c>
      <c r="L240" s="664">
        <f t="shared" si="14"/>
        <v>1.9028327176234441E-8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1.3704672863057882E-5</v>
      </c>
      <c r="L241" s="664">
        <f t="shared" si="14"/>
        <v>1.3704672863057882E-5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5.5732526430353981E-5</v>
      </c>
      <c r="L259" s="664">
        <f t="shared" ref="L259:L274" si="15">IF(ISBLANK(I259),IF(ISNUMBER(J259)=FALSE,K259,J259),I259)</f>
        <v>5.5732526430353981E-5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9.4575643460876329E-9</v>
      </c>
      <c r="L263" s="664">
        <f t="shared" si="15"/>
        <v>9.4575643460876329E-9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5.5732160104472155E-5</v>
      </c>
      <c r="L265" s="664">
        <f t="shared" si="15"/>
        <v>5.5732160104472155E-5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3.7787509399131673E-6</v>
      </c>
      <c r="L348" s="664">
        <f t="shared" ref="L348:L361" si="20">IF(ISBLANK(I348),IF(ISNUMBER(J348)=FALSE,K348,J348),I348)</f>
        <v>3.7787509399131673E-6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1.8303062635322929E-6</v>
      </c>
      <c r="L349" s="664">
        <f t="shared" si="20"/>
        <v>1.8303062635322929E-6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6.204128019273961E-8</v>
      </c>
      <c r="L351" s="664">
        <f t="shared" si="20"/>
        <v>6.204128019273961E-8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5.2933399117434106E-6</v>
      </c>
      <c r="L352" s="664">
        <f t="shared" si="20"/>
        <v>5.2933399117434106E-6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8.0094794578552215E-5</v>
      </c>
      <c r="L353" s="664">
        <f t="shared" si="20"/>
        <v>8.0094794578552215E-5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7.4802647783914339E-5</v>
      </c>
      <c r="L354" s="664">
        <f t="shared" si="20"/>
        <v>7.4802647783914339E-5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2.6869162062279832E-4</v>
      </c>
      <c r="L355" s="664">
        <f t="shared" si="20"/>
        <v>2.6869162062279832E-4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8.0768096669756484E-4</v>
      </c>
      <c r="L365" s="664">
        <f>IF(ISBLANK(I365),IF(ISNUMBER(J365)=FALSE,K365,J365),I365)</f>
        <v>8.0768096669756484E-4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3.1020640096369804E-9</v>
      </c>
      <c r="L367" s="664">
        <f>IF(ISBLANK(I367),IF(ISNUMBER(J367)=FALSE,K367,J367),I367)</f>
        <v>3.1020640096369804E-9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4.5730501825812043E-9</v>
      </c>
      <c r="L375" s="664">
        <f t="shared" ref="L375:L381" si="22">IF(ISBLANK(I375),IF(ISNUMBER(J375)=FALSE,K375,J375),I375)</f>
        <v>4.5730501825812043E-9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1.9028327176234441E-8</v>
      </c>
      <c r="L376" s="664">
        <f t="shared" si="22"/>
        <v>1.9028327176234441E-8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1.3704672863057882E-5</v>
      </c>
      <c r="L377" s="664">
        <f t="shared" si="22"/>
        <v>1.3704672863057882E-5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7.4086379946223336E-5</v>
      </c>
      <c r="L395" s="664">
        <f t="shared" ref="L395:L410" si="23">IF(ISBLANK(I395),IF(ISNUMBER(J395)=FALSE,K395,J395),I395)</f>
        <v>7.4086379946223336E-5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1.0698231050625331E-7</v>
      </c>
      <c r="L399" s="664">
        <f t="shared" si="23"/>
        <v>1.0698231050625331E-7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7.4086013620341503E-5</v>
      </c>
      <c r="L401" s="664">
        <f t="shared" si="23"/>
        <v>7.4086013620341503E-5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-8.3586228939453694E-5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1.8436912747509891E-8</v>
      </c>
      <c r="K9" s="179">
        <f>k.s2R.aR</f>
        <v>4.6217660828161167E-8</v>
      </c>
      <c r="L9" s="179">
        <f>k.s3R.aR</f>
        <v>1.0156517044062907E-7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1.8174788077284409E-8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1.999226688501285E-7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3.1806077923234773E-8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1.8116147920780187E-8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-4.7974379064242269E-8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-2.8684255607452146E-8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2.0203821194492796E-6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-6.3122364297192678E-8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4.4897380432206203E-6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-9.0225583446648493E-8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7.482896738701035E-7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-1.4625061058178645E-7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-7.550754016917654E-5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1.8436912747509891E-8</v>
      </c>
      <c r="T18" s="691">
        <f>k.s2C.aC</f>
        <v>8.3897952062308888E-9</v>
      </c>
      <c r="U18" s="691">
        <f>k.s3C.aC</f>
        <v>1.8436912747509891E-8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8.5546618608296207E-9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9.410128046912581E-8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3.6452581760061642E-6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1.9030441162366687E-8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-4.7974379064242276E-8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-2.8684255607452146E-8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9.5186892770719595E-7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-6.3122364297192678E-8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2.1152642837937686E-6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-5.2397717824718211E-8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3.5254404729896136E-7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-6.3122352888667284E-8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-7.4824540173225798E-5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1.8436912747509891E-8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3.3716608916496962E-6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-2.8684255607452142E-8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3.6305356603702711E-6</v>
      </c>
      <c r="W31" s="376">
        <v>0</v>
      </c>
      <c r="X31" s="376">
        <v>0</v>
      </c>
      <c r="Y31" s="376">
        <v>0</v>
      </c>
      <c r="Z31" s="378">
        <f>-k.sM-SUM(Z9:Z30,Z32:Z41)</f>
        <v>-6.3122364297192678E-8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-6.527600590255098E-5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1.723333649996128E-9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5.5679950783985527E-6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-2.1131474563148043E-8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3.2831425415528271E-6</v>
      </c>
      <c r="AB36" s="376">
        <v>0</v>
      </c>
      <c r="AC36" s="376">
        <v>0</v>
      </c>
      <c r="AD36" s="376">
        <v>0</v>
      </c>
      <c r="AE36" s="378">
        <f>-k.sA-SUM(AE9:AE35,AE37:AE41)</f>
        <v>-1.163755733449289E-8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-8.0095160904434048E-5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6.204128019273961E-8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3.7787509399131673E-6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-4.2800920605437513E-8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1.8303062635322929E-6</v>
      </c>
      <c r="AG41" s="373">
        <v>0</v>
      </c>
      <c r="AH41" s="373">
        <v>0</v>
      </c>
      <c r="AI41" s="373">
        <v>0</v>
      </c>
      <c r="AJ41" s="381">
        <f>-k.sT-SUM(AJ9:AJ40)</f>
        <v>-1.7129667421893712E-7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77211351.449212179</v>
      </c>
      <c r="D45" s="370">
        <f t="array" ref="D45:AJ45">TRANSPOSE(MMULT(MINVERSE(D9:AJ41),-TRANSPOSE(D5:AJ5)))</f>
        <v>27101.658388831042</v>
      </c>
      <c r="E45" s="370">
        <v>18742.730968493051</v>
      </c>
      <c r="F45" s="370">
        <v>607902.96759892663</v>
      </c>
      <c r="G45" s="370">
        <v>21110.904551411273</v>
      </c>
      <c r="H45" s="370">
        <v>58240314.0653878</v>
      </c>
      <c r="I45" s="370">
        <v>1009695.6382741656</v>
      </c>
      <c r="J45" s="370">
        <v>867453.34440288111</v>
      </c>
      <c r="K45" s="370">
        <v>14388465.479509817</v>
      </c>
      <c r="L45" s="370">
        <v>138665.34325185866</v>
      </c>
      <c r="M45" s="370">
        <v>3469.3830338876078</v>
      </c>
      <c r="N45" s="370">
        <v>643.70573990194976</v>
      </c>
      <c r="O45" s="370">
        <v>246.03475176434188</v>
      </c>
      <c r="P45" s="370">
        <v>376266.33667971857</v>
      </c>
      <c r="Q45" s="370">
        <v>23571.428299407256</v>
      </c>
      <c r="R45" s="370">
        <v>899806.25427419995</v>
      </c>
      <c r="S45" s="370">
        <v>52317.398833855266</v>
      </c>
      <c r="T45" s="370">
        <v>140056.90177064479</v>
      </c>
      <c r="U45" s="370">
        <v>19376.817885010729</v>
      </c>
      <c r="V45" s="370">
        <v>75.829383449925842</v>
      </c>
      <c r="W45" s="370">
        <v>37657.457778312666</v>
      </c>
      <c r="X45" s="370">
        <v>168585.99765458266</v>
      </c>
      <c r="Y45" s="370">
        <v>26877.191373048259</v>
      </c>
      <c r="Z45" s="370">
        <v>4361.3905116524729</v>
      </c>
      <c r="AA45" s="370">
        <v>1.7619131790547256</v>
      </c>
      <c r="AB45" s="370">
        <v>8319.8802313240558</v>
      </c>
      <c r="AC45" s="370">
        <v>104955.324243507</v>
      </c>
      <c r="AD45" s="370">
        <v>22713.320987626175</v>
      </c>
      <c r="AE45" s="370">
        <v>497.06411289008014</v>
      </c>
      <c r="AF45" s="370">
        <v>0.63965569360490959</v>
      </c>
      <c r="AG45" s="370">
        <v>43.364392902825614</v>
      </c>
      <c r="AH45" s="370">
        <v>1851.2070423471268</v>
      </c>
      <c r="AI45" s="370">
        <v>197.79160315363976</v>
      </c>
      <c r="AJ45" s="371">
        <v>6.8347259387697399</v>
      </c>
    </row>
    <row r="46" spans="1:36" ht="12.75" customHeight="1" x14ac:dyDescent="0.2">
      <c r="B46" s="255" t="s">
        <v>2410</v>
      </c>
      <c r="C46" s="531">
        <f>SUM(D46:AJ46)</f>
        <v>77513378.243846744</v>
      </c>
      <c r="D46" s="383">
        <f>D45</f>
        <v>27101.658388831042</v>
      </c>
      <c r="E46" s="383"/>
      <c r="F46" s="383">
        <f t="shared" ref="F46:AJ46" si="0">F45</f>
        <v>607902.96759892663</v>
      </c>
      <c r="G46" s="383">
        <f t="shared" si="0"/>
        <v>21110.904551411273</v>
      </c>
      <c r="H46" s="383">
        <f t="shared" si="0"/>
        <v>58240314.0653878</v>
      </c>
      <c r="I46" s="383">
        <f t="shared" si="0"/>
        <v>1009695.6382741656</v>
      </c>
      <c r="J46" s="383">
        <f t="shared" si="0"/>
        <v>867453.34440288111</v>
      </c>
      <c r="K46" s="383">
        <f t="shared" si="0"/>
        <v>14388465.479509817</v>
      </c>
      <c r="L46" s="383">
        <f t="shared" si="0"/>
        <v>138665.34325185866</v>
      </c>
      <c r="M46" s="383">
        <f t="shared" si="0"/>
        <v>3469.3830338876078</v>
      </c>
      <c r="N46" s="383"/>
      <c r="O46" s="383">
        <f t="shared" si="0"/>
        <v>246.03475176434188</v>
      </c>
      <c r="P46" s="383">
        <f t="shared" si="0"/>
        <v>376266.33667971857</v>
      </c>
      <c r="Q46" s="383">
        <f t="shared" si="0"/>
        <v>23571.428299407256</v>
      </c>
      <c r="R46" s="383">
        <f t="shared" si="0"/>
        <v>899806.25427419995</v>
      </c>
      <c r="S46" s="383">
        <f t="shared" si="0"/>
        <v>52317.398833855266</v>
      </c>
      <c r="T46" s="383">
        <f t="shared" si="0"/>
        <v>140056.90177064479</v>
      </c>
      <c r="U46" s="383">
        <f t="shared" si="0"/>
        <v>19376.817885010729</v>
      </c>
      <c r="V46" s="383">
        <f t="shared" si="0"/>
        <v>75.829383449925842</v>
      </c>
      <c r="W46" s="383">
        <f>SUM(W45:X45)</f>
        <v>206243.45543289534</v>
      </c>
      <c r="X46" s="383">
        <f>SUM(W45:X45)</f>
        <v>206243.45543289534</v>
      </c>
      <c r="Y46" s="383">
        <f t="shared" si="0"/>
        <v>26877.191373048259</v>
      </c>
      <c r="Z46" s="383">
        <f t="shared" si="0"/>
        <v>4361.3905116524729</v>
      </c>
      <c r="AA46" s="383">
        <f t="shared" si="0"/>
        <v>1.7619131790547256</v>
      </c>
      <c r="AB46" s="383">
        <f>SUM(AB45:AC45)</f>
        <v>113275.20447483106</v>
      </c>
      <c r="AC46" s="383">
        <f>SUM(AB45:AC45)</f>
        <v>113275.20447483106</v>
      </c>
      <c r="AD46" s="383">
        <f t="shared" si="0"/>
        <v>22713.320987626175</v>
      </c>
      <c r="AE46" s="383">
        <f t="shared" si="0"/>
        <v>497.06411289008014</v>
      </c>
      <c r="AF46" s="383">
        <f t="shared" si="0"/>
        <v>0.63965569360490959</v>
      </c>
      <c r="AG46" s="383">
        <f>SUM(AG45:AH45)</f>
        <v>1894.5714352499524</v>
      </c>
      <c r="AH46" s="383">
        <f>SUM(AG45:AH45)</f>
        <v>1894.5714352499524</v>
      </c>
      <c r="AI46" s="383">
        <f t="shared" si="0"/>
        <v>197.79160315363976</v>
      </c>
      <c r="AJ46" s="384">
        <f t="shared" si="0"/>
        <v>6.8347259387697399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-1.3945048658674553</v>
      </c>
      <c r="E48" s="515" t="e">
        <f t="shared" ref="E48:AJ48" si="1">IF(E49&gt;0.0001,LOG(E46/E47),"")</f>
        <v>#DIV/0!</v>
      </c>
      <c r="F48" s="515">
        <f t="shared" si="1"/>
        <v>-0.29259259454299941</v>
      </c>
      <c r="G48" s="515">
        <f t="shared" si="1"/>
        <v>-0.28515442798751439</v>
      </c>
      <c r="H48" s="515">
        <f t="shared" si="1"/>
        <v>2.5560032896018181</v>
      </c>
      <c r="I48" s="515">
        <f t="shared" si="1"/>
        <v>2.8451049653184564</v>
      </c>
      <c r="J48" s="515">
        <f t="shared" si="1"/>
        <v>2.582136567225306</v>
      </c>
      <c r="K48" s="515">
        <f t="shared" si="1"/>
        <v>-0.15618428191762612</v>
      </c>
      <c r="L48" s="515">
        <f t="shared" si="1"/>
        <v>2.2172221366741622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-0.65461273833794176</v>
      </c>
      <c r="Q48" s="515">
        <f t="shared" si="1"/>
        <v>1.7216593537912481</v>
      </c>
      <c r="R48" s="515">
        <f t="shared" si="1"/>
        <v>2.4758033540391819</v>
      </c>
      <c r="S48" s="515">
        <f t="shared" si="1"/>
        <v>0.90799483433176742</v>
      </c>
      <c r="T48" s="515">
        <f t="shared" si="1"/>
        <v>0.54875608207721993</v>
      </c>
      <c r="U48" s="515">
        <f t="shared" si="1"/>
        <v>0.90799491282470923</v>
      </c>
      <c r="V48" s="515" t="str">
        <f t="shared" si="1"/>
        <v/>
      </c>
      <c r="W48" s="515">
        <f t="shared" si="1"/>
        <v>-1.3353237645485108</v>
      </c>
      <c r="X48" s="515">
        <f t="shared" si="1"/>
        <v>-1.3353237645485108</v>
      </c>
      <c r="Y48" s="515">
        <f t="shared" si="1"/>
        <v>1.2321760663396097</v>
      </c>
      <c r="Z48" s="515" t="str">
        <f t="shared" si="1"/>
        <v/>
      </c>
      <c r="AA48" s="515" t="str">
        <f t="shared" si="1"/>
        <v/>
      </c>
      <c r="AB48" s="515">
        <f t="shared" si="1"/>
        <v>-2.2517137293648988</v>
      </c>
      <c r="AC48" s="515">
        <f t="shared" si="1"/>
        <v>-2.2517137293648988</v>
      </c>
      <c r="AD48" s="515">
        <f t="shared" si="1"/>
        <v>0.46586317240752451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3.5100613938428315E-4</v>
      </c>
      <c r="E49" s="151">
        <f t="shared" si="2"/>
        <v>2.4274579600930287E-4</v>
      </c>
      <c r="F49" s="151">
        <f t="shared" si="2"/>
        <v>7.8732330957681906E-3</v>
      </c>
      <c r="G49" s="151">
        <f t="shared" si="2"/>
        <v>2.7341710972767435E-4</v>
      </c>
      <c r="H49" s="151">
        <f t="shared" si="2"/>
        <v>0.75429730178595455</v>
      </c>
      <c r="I49" s="151">
        <f t="shared" si="2"/>
        <v>1.3077036204169017E-2</v>
      </c>
      <c r="J49" s="151">
        <f t="shared" si="2"/>
        <v>1.1234790327086446E-2</v>
      </c>
      <c r="K49" s="151">
        <f t="shared" si="2"/>
        <v>0.18635168546394651</v>
      </c>
      <c r="L49" s="151">
        <f t="shared" si="2"/>
        <v>1.7959191316974873E-3</v>
      </c>
      <c r="M49" s="151">
        <f t="shared" si="2"/>
        <v>4.4933587727313477E-5</v>
      </c>
      <c r="N49" s="151">
        <f t="shared" si="2"/>
        <v>8.3369313944124431E-6</v>
      </c>
      <c r="O49" s="151">
        <f t="shared" si="2"/>
        <v>3.1865101069520561E-6</v>
      </c>
      <c r="P49" s="151">
        <f t="shared" si="2"/>
        <v>4.87319972539553E-3</v>
      </c>
      <c r="Q49" s="151">
        <f t="shared" si="2"/>
        <v>3.0528449323817357E-4</v>
      </c>
      <c r="R49" s="151">
        <f t="shared" si="2"/>
        <v>1.165380785837004E-2</v>
      </c>
      <c r="S49" s="151">
        <f t="shared" si="2"/>
        <v>6.7758688135731481E-4</v>
      </c>
      <c r="T49" s="151">
        <f t="shared" si="2"/>
        <v>1.8139418510602155E-3</v>
      </c>
      <c r="U49" s="151">
        <f t="shared" si="2"/>
        <v>2.5095814956375094E-4</v>
      </c>
      <c r="V49" s="151">
        <f t="shared" si="2"/>
        <v>9.8210149190050941E-7</v>
      </c>
      <c r="W49" s="151">
        <f t="shared" si="2"/>
        <v>4.8771918987952E-4</v>
      </c>
      <c r="X49" s="151">
        <f t="shared" si="2"/>
        <v>2.1834353950594245E-3</v>
      </c>
      <c r="Y49" s="151">
        <f t="shared" si="2"/>
        <v>3.4809896302265151E-4</v>
      </c>
      <c r="Z49" s="151">
        <f t="shared" si="2"/>
        <v>5.6486390016386301E-5</v>
      </c>
      <c r="AA49" s="151">
        <f t="shared" si="2"/>
        <v>2.2819354226867416E-8</v>
      </c>
      <c r="AB49" s="151">
        <f t="shared" si="2"/>
        <v>1.0775462513172922E-4</v>
      </c>
      <c r="AC49" s="151">
        <f t="shared" si="2"/>
        <v>1.3593250509615048E-3</v>
      </c>
      <c r="AD49" s="151">
        <f t="shared" si="2"/>
        <v>2.9417074771144843E-4</v>
      </c>
      <c r="AE49" s="151">
        <f t="shared" si="2"/>
        <v>6.4377077147398113E-6</v>
      </c>
      <c r="AF49" s="151">
        <f t="shared" si="2"/>
        <v>8.2844773676272212E-9</v>
      </c>
      <c r="AG49" s="151">
        <f t="shared" si="2"/>
        <v>5.6163235183559375E-7</v>
      </c>
      <c r="AH49" s="151">
        <f t="shared" si="2"/>
        <v>2.3975840437980257E-5</v>
      </c>
      <c r="AI49" s="151">
        <f t="shared" si="2"/>
        <v>2.5616907286455469E-6</v>
      </c>
      <c r="AJ49" s="253">
        <f t="shared" si="2"/>
        <v>8.8519703521385224E-8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1.1805400700801953E-10</v>
      </c>
      <c r="E50" s="179">
        <f t="shared" si="3"/>
        <v>3.2799984194764059E-7</v>
      </c>
      <c r="F50" s="179">
        <f t="shared" si="3"/>
        <v>3.2237480069041997E-5</v>
      </c>
      <c r="G50" s="179">
        <f t="shared" si="3"/>
        <v>2.1110904551411248E-6</v>
      </c>
      <c r="H50" s="179">
        <f t="shared" si="3"/>
        <v>0.30885208067225767</v>
      </c>
      <c r="I50" s="179">
        <f t="shared" si="3"/>
        <v>3.3656521275805484E-2</v>
      </c>
      <c r="J50" s="179">
        <f t="shared" si="3"/>
        <v>2.81120896395425E-4</v>
      </c>
      <c r="K50" s="179">
        <f t="shared" si="3"/>
        <v>5.2458274924931157E-4</v>
      </c>
      <c r="L50" s="179">
        <f t="shared" si="3"/>
        <v>1.2133293367621181E-4</v>
      </c>
      <c r="M50" s="179">
        <f t="shared" si="3"/>
        <v>4.8190895355594092E-13</v>
      </c>
      <c r="N50" s="179">
        <f t="shared" si="3"/>
        <v>7.3865207800926008E-10</v>
      </c>
      <c r="O50" s="179">
        <f t="shared" si="3"/>
        <v>8.5552963283609001E-10</v>
      </c>
      <c r="P50" s="179">
        <f t="shared" si="3"/>
        <v>5.0663182449516557E-10</v>
      </c>
      <c r="Q50" s="179">
        <f t="shared" si="3"/>
        <v>8.196425608090379E-6</v>
      </c>
      <c r="R50" s="179">
        <f t="shared" si="3"/>
        <v>8.0770886622107442E-6</v>
      </c>
      <c r="S50" s="179">
        <f t="shared" si="3"/>
        <v>1.1117443361089064E-6</v>
      </c>
      <c r="T50" s="179">
        <f t="shared" si="3"/>
        <v>3.3482341360725287E-7</v>
      </c>
      <c r="U50" s="179">
        <f t="shared" si="3"/>
        <v>1.1117445370419027E-6</v>
      </c>
      <c r="V50" s="179">
        <f t="shared" si="3"/>
        <v>9.7754582887518083E-16</v>
      </c>
      <c r="W50" s="179">
        <f t="shared" si="3"/>
        <v>9.7091362483625138E-12</v>
      </c>
      <c r="X50" s="179">
        <f t="shared" si="3"/>
        <v>1.4488714120766902E-12</v>
      </c>
      <c r="Y50" s="179">
        <f t="shared" si="3"/>
        <v>2.3098949354685816E-8</v>
      </c>
      <c r="Z50" s="179">
        <f t="shared" si="3"/>
        <v>2.2489746896476102E-9</v>
      </c>
      <c r="AA50" s="179">
        <f t="shared" si="3"/>
        <v>4.1456780683640604E-17</v>
      </c>
      <c r="AB50" s="179">
        <f t="shared" si="3"/>
        <v>3.2626981299310021E-12</v>
      </c>
      <c r="AC50" s="179">
        <f t="shared" si="3"/>
        <v>1.3719650227909411E-12</v>
      </c>
      <c r="AD50" s="179">
        <f t="shared" si="3"/>
        <v>2.9690615670099574E-8</v>
      </c>
      <c r="AE50" s="179">
        <f t="shared" si="3"/>
        <v>5.8478130928244725E-10</v>
      </c>
      <c r="AF50" s="179">
        <f t="shared" si="3"/>
        <v>5.0169074008228201E-18</v>
      </c>
      <c r="AG50" s="179">
        <f t="shared" si="3"/>
        <v>4.8587555073193971E-15</v>
      </c>
      <c r="AH50" s="179">
        <f t="shared" si="3"/>
        <v>6.9139385335093447E-15</v>
      </c>
      <c r="AI50" s="179">
        <f t="shared" si="3"/>
        <v>7.3871747209576011E-11</v>
      </c>
      <c r="AJ50" s="380">
        <f t="shared" si="3"/>
        <v>3.5737129091606474E-12</v>
      </c>
    </row>
    <row r="51" spans="1:36" ht="12.75" customHeight="1" x14ac:dyDescent="0.2">
      <c r="B51" s="141" t="s">
        <v>703</v>
      </c>
      <c r="C51" s="254"/>
      <c r="D51" s="385">
        <f>D50*8.314*TEMP.R</f>
        <v>2.7972778906543219E-7</v>
      </c>
      <c r="E51" s="385">
        <f>E50*Kaw.R*8.314*TEMP.R</f>
        <v>9.9929112974883021E-6</v>
      </c>
      <c r="F51" s="385">
        <f>F50*Kaw.R*8.314*TEMP.R</f>
        <v>9.8215376224452177E-4</v>
      </c>
      <c r="G51" s="385">
        <f>G50*Kaw.R*8.314*TEMP.R</f>
        <v>6.4316920197074557E-5</v>
      </c>
      <c r="H51" s="385">
        <f>H50*Kaw.R/Ksdw1.R*8.314*TEMP.R</f>
        <v>9.6323255333583588E-2</v>
      </c>
      <c r="I51" s="385">
        <f>I50*Kaw.R/Ksdw2.R*8.314*TEMP.R</f>
        <v>1.0496628954006593E-2</v>
      </c>
      <c r="J51" s="385">
        <f>J50*Kaw.R/Ks1w.R*8.314*TEMP.R</f>
        <v>7.3538920284693597E-5</v>
      </c>
      <c r="K51" s="385">
        <f>K50*Kaw.R/Ks2w.R*8.314*TEMP.R</f>
        <v>1.3722525954271768E-4</v>
      </c>
      <c r="L51" s="385">
        <f>L50*Kaw.R/Ks3w.R*8.314*TEMP.R</f>
        <v>3.1739403056284097E-5</v>
      </c>
      <c r="M51" s="385">
        <f>M50*8.314*TEMP.C</f>
        <v>1.1418784463612665E-9</v>
      </c>
      <c r="N51" s="385">
        <f>N50*Kaw.C*8.314*TEMP.C</f>
        <v>2.2503927597715851E-8</v>
      </c>
      <c r="O51" s="385">
        <f>O50*Kaw.C*8.314*TEMP.C</f>
        <v>2.6064743453957269E-8</v>
      </c>
      <c r="P51" s="385">
        <f>P50*Kaw.C*8.314*TEMP.C</f>
        <v>1.543515037264264E-8</v>
      </c>
      <c r="Q51" s="385">
        <f>Q50*Kaw.C/Ksdw1.C*8.314*TEMP.C</f>
        <v>2.5562605728682381E-6</v>
      </c>
      <c r="R51" s="385">
        <f>R50*Kaw.C/Ksdw2.C*8.314*TEMP.C</f>
        <v>2.5190423579749664E-6</v>
      </c>
      <c r="S51" s="385">
        <f>S50*Kaw.C/Ks1w.C*8.314*TEMP.C</f>
        <v>2.9082319798480477E-7</v>
      </c>
      <c r="T51" s="385">
        <f>T50*Kaw.C/Ks2w.C*8.314*TEMP.C</f>
        <v>8.758623858482567E-8</v>
      </c>
      <c r="U51" s="385">
        <f>U50*Kaw.C/Ks3w.C*8.314*TEMP.C</f>
        <v>2.9082052899964633E-7</v>
      </c>
      <c r="V51" s="385">
        <f>V50*8.314*TEMP.M</f>
        <v>2.316285066061452E-12</v>
      </c>
      <c r="W51" s="385">
        <f>W50*Kaw.M*8.314*TEMP.M</f>
        <v>2.958005611496694E-10</v>
      </c>
      <c r="X51" s="385">
        <f>X50*Kaw.M*8.314*TEMP.M</f>
        <v>4.4141617314133391E-11</v>
      </c>
      <c r="Y51" s="385">
        <f>Y50*Kaw.M/Ksdw.M*8.314*TEMP.M</f>
        <v>7.2039857778713453E-9</v>
      </c>
      <c r="Z51" s="372">
        <f>Z50*Kaw.M/Kslw.M*8.314*TEMP.M</f>
        <v>5.8831332905133918E-10</v>
      </c>
      <c r="AA51" s="385">
        <f>AA50*8.314*TEMP.A</f>
        <v>9.0648650420796242E-14</v>
      </c>
      <c r="AB51" s="385">
        <f>AB50*Kaw.A*8.314*TEMP.A</f>
        <v>7.6941145284323545E-12</v>
      </c>
      <c r="AC51" s="385">
        <f>AC50*Kaw.A*8.314*TEMP.A</f>
        <v>3.235376241987806E-12</v>
      </c>
      <c r="AD51" s="385">
        <f>AD50*Kaw.A/Ksdw.A*8.314*TEMP.A</f>
        <v>7.1674253437766247E-10</v>
      </c>
      <c r="AE51" s="372">
        <f>AE50*Kaw.A/Kslw.A*8.314*TEMP.A</f>
        <v>1.1840799417157701E-11</v>
      </c>
      <c r="AF51" s="385">
        <f>AF50*8.314*TEMP.T</f>
        <v>1.2429749302871397E-14</v>
      </c>
      <c r="AG51" s="385">
        <f>AG50*Kaw.T*8.314*TEMP.T</f>
        <v>5.6216156737667813E-13</v>
      </c>
      <c r="AH51" s="385">
        <f>AH50*Kaw.T*8.314*TEMP.T</f>
        <v>7.9994774729629641E-13</v>
      </c>
      <c r="AI51" s="385">
        <f>AI50*Kaw.T/Ksdw.T*8.314*TEMP.T</f>
        <v>8.749368307746624E-11</v>
      </c>
      <c r="AJ51" s="386">
        <f>AJ50*Kaw.T/Kslw.T*8.314*TEMP.T</f>
        <v>3.550269313436095E-12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0.6300078420679468</v>
      </c>
      <c r="E55" s="370">
        <f t="shared" ref="E55:AJ55" si="4">E9*E$45</f>
        <v>3.6261838139919005E-4</v>
      </c>
      <c r="F55" s="370">
        <f t="shared" si="4"/>
        <v>0.38784034701872339</v>
      </c>
      <c r="G55" s="370">
        <f t="shared" si="4"/>
        <v>4.4739953150621662E-3</v>
      </c>
      <c r="H55" s="389">
        <f t="shared" si="4"/>
        <v>0</v>
      </c>
      <c r="I55" s="389">
        <f t="shared" si="4"/>
        <v>0</v>
      </c>
      <c r="J55" s="370">
        <f t="shared" si="4"/>
        <v>1.5993161623291566E-2</v>
      </c>
      <c r="K55" s="370">
        <f t="shared" si="4"/>
        <v>0.66500121736969009</v>
      </c>
      <c r="L55" s="370">
        <f t="shared" si="4"/>
        <v>1.408356922158336E-2</v>
      </c>
      <c r="M55" s="370">
        <f t="shared" si="4"/>
        <v>1.0421677099168344E-3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4.9256689775996137E-4</v>
      </c>
      <c r="E56" s="378">
        <f>SUM(D56,F56:AJ56)-SUM(E55,E57:E87)</f>
        <v>8.6248764868940373E-4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8.9284603785059853E-5</v>
      </c>
      <c r="K56" s="376">
        <f t="shared" si="6"/>
        <v>6.7391341877279199E-4</v>
      </c>
      <c r="L56" s="376">
        <f t="shared" si="6"/>
        <v>1.4272314147305056E-5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5.4182358753595752E-3</v>
      </c>
      <c r="E57" s="179">
        <f t="shared" ref="E57:E87" si="7">E11*E$45</f>
        <v>4.4931204376524433E-5</v>
      </c>
      <c r="F57" s="378">
        <f>SUM(D57:E57,G57:AJ57)-SUM(F55:F56,F58:F87)</f>
        <v>-1.1488540036283617</v>
      </c>
      <c r="G57" s="376">
        <f t="shared" ref="G57:AJ57" si="8">G11*G$45</f>
        <v>0</v>
      </c>
      <c r="H57" s="179">
        <f t="shared" si="8"/>
        <v>2.0631745619959085</v>
      </c>
      <c r="I57" s="376">
        <f t="shared" si="8"/>
        <v>0</v>
      </c>
      <c r="J57" s="179">
        <f t="shared" si="8"/>
        <v>9.8213064163565856E-4</v>
      </c>
      <c r="K57" s="179">
        <f t="shared" si="8"/>
        <v>7.4130476065007124E-3</v>
      </c>
      <c r="L57" s="179">
        <f t="shared" si="8"/>
        <v>1.5699545562035565E-4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8.6199745856404945E-4</v>
      </c>
      <c r="E58" s="179">
        <f t="shared" si="7"/>
        <v>0</v>
      </c>
      <c r="F58" s="179">
        <f t="shared" ref="F58:F87" si="9">F12*F$45</f>
        <v>4.4160655595604878E-2</v>
      </c>
      <c r="G58" s="378">
        <f>SUM(D58:F58,H58:AJ58)-SUM(G55:G57,G59:G87)</f>
        <v>9.6546502315089655E-4</v>
      </c>
      <c r="H58" s="376">
        <f t="shared" ref="H58:N58" si="10">H12*H$45</f>
        <v>0</v>
      </c>
      <c r="I58" s="179">
        <f t="shared" si="10"/>
        <v>1.8291795537941347E-2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6.246106743036113E-6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2.7940429037934345</v>
      </c>
      <c r="G59" s="376">
        <f t="shared" ref="G59:G87" si="12">G13*G$45</f>
        <v>0</v>
      </c>
      <c r="H59" s="378">
        <f>SUM(D59:G59,I59:AJ59)-SUM(H55:H58,H60:H87)</f>
        <v>0.73086834179752591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2.8962367773985715E-2</v>
      </c>
      <c r="H60" s="376">
        <f t="shared" ref="H60:H87" si="15">H14*H$45</f>
        <v>0</v>
      </c>
      <c r="I60" s="378">
        <f>SUM(D60:H60,J60:AJ60)-SUM(I55:I59,I61:I87)</f>
        <v>1.0670572236044368E-2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5.4755706016216807E-2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3.7691129147504526E-2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0.12167934670270399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-0.55140883169225963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2.0279891117117334E-2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6.0250541257663142E-3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0.25530149050399786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0.23126134612763352</v>
      </c>
      <c r="N64" s="179">
        <f>N18*N$45</f>
        <v>1.2453869923918585E-5</v>
      </c>
      <c r="O64" s="179">
        <f>O18*O$45</f>
        <v>1.5696946484706765E-4</v>
      </c>
      <c r="P64" s="179">
        <f t="shared" ref="P64:AJ64" si="25">P18*P$45</f>
        <v>3.9870717605232303E-3</v>
      </c>
      <c r="Q64" s="376">
        <f t="shared" si="25"/>
        <v>0</v>
      </c>
      <c r="R64" s="376">
        <f t="shared" si="25"/>
        <v>0</v>
      </c>
      <c r="S64" s="179">
        <f t="shared" si="25"/>
        <v>9.6457131747646526E-4</v>
      </c>
      <c r="T64" s="179">
        <f t="shared" si="25"/>
        <v>1.1750487230749061E-3</v>
      </c>
      <c r="U64" s="179">
        <f t="shared" si="25"/>
        <v>3.5724870067033198E-4</v>
      </c>
      <c r="V64" s="179">
        <f t="shared" si="25"/>
        <v>9.7244530143509518E-6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2.9679398720607676E-5</v>
      </c>
      <c r="N65" s="378">
        <f>SUM(D65:M65,O65:AJ65)-SUM(N55:N64,N66:N87)</f>
        <v>2.9621523725074515E-5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5.3848869868167243E-6</v>
      </c>
      <c r="T65" s="376">
        <f t="shared" si="27"/>
        <v>6.5598534902413977E-6</v>
      </c>
      <c r="U65" s="376">
        <f t="shared" si="27"/>
        <v>1.994384649722384E-6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3.2647338592668441E-4</v>
      </c>
      <c r="N66" s="179">
        <f t="shared" ref="N66:N87" si="28">N20*N$45</f>
        <v>1.5431301983950851E-6</v>
      </c>
      <c r="O66" s="378">
        <f>SUM(D66:N66,P66:AJ66)-SUM(O55:O65,O67:O87)</f>
        <v>1.1200553937414006E-5</v>
      </c>
      <c r="P66" s="376">
        <f t="shared" ref="P66:AJ66" si="29">P20*P$45</f>
        <v>0</v>
      </c>
      <c r="Q66" s="179">
        <f t="shared" si="29"/>
        <v>8.3552077278077489E-4</v>
      </c>
      <c r="R66" s="376">
        <f t="shared" si="29"/>
        <v>0</v>
      </c>
      <c r="S66" s="179">
        <f t="shared" si="29"/>
        <v>5.9233756854983966E-5</v>
      </c>
      <c r="T66" s="179">
        <f t="shared" si="29"/>
        <v>7.2158388392655368E-5</v>
      </c>
      <c r="U66" s="179">
        <f t="shared" si="29"/>
        <v>2.1938231146946221E-5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2.8918866586654522E-2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1.2646796869975873E-2</v>
      </c>
      <c r="N67" s="179">
        <f t="shared" si="28"/>
        <v>0</v>
      </c>
      <c r="O67" s="179">
        <f t="shared" ref="O67:O87" si="30">O21*O$45</f>
        <v>1.7873010194586897E-5</v>
      </c>
      <c r="P67" s="378">
        <f>SUM(D67:O67,Q67:AJ67)-SUM(P55:P66,P68:P87)</f>
        <v>1.720778882632553E-2</v>
      </c>
      <c r="Q67" s="376">
        <f t="shared" ref="Q67:AJ67" si="31">Q21*Q$45</f>
        <v>0</v>
      </c>
      <c r="R67" s="179">
        <f t="shared" si="31"/>
        <v>1.7123709979494722E-2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2.2851999006093813E-4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1.1308246363213714E-3</v>
      </c>
      <c r="P68" s="376">
        <f t="shared" ref="P68:P87" si="32">P22*P$45</f>
        <v>0</v>
      </c>
      <c r="Q68" s="378">
        <f>SUM(D68:P68,R68:AJ68)-SUM(Q55:Q67,Q69:Q87)</f>
        <v>2.9530386354059647E-4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2.581027259478522E-2</v>
      </c>
      <c r="Q69" s="376">
        <f t="shared" ref="Q69:Q87" si="34">Q23*Q$45</f>
        <v>0</v>
      </c>
      <c r="R69" s="378">
        <f>SUM(D69:Q69,S69:AJ69)-SUM(R55:R68,R70:R87)</f>
        <v>8.6865626152904975E-3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3.3023979082721353E-3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2.2732079469538692E-3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7.3386620183825222E-3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6.0848950534247194E-3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1.223110336397087E-3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8.4192901993008639E-4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4.7939450383028123E-3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5.0546178157238452E-3</v>
      </c>
      <c r="W73" s="179">
        <f t="shared" ref="W73:AJ73" si="43">W27*W$45</f>
        <v>7.980676018264659E-4</v>
      </c>
      <c r="X73" s="376">
        <f t="shared" si="43"/>
        <v>0</v>
      </c>
      <c r="Y73" s="376">
        <f t="shared" si="43"/>
        <v>0</v>
      </c>
      <c r="Z73" s="179">
        <f t="shared" si="43"/>
        <v>8.0410576321154168E-5</v>
      </c>
      <c r="AA73" s="179">
        <f t="shared" si="43"/>
        <v>1.2198462338827033E-6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2.5568557560472358E-7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1.1924387148003633E-2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2.5567096661602371E-4</v>
      </c>
      <c r="W74" s="378">
        <f>SUM(D74:V74,X74:AJ74)-SUM(W55:W73,W75:W87)</f>
        <v>1.7221885617077024E-3</v>
      </c>
      <c r="X74" s="376">
        <f t="shared" ref="X74:AJ74" si="45">X28*X$45</f>
        <v>1.3998924237544235E-3</v>
      </c>
      <c r="Y74" s="376">
        <f t="shared" si="45"/>
        <v>0</v>
      </c>
      <c r="Z74" s="179">
        <f t="shared" si="45"/>
        <v>5.3868721765483877E-6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7.2881332609790956E-7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9.3809196330272432E-3</v>
      </c>
      <c r="X75" s="378">
        <f>SUM(D75:W75,Y75:AJ75)-SUM(X55:X74,X76:X87)</f>
        <v>7.7099436327858779E-3</v>
      </c>
      <c r="Y75" s="376">
        <f t="shared" ref="Y75:AJ75" si="47">Y29*Y$45</f>
        <v>5.1140460926084471E-4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2.0579475341864117E-4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7.7095222735492372E-4</v>
      </c>
      <c r="Y76" s="378">
        <f>SUM(D76:X76,Z76:AJ76)-SUM(Y55:Y75,Y77:Y87)</f>
        <v>2.5954761809407901E-4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2.7530128071884702E-4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1.8950383222114447E-4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2.8763825317282624E-5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9.8195872819656507E-5</v>
      </c>
      <c r="AB78" s="179">
        <f t="shared" ref="AB78:AJ78" si="53">AB32*AB$45</f>
        <v>8.5390222446527053E-5</v>
      </c>
      <c r="AC78" s="376">
        <f t="shared" si="53"/>
        <v>0</v>
      </c>
      <c r="AD78" s="376">
        <f t="shared" si="53"/>
        <v>0</v>
      </c>
      <c r="AE78" s="179">
        <f t="shared" si="53"/>
        <v>8.5660731194894925E-7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1.4563704372543773E-3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9.8103239095422605E-6</v>
      </c>
      <c r="AB79" s="378">
        <f>SUM(D79:AA79,AC79:AJ79)-SUM(AB55:AB78,AB80:AB87)</f>
        <v>8.2809619021224131E-5</v>
      </c>
      <c r="AC79" s="376">
        <f t="shared" ref="AC79:AJ79" si="55">AC33*AC$45</f>
        <v>9.4201335782034574E-4</v>
      </c>
      <c r="AD79" s="376">
        <f t="shared" si="55"/>
        <v>0</v>
      </c>
      <c r="AE79" s="179">
        <f t="shared" si="55"/>
        <v>2.2698896893930449E-7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2.2402212664854532E-3</v>
      </c>
      <c r="AC80" s="378">
        <f>SUM(D80:AB80,AD80:AJ80)-SUM(AC55:AC79,AC81:AC87)</f>
        <v>1.0446436935632102E-3</v>
      </c>
      <c r="AD80" s="376">
        <f t="shared" ref="AD80:AJ80" si="57">AD34*AD$45</f>
        <v>4.3219650301138323E-4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4.7996596469463917E-4</v>
      </c>
      <c r="AD81" s="378">
        <f>SUM(D81:AC81,AE81:AJ81)-SUM(AD55:AD80,AD82:AD87)</f>
        <v>4.7769461683255939E-5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5.7846121126771532E-6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4.7010158317888993E-6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4.9820406869569477E-5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4.7389774751178356E-5</v>
      </c>
      <c r="AG83" s="179">
        <f>AG37*AG$45</f>
        <v>9.8888368614532701E-7</v>
      </c>
      <c r="AH83" s="376">
        <f>AH37*AH$45</f>
        <v>0</v>
      </c>
      <c r="AI83" s="376">
        <f>AI37*AI$45</f>
        <v>0</v>
      </c>
      <c r="AJ83" s="380">
        <f>AJ37*AJ$45</f>
        <v>4.2403514700779869E-7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2.417099553430361E-6</v>
      </c>
      <c r="AG84" s="378">
        <f>SUM(D84:AF84,AH84:AJ84)-SUM(AG55:AG83,AG85:AG87)</f>
        <v>4.8831713922749491E-6</v>
      </c>
      <c r="AH84" s="376">
        <f>AH38*AH$45</f>
        <v>1.4022549831282904E-5</v>
      </c>
      <c r="AI84" s="179">
        <f>AI38*AI$45</f>
        <v>0</v>
      </c>
      <c r="AJ84" s="380">
        <f>AJ38*AJ$45</f>
        <v>1.5535902894752655E-8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2.1733071181150355E-4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9.8543168830898323E-6</v>
      </c>
      <c r="AH85" s="378">
        <f>SUM(D85:AG85,AI85:AJ85)-SUM(AH55:AH84,AH86:AH87)</f>
        <v>2.0846045949782872E-4</v>
      </c>
      <c r="AI85" s="376">
        <f>AI39*AI$45</f>
        <v>3.7636433375193809E-6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8.4656627030011393E-6</v>
      </c>
      <c r="AI86" s="378">
        <f>SUM(D86:AH86,AJ86)-SUM(AI55:AI85,AI87)</f>
        <v>4.7020193654817583E-6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1.1707658225091593E-6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7.3119477260660791E-7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6.6477582368658563</v>
      </c>
      <c r="D92" s="179">
        <f>SUM($D$55:$AJ$55)</f>
        <v>1.7188049187076131</v>
      </c>
      <c r="E92" s="179">
        <f>SUM($D$56:$AJ$56)</f>
        <v>2.132524883154522E-3</v>
      </c>
      <c r="F92" s="179">
        <f>SUM($D$57:$AJ$57)</f>
        <v>0.92833589915103965</v>
      </c>
      <c r="G92" s="179">
        <f>SUM($D$58:$AJ$58)</f>
        <v>6.4286159722004202E-2</v>
      </c>
      <c r="H92" s="179">
        <f>SUM($D$59:$AJ$59)</f>
        <v>3.5249112455909604</v>
      </c>
      <c r="I92" s="179">
        <f>SUM($D$60:$AJ$60)</f>
        <v>3.9632940010030079E-2</v>
      </c>
      <c r="J92" s="179">
        <f>SUM($D$61:$AJ$61)</f>
        <v>9.2446835163721333E-2</v>
      </c>
      <c r="K92" s="179">
        <f>SUM($D$62:$AJ$62)</f>
        <v>-0.42972948498955565</v>
      </c>
      <c r="L92" s="179">
        <f>SUM($D$63:$AJ$63)</f>
        <v>2.6304945242883647E-2</v>
      </c>
      <c r="M92" s="179">
        <f>SUM($D$64:$AJ$64)</f>
        <v>0.49322592492116157</v>
      </c>
      <c r="N92" s="179">
        <f>SUM($D$65:$AJ$65)</f>
        <v>7.3240047572462703E-5</v>
      </c>
      <c r="O92" s="179">
        <f>SUM($D$66:$AJ$66)</f>
        <v>1.328068219237854E-3</v>
      </c>
      <c r="P92" s="179">
        <f>SUM($D$67:$AJ$67)</f>
        <v>7.6143555262706164E-2</v>
      </c>
      <c r="Q92" s="179">
        <f>SUM($D$68:$AJ$68)</f>
        <v>1.4261284998619678E-3</v>
      </c>
      <c r="R92" s="179">
        <f>SUM($D$69:$AJ$69)</f>
        <v>3.4496835210075717E-2</v>
      </c>
      <c r="S92" s="179">
        <f>SUM($D$70:$AJ$70)</f>
        <v>5.5756058552260046E-3</v>
      </c>
      <c r="T92" s="179">
        <f>SUM($D$71:$AJ$71)</f>
        <v>1.3423557071807242E-2</v>
      </c>
      <c r="U92" s="179">
        <f>SUM($D$72:$AJ$72)</f>
        <v>2.0650393563271733E-3</v>
      </c>
      <c r="V92" s="179">
        <f>SUM($D$73:$AJ$73)</f>
        <v>1.0728516563983765E-2</v>
      </c>
      <c r="W92" s="179">
        <f>SUM($D$74:$AJ$74)</f>
        <v>1.5308254785584429E-2</v>
      </c>
      <c r="X92" s="179">
        <f>SUM($D$75:$AJ$75)</f>
        <v>1.7808062628492605E-2</v>
      </c>
      <c r="Y92" s="179">
        <f>SUM($D$76:$AJ$76)</f>
        <v>1.0304998454490027E-3</v>
      </c>
      <c r="Z92" s="179">
        <f>SUM($D$77:$AJ$77)</f>
        <v>4.648051129399915E-4</v>
      </c>
      <c r="AA92" s="179">
        <f>SUM($D$78:$AJ$78)</f>
        <v>2.1320652789541514E-4</v>
      </c>
      <c r="AB92" s="179">
        <f>SUM($D$79:$AJ$79)</f>
        <v>2.4912307269744287E-3</v>
      </c>
      <c r="AC92" s="179">
        <f>SUM($D$80:$AJ$80)</f>
        <v>3.7170614630600463E-3</v>
      </c>
      <c r="AD92" s="179">
        <f>SUM($D$81:$AJ$81)</f>
        <v>5.2773542637789511E-4</v>
      </c>
      <c r="AE92" s="179">
        <f>SUM($D$82:$AJ$82)</f>
        <v>1.0485627944466053E-5</v>
      </c>
      <c r="AF92" s="179">
        <f>SUM($D$83:$AJ$83)</f>
        <v>9.8623100453900956E-5</v>
      </c>
      <c r="AG92" s="179">
        <f>SUM($D$84:$AJ$84)</f>
        <v>2.1338356679882967E-5</v>
      </c>
      <c r="AH92" s="179">
        <f>SUM($D$85:$AJ$85)</f>
        <v>4.3940913152994149E-4</v>
      </c>
      <c r="AI92" s="179">
        <f>SUM($D$86:$AJ$86)</f>
        <v>1.3167682068482898E-5</v>
      </c>
      <c r="AJ92" s="380">
        <f>SUM($D$87:$AJ$87)</f>
        <v>1.9019605951157672E-6</v>
      </c>
    </row>
    <row r="93" spans="2:36" ht="12.75" customHeight="1" x14ac:dyDescent="0.2">
      <c r="B93" s="146" t="s">
        <v>1212</v>
      </c>
      <c r="C93" s="150">
        <f>SUM(D93:AJ93)</f>
        <v>6.6477582368658581</v>
      </c>
      <c r="D93" s="179">
        <f t="shared" ref="D93:AJ93" si="61">SUM(D55:D87)</f>
        <v>1.0887970766396666</v>
      </c>
      <c r="E93" s="179">
        <f t="shared" si="61"/>
        <v>1.2700372344651182E-3</v>
      </c>
      <c r="F93" s="179">
        <f t="shared" si="61"/>
        <v>2.0771899027794012</v>
      </c>
      <c r="G93" s="179">
        <f t="shared" si="61"/>
        <v>6.3320694698853305E-2</v>
      </c>
      <c r="H93" s="179">
        <f t="shared" si="61"/>
        <v>2.7940429037934345</v>
      </c>
      <c r="I93" s="179">
        <f t="shared" si="61"/>
        <v>2.8962367773985715E-2</v>
      </c>
      <c r="J93" s="179">
        <f t="shared" si="61"/>
        <v>5.4755706016216807E-2</v>
      </c>
      <c r="K93" s="179">
        <f t="shared" si="61"/>
        <v>0.12167934670270397</v>
      </c>
      <c r="L93" s="179">
        <f t="shared" si="61"/>
        <v>2.0279891117117334E-2</v>
      </c>
      <c r="M93" s="179">
        <f t="shared" si="61"/>
        <v>0.26196457879352814</v>
      </c>
      <c r="N93" s="179">
        <f t="shared" si="61"/>
        <v>4.3618523847388185E-5</v>
      </c>
      <c r="O93" s="179">
        <f t="shared" si="61"/>
        <v>1.31686766530044E-3</v>
      </c>
      <c r="P93" s="179">
        <f t="shared" si="61"/>
        <v>5.8935766436380647E-2</v>
      </c>
      <c r="Q93" s="179">
        <f t="shared" si="61"/>
        <v>1.1308246363213714E-3</v>
      </c>
      <c r="R93" s="179">
        <f t="shared" si="61"/>
        <v>2.581027259478522E-2</v>
      </c>
      <c r="S93" s="179">
        <f t="shared" si="61"/>
        <v>3.3023979082721353E-3</v>
      </c>
      <c r="T93" s="179">
        <f t="shared" si="61"/>
        <v>7.3386620183825222E-3</v>
      </c>
      <c r="U93" s="179">
        <f t="shared" si="61"/>
        <v>1.223110336397087E-3</v>
      </c>
      <c r="V93" s="179">
        <f t="shared" si="61"/>
        <v>5.6738987482599186E-3</v>
      </c>
      <c r="W93" s="179">
        <f t="shared" si="61"/>
        <v>1.3586066223876727E-2</v>
      </c>
      <c r="X93" s="179">
        <f t="shared" si="61"/>
        <v>1.0098118995706729E-2</v>
      </c>
      <c r="Y93" s="179">
        <f t="shared" si="61"/>
        <v>7.7095222735492372E-4</v>
      </c>
      <c r="Z93" s="179">
        <f t="shared" si="61"/>
        <v>2.7530128071884702E-4</v>
      </c>
      <c r="AA93" s="179">
        <f t="shared" si="61"/>
        <v>1.1501065507575862E-4</v>
      </c>
      <c r="AB93" s="179">
        <f t="shared" si="61"/>
        <v>2.4084211079532045E-3</v>
      </c>
      <c r="AC93" s="179">
        <f t="shared" si="61"/>
        <v>2.6724177694968359E-3</v>
      </c>
      <c r="AD93" s="179">
        <f t="shared" si="61"/>
        <v>4.7996596469463917E-4</v>
      </c>
      <c r="AE93" s="179">
        <f t="shared" si="61"/>
        <v>5.7846121126771532E-6</v>
      </c>
      <c r="AF93" s="179">
        <f t="shared" si="61"/>
        <v>5.12333257027226E-5</v>
      </c>
      <c r="AG93" s="179">
        <f t="shared" si="61"/>
        <v>1.6455185287608018E-5</v>
      </c>
      <c r="AH93" s="179">
        <f t="shared" si="61"/>
        <v>2.3094867203211276E-4</v>
      </c>
      <c r="AI93" s="179">
        <f t="shared" si="61"/>
        <v>8.4656627030011393E-6</v>
      </c>
      <c r="AJ93" s="380">
        <f t="shared" si="61"/>
        <v>1.1707658225091593E-6</v>
      </c>
    </row>
    <row r="94" spans="2:36" ht="12.75" customHeight="1" x14ac:dyDescent="0.2">
      <c r="B94" s="152" t="s">
        <v>1211</v>
      </c>
      <c r="C94" s="150">
        <f>SUM(D94:AJ94)</f>
        <v>3.5295850382640905</v>
      </c>
      <c r="D94" s="179">
        <f>k.aR*D45</f>
        <v>1.8065361881559776</v>
      </c>
      <c r="E94" s="179">
        <f>k.w0R*E45</f>
        <v>8.6248764868940373E-4</v>
      </c>
      <c r="F94" s="179">
        <f>k.w1R*F45</f>
        <v>2.7674342459668398E-2</v>
      </c>
      <c r="G94" s="179">
        <f>k.w2R*G45</f>
        <v>9.6546502315092691E-4</v>
      </c>
      <c r="H94" s="179">
        <f>k.sd1R*H45</f>
        <v>0.7308683417975268</v>
      </c>
      <c r="I94" s="179">
        <f>k.sd2R*I45</f>
        <v>1.0670572236044361E-2</v>
      </c>
      <c r="J94" s="179">
        <f>k.s1R*J45</f>
        <v>3.7691129147504519E-2</v>
      </c>
      <c r="K94" s="179">
        <f>k.s2R*K45</f>
        <v>0.62511951439577063</v>
      </c>
      <c r="L94" s="179">
        <f>k.s3R*L45</f>
        <v>6.0250541257663133E-3</v>
      </c>
      <c r="M94" s="179">
        <f>k.aC*M45</f>
        <v>0.23126134612763358</v>
      </c>
      <c r="N94" s="179">
        <f>k.w0C*N45</f>
        <v>2.9621523725074505E-5</v>
      </c>
      <c r="O94" s="179">
        <f>k.w1C*O45</f>
        <v>1.1200553937414145E-5</v>
      </c>
      <c r="P94" s="179">
        <f>k.w2C*P45</f>
        <v>1.7207788826325496E-2</v>
      </c>
      <c r="Q94" s="179">
        <f>k.sd1C*Q45</f>
        <v>2.9530386354059641E-4</v>
      </c>
      <c r="R94" s="179">
        <f>k.sd2C*R45</f>
        <v>8.6865626152905079E-3</v>
      </c>
      <c r="S94" s="179">
        <f>k.s1C*S45</f>
        <v>2.2732079469538692E-3</v>
      </c>
      <c r="T94" s="179">
        <f>k.s2C*T45</f>
        <v>6.0848950534247194E-3</v>
      </c>
      <c r="U94" s="179">
        <f>k.s3C*U45</f>
        <v>8.4192901993008639E-4</v>
      </c>
      <c r="V94" s="179">
        <f>k.aM*V45</f>
        <v>5.0546178157238461E-3</v>
      </c>
      <c r="W94" s="179">
        <f>k.w2M*W45</f>
        <v>1.7221885617077081E-3</v>
      </c>
      <c r="X94" s="179">
        <f>k.w3M*X45</f>
        <v>7.7099436327858779E-3</v>
      </c>
      <c r="Y94" s="179">
        <f>k.sdM*Y45</f>
        <v>2.5954761809407912E-4</v>
      </c>
      <c r="Z94" s="179">
        <f>k.sM*Z45</f>
        <v>1.8950383222114439E-4</v>
      </c>
      <c r="AA94" s="179">
        <f>k.aA*AA45</f>
        <v>9.8195872819656493E-5</v>
      </c>
      <c r="AB94" s="179">
        <f>k.w2A*AB45</f>
        <v>8.2809619021224483E-5</v>
      </c>
      <c r="AC94" s="179">
        <f>k.w3A*AC45</f>
        <v>1.0446436935632106E-3</v>
      </c>
      <c r="AD94" s="179">
        <f>k.sdA*AD45</f>
        <v>4.7769461683255865E-5</v>
      </c>
      <c r="AE94" s="179">
        <f>k.sA*AE45</f>
        <v>4.7010158317889001E-6</v>
      </c>
      <c r="AF94" s="179">
        <f>k.aT*AF45</f>
        <v>4.7389774751178356E-5</v>
      </c>
      <c r="AG94" s="179">
        <f>k.w2T*AG45</f>
        <v>4.8831713922749483E-6</v>
      </c>
      <c r="AH94" s="179">
        <f>k.w3T*AH45</f>
        <v>2.084604594978287E-4</v>
      </c>
      <c r="AI94" s="179">
        <f>k.sdT*AI45</f>
        <v>4.7020193654817583E-6</v>
      </c>
      <c r="AJ94" s="374">
        <f>k.sT*AJ45</f>
        <v>7.3119477260660802E-7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16510771983.088724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820461447.60783923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175301581.27808854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29216930.213014752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33810949566.249535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60714398.635687053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134920961.49108541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22486826.915180903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30893796976.181858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5.5732526430353981E-5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6.6657772828413903E-5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6.6657772828413903E-5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6.6657772828413903E-5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7.4086379946223336E-5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4.3450324320842322E-8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4.3450324320842322E-8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4.344587790032124E-8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4.344587790032124E-8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4.3450324244486762E-8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4.3450324244486762E-8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9.4575643460876329E-9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9.6538144450854565E-9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4.3450324320842322E-8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1.0698231050625331E-7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5.5732160104472155E-5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6.665740650253207E-5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6.665740650253207E-5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6.665740650253207E-5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7.4086013620341503E-5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867.61972707902851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56.89068948042754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19332.884498548483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1267.6764882591356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1770.1996686438126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116.07375503807296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1464.8336024967089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35754.326934534605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118653.94836861454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