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E0696EED-3E82-4C12-97CE-11744E54E6EA}" xr6:coauthVersionLast="47" xr6:coauthVersionMax="47" xr10:uidLastSave="{00000000-0000-0000-0000-000000000000}"/>
  <bookViews>
    <workbookView xWindow="-120" yWindow="-120" windowWidth="29040" windowHeight="15840" tabRatio="704" firstSheet="1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8" i="8" l="1"/>
  <c r="I380" i="8"/>
  <c r="I244" i="8"/>
  <c r="I163" i="7"/>
  <c r="K25" i="6"/>
  <c r="I157" i="6"/>
  <c r="K157" i="6"/>
  <c r="K163" i="7" l="1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202" i="7"/>
  <c r="K141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L130" i="6" s="1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/>
  <c r="L80" i="3"/>
  <c r="D5" i="11"/>
  <c r="D91" i="11"/>
  <c r="L82" i="3"/>
  <c r="F5" i="11"/>
  <c r="F91" i="11"/>
  <c r="L83" i="3"/>
  <c r="G5" i="11"/>
  <c r="G91" i="11"/>
  <c r="L84" i="3"/>
  <c r="J5" i="11"/>
  <c r="J91" i="11"/>
  <c r="L85" i="3"/>
  <c r="K5" i="11"/>
  <c r="K91" i="11"/>
  <c r="L86" i="3"/>
  <c r="L5" i="11"/>
  <c r="L91" i="11"/>
  <c r="L88" i="3"/>
  <c r="M5" i="11"/>
  <c r="M91" i="11"/>
  <c r="L90" i="3"/>
  <c r="O5" i="11"/>
  <c r="O91" i="11"/>
  <c r="L91" i="3"/>
  <c r="P5" i="11"/>
  <c r="P91" i="11"/>
  <c r="L92" i="3"/>
  <c r="S5" i="11"/>
  <c r="S91" i="11"/>
  <c r="L93" i="3"/>
  <c r="T5" i="11"/>
  <c r="T91" i="11"/>
  <c r="L94" i="3"/>
  <c r="U5" i="11"/>
  <c r="U91" i="11"/>
  <c r="L96" i="3"/>
  <c r="V5" i="11"/>
  <c r="V91" i="11"/>
  <c r="L97" i="3"/>
  <c r="W5" i="11"/>
  <c r="W91" i="11"/>
  <c r="L98" i="3"/>
  <c r="Z5" i="11"/>
  <c r="Z91" i="11"/>
  <c r="L100" i="3"/>
  <c r="AA5" i="11"/>
  <c r="AA91" i="11"/>
  <c r="L101" i="3"/>
  <c r="AB5" i="11"/>
  <c r="AB91" i="11"/>
  <c r="L102" i="3"/>
  <c r="AE5" i="11"/>
  <c r="AE91" i="11"/>
  <c r="L104" i="3"/>
  <c r="AF5" i="11"/>
  <c r="AF91" i="11"/>
  <c r="L105" i="3"/>
  <c r="AG5" i="11"/>
  <c r="AG91" i="11"/>
  <c r="L106" i="3"/>
  <c r="AJ5" i="11"/>
  <c r="AJ91" i="11"/>
  <c r="C91" i="11"/>
  <c r="K136" i="6"/>
  <c r="L136" i="6"/>
  <c r="K137" i="6"/>
  <c r="L137" i="6"/>
  <c r="J19" i="3"/>
  <c r="J14" i="3"/>
  <c r="L14" i="3"/>
  <c r="J35" i="3"/>
  <c r="L35" i="3"/>
  <c r="J37" i="3"/>
  <c r="L37" i="3"/>
  <c r="K43" i="3"/>
  <c r="K19" i="3"/>
  <c r="L19" i="3"/>
  <c r="J39" i="3"/>
  <c r="L39" i="3"/>
  <c r="K36" i="3"/>
  <c r="L36" i="3"/>
  <c r="K63" i="6"/>
  <c r="L63" i="6"/>
  <c r="J22" i="3"/>
  <c r="L22" i="3"/>
  <c r="K25" i="3"/>
  <c r="L25" i="3"/>
  <c r="J66" i="6"/>
  <c r="J17" i="3"/>
  <c r="J20" i="3"/>
  <c r="L20" i="3"/>
  <c r="I43" i="3"/>
  <c r="K17" i="3"/>
  <c r="L17" i="3"/>
  <c r="J43" i="3"/>
  <c r="K18" i="3"/>
  <c r="L18" i="3"/>
  <c r="K67" i="6"/>
  <c r="L67" i="6"/>
  <c r="K21" i="3"/>
  <c r="L21" i="3"/>
  <c r="K23" i="3"/>
  <c r="L23" i="3"/>
  <c r="K70" i="6"/>
  <c r="L70" i="6"/>
  <c r="K66" i="6"/>
  <c r="L66" i="6"/>
  <c r="K133" i="6"/>
  <c r="L133" i="6"/>
  <c r="K114" i="6"/>
  <c r="L114" i="6"/>
  <c r="E9" i="11"/>
  <c r="J60" i="6"/>
  <c r="K24" i="3"/>
  <c r="L24" i="3"/>
  <c r="K64" i="6"/>
  <c r="L64" i="6"/>
  <c r="K65" i="6"/>
  <c r="L65" i="6"/>
  <c r="K60" i="6"/>
  <c r="L60" i="6"/>
  <c r="J66" i="3"/>
  <c r="L66" i="3"/>
  <c r="K197" i="6"/>
  <c r="L197" i="6"/>
  <c r="K187" i="6"/>
  <c r="L187" i="6"/>
  <c r="J108" i="6"/>
  <c r="J126" i="6"/>
  <c r="K61" i="6"/>
  <c r="L61" i="6"/>
  <c r="J62" i="6"/>
  <c r="K62" i="6"/>
  <c r="L62" i="6"/>
  <c r="K126" i="6"/>
  <c r="L126" i="6"/>
  <c r="K131" i="6"/>
  <c r="L131" i="6"/>
  <c r="J75" i="3"/>
  <c r="L75" i="3"/>
  <c r="K209" i="6"/>
  <c r="L209" i="6"/>
  <c r="K142" i="6"/>
  <c r="L142" i="6"/>
  <c r="K30" i="3"/>
  <c r="L30" i="3"/>
  <c r="K29" i="3"/>
  <c r="L29" i="3"/>
  <c r="K93" i="6"/>
  <c r="L93" i="6"/>
  <c r="K90" i="6"/>
  <c r="L90" i="6"/>
  <c r="K132" i="6"/>
  <c r="L132" i="6"/>
  <c r="K122" i="6"/>
  <c r="L122" i="6"/>
  <c r="J127" i="6"/>
  <c r="K127" i="6"/>
  <c r="L127" i="6"/>
  <c r="J128" i="6"/>
  <c r="K128" i="6"/>
  <c r="L128" i="6"/>
  <c r="K123" i="6"/>
  <c r="L123" i="6"/>
  <c r="K121" i="6"/>
  <c r="L121" i="6"/>
  <c r="K120" i="6"/>
  <c r="L120" i="6"/>
  <c r="K108" i="6"/>
  <c r="L108" i="6"/>
  <c r="D10" i="11"/>
  <c r="J109" i="6"/>
  <c r="K109" i="6"/>
  <c r="L109" i="6"/>
  <c r="D11" i="11"/>
  <c r="J110" i="6"/>
  <c r="K110" i="6"/>
  <c r="L110" i="6"/>
  <c r="D12" i="11"/>
  <c r="J111" i="6"/>
  <c r="K111" i="6"/>
  <c r="L111" i="6"/>
  <c r="D15" i="11"/>
  <c r="J112" i="6"/>
  <c r="K112" i="6"/>
  <c r="L112" i="6"/>
  <c r="D16" i="11"/>
  <c r="J113" i="6"/>
  <c r="K113" i="6"/>
  <c r="L113" i="6"/>
  <c r="D17" i="11"/>
  <c r="D9" i="11"/>
  <c r="J72" i="6"/>
  <c r="K73" i="6"/>
  <c r="L73" i="6"/>
  <c r="K76" i="6"/>
  <c r="L76" i="6"/>
  <c r="K72" i="6"/>
  <c r="L72" i="6"/>
  <c r="K134" i="6"/>
  <c r="L134" i="6"/>
  <c r="K115" i="6"/>
  <c r="L115" i="6"/>
  <c r="F9" i="11"/>
  <c r="K27" i="3"/>
  <c r="L27" i="3"/>
  <c r="J78" i="6"/>
  <c r="K79" i="6"/>
  <c r="L79" i="6"/>
  <c r="K82" i="6"/>
  <c r="L82" i="6"/>
  <c r="K78" i="6"/>
  <c r="L78" i="6"/>
  <c r="K135" i="6"/>
  <c r="L135" i="6"/>
  <c r="K116" i="6"/>
  <c r="L116" i="6"/>
  <c r="G9" i="11"/>
  <c r="K138" i="6"/>
  <c r="L138" i="6"/>
  <c r="K117" i="6"/>
  <c r="L117" i="6"/>
  <c r="J9" i="11"/>
  <c r="K32" i="3"/>
  <c r="L32" i="3"/>
  <c r="K31" i="3"/>
  <c r="L31" i="3"/>
  <c r="K98" i="6"/>
  <c r="L98" i="6"/>
  <c r="K95" i="6"/>
  <c r="L95" i="6"/>
  <c r="K139" i="6"/>
  <c r="L139" i="6"/>
  <c r="K118" i="6"/>
  <c r="L118" i="6"/>
  <c r="K9" i="11"/>
  <c r="K34" i="3"/>
  <c r="L34" i="3"/>
  <c r="K33" i="3"/>
  <c r="L33" i="3"/>
  <c r="K103" i="6"/>
  <c r="L103" i="6"/>
  <c r="K100" i="6"/>
  <c r="L100" i="6"/>
  <c r="K140" i="6"/>
  <c r="L140" i="6"/>
  <c r="K119" i="6"/>
  <c r="L119" i="6"/>
  <c r="L9" i="11"/>
  <c r="J70" i="3"/>
  <c r="L70" i="3"/>
  <c r="K200" i="6"/>
  <c r="L200" i="6"/>
  <c r="K188" i="6"/>
  <c r="L188" i="6"/>
  <c r="E10" i="11"/>
  <c r="K172" i="6"/>
  <c r="L172" i="6"/>
  <c r="J10" i="11"/>
  <c r="K173" i="6"/>
  <c r="L173" i="6"/>
  <c r="K10" i="11"/>
  <c r="K174" i="6"/>
  <c r="L174" i="6"/>
  <c r="L10" i="11"/>
  <c r="K201" i="6"/>
  <c r="L201" i="6"/>
  <c r="K189" i="6"/>
  <c r="L189" i="6"/>
  <c r="K151" i="6"/>
  <c r="L151" i="6"/>
  <c r="K162" i="6"/>
  <c r="L162" i="6"/>
  <c r="K147" i="6"/>
  <c r="L147" i="6"/>
  <c r="F13" i="11"/>
  <c r="F11" i="11"/>
  <c r="K26" i="3"/>
  <c r="L26" i="3"/>
  <c r="K85" i="6"/>
  <c r="L85" i="6"/>
  <c r="K84" i="6"/>
  <c r="L84" i="6"/>
  <c r="K163" i="6"/>
  <c r="L163" i="6"/>
  <c r="K149" i="6"/>
  <c r="L149" i="6"/>
  <c r="H11" i="11"/>
  <c r="K169" i="6"/>
  <c r="L169" i="6"/>
  <c r="J11" i="11"/>
  <c r="K170" i="6"/>
  <c r="L170" i="6"/>
  <c r="K11" i="11"/>
  <c r="K171" i="6"/>
  <c r="L171" i="6"/>
  <c r="L11" i="11"/>
  <c r="K202" i="6"/>
  <c r="L202" i="6"/>
  <c r="K190" i="6"/>
  <c r="L190" i="6"/>
  <c r="K153" i="6"/>
  <c r="L153" i="6"/>
  <c r="K164" i="6"/>
  <c r="L164" i="6"/>
  <c r="K148" i="6"/>
  <c r="L148" i="6"/>
  <c r="G14" i="11"/>
  <c r="G12" i="11"/>
  <c r="K28" i="3"/>
  <c r="L28" i="3"/>
  <c r="K88" i="6"/>
  <c r="L88" i="6"/>
  <c r="K87" i="6"/>
  <c r="L87" i="6"/>
  <c r="K165" i="6"/>
  <c r="L165" i="6"/>
  <c r="K150" i="6"/>
  <c r="L150" i="6"/>
  <c r="I12" i="11"/>
  <c r="J74" i="3"/>
  <c r="L74" i="3"/>
  <c r="K207" i="6"/>
  <c r="L207" i="6"/>
  <c r="K191" i="6"/>
  <c r="L191" i="6"/>
  <c r="H13" i="11"/>
  <c r="K208" i="6"/>
  <c r="L208" i="6"/>
  <c r="K192" i="6"/>
  <c r="L192" i="6"/>
  <c r="I14" i="11"/>
  <c r="K193" i="6"/>
  <c r="L193" i="6"/>
  <c r="J15" i="11"/>
  <c r="K210" i="6"/>
  <c r="L210" i="6"/>
  <c r="K194" i="6"/>
  <c r="L194" i="6"/>
  <c r="K16" i="11"/>
  <c r="K211" i="6"/>
  <c r="L211" i="6"/>
  <c r="K195" i="6"/>
  <c r="L195" i="6"/>
  <c r="L17" i="11"/>
  <c r="J66" i="7"/>
  <c r="K69" i="7"/>
  <c r="L69" i="7"/>
  <c r="K70" i="7"/>
  <c r="L70" i="7"/>
  <c r="K71" i="7"/>
  <c r="L71" i="7"/>
  <c r="K66" i="7"/>
  <c r="L66" i="7"/>
  <c r="K203" i="7"/>
  <c r="L203" i="7"/>
  <c r="K193" i="7"/>
  <c r="L193" i="7"/>
  <c r="J114" i="7"/>
  <c r="J132" i="7"/>
  <c r="K67" i="7"/>
  <c r="L67" i="7"/>
  <c r="J68" i="7"/>
  <c r="K68" i="7"/>
  <c r="L68" i="7"/>
  <c r="K132" i="7"/>
  <c r="L132" i="7"/>
  <c r="K142" i="7"/>
  <c r="L142" i="7"/>
  <c r="K143" i="7"/>
  <c r="L143" i="7"/>
  <c r="K137" i="7"/>
  <c r="L137" i="7"/>
  <c r="K215" i="7"/>
  <c r="L215" i="7"/>
  <c r="K148" i="7"/>
  <c r="L148" i="7"/>
  <c r="K99" i="7"/>
  <c r="L99" i="7"/>
  <c r="K96" i="7"/>
  <c r="L96" i="7"/>
  <c r="K138" i="7"/>
  <c r="L138" i="7"/>
  <c r="K128" i="7"/>
  <c r="L128" i="7"/>
  <c r="J133" i="7"/>
  <c r="K133" i="7"/>
  <c r="L133" i="7"/>
  <c r="J134" i="7"/>
  <c r="K134" i="7"/>
  <c r="L134" i="7"/>
  <c r="K129" i="7"/>
  <c r="L129" i="7"/>
  <c r="K127" i="7"/>
  <c r="L127" i="7"/>
  <c r="K126" i="7"/>
  <c r="L126" i="7"/>
  <c r="K114" i="7"/>
  <c r="L114" i="7"/>
  <c r="M19" i="11"/>
  <c r="J115" i="7"/>
  <c r="K115" i="7"/>
  <c r="L115" i="7"/>
  <c r="M20" i="11"/>
  <c r="J116" i="7"/>
  <c r="K116" i="7"/>
  <c r="L116" i="7"/>
  <c r="M21" i="11"/>
  <c r="J117" i="7"/>
  <c r="K117" i="7"/>
  <c r="L117" i="7"/>
  <c r="M24" i="11"/>
  <c r="J118" i="7"/>
  <c r="K118" i="7"/>
  <c r="L118" i="7"/>
  <c r="M25" i="11"/>
  <c r="J119" i="7"/>
  <c r="K119" i="7"/>
  <c r="L119" i="7"/>
  <c r="M26" i="11"/>
  <c r="M18" i="11"/>
  <c r="J72" i="7"/>
  <c r="K73" i="7"/>
  <c r="L73" i="7"/>
  <c r="K76" i="7"/>
  <c r="L76" i="7"/>
  <c r="K72" i="7"/>
  <c r="L72" i="7"/>
  <c r="K139" i="7"/>
  <c r="L139" i="7"/>
  <c r="K120" i="7"/>
  <c r="L120" i="7"/>
  <c r="N18" i="11"/>
  <c r="J78" i="7"/>
  <c r="K79" i="7"/>
  <c r="L79" i="7"/>
  <c r="K82" i="7"/>
  <c r="L82" i="7"/>
  <c r="K78" i="7"/>
  <c r="L78" i="7"/>
  <c r="K140" i="7"/>
  <c r="L140" i="7"/>
  <c r="K121" i="7"/>
  <c r="L121" i="7"/>
  <c r="O18" i="11"/>
  <c r="J84" i="7"/>
  <c r="K85" i="7"/>
  <c r="L85" i="7"/>
  <c r="K88" i="7"/>
  <c r="L88" i="7"/>
  <c r="K84" i="7"/>
  <c r="L84" i="7"/>
  <c r="K141" i="7" s="1"/>
  <c r="L141" i="7" s="1"/>
  <c r="K122" i="7" s="1"/>
  <c r="L122" i="7" s="1"/>
  <c r="P18" i="11" s="1"/>
  <c r="K144" i="7"/>
  <c r="L144" i="7"/>
  <c r="K123" i="7"/>
  <c r="L123" i="7"/>
  <c r="S18" i="11"/>
  <c r="K145" i="7"/>
  <c r="L145" i="7"/>
  <c r="K124" i="7"/>
  <c r="L124" i="7"/>
  <c r="T18" i="11"/>
  <c r="K146" i="7"/>
  <c r="L146" i="7"/>
  <c r="K125" i="7"/>
  <c r="L125" i="7"/>
  <c r="U18" i="11"/>
  <c r="K206" i="7"/>
  <c r="L206" i="7"/>
  <c r="K194" i="7"/>
  <c r="L194" i="7"/>
  <c r="N19" i="11"/>
  <c r="K178" i="7"/>
  <c r="L178" i="7"/>
  <c r="S19" i="11"/>
  <c r="K104" i="7"/>
  <c r="L104" i="7"/>
  <c r="K101" i="7"/>
  <c r="L101" i="7"/>
  <c r="K179" i="7"/>
  <c r="L179" i="7"/>
  <c r="T19" i="11"/>
  <c r="K109" i="7"/>
  <c r="L109" i="7"/>
  <c r="K106" i="7"/>
  <c r="L106" i="7"/>
  <c r="K180" i="7"/>
  <c r="L180" i="7"/>
  <c r="U19" i="11"/>
  <c r="K207" i="7"/>
  <c r="L207" i="7"/>
  <c r="K195" i="7"/>
  <c r="L195" i="7"/>
  <c r="K157" i="7"/>
  <c r="L157" i="7"/>
  <c r="K168" i="7"/>
  <c r="L168" i="7"/>
  <c r="K153" i="7"/>
  <c r="L153" i="7"/>
  <c r="O22" i="11"/>
  <c r="O20" i="11"/>
  <c r="K91" i="7"/>
  <c r="L91" i="7"/>
  <c r="K90" i="7"/>
  <c r="L90" i="7"/>
  <c r="K169" i="7"/>
  <c r="L169" i="7"/>
  <c r="K155" i="7"/>
  <c r="L155" i="7"/>
  <c r="Q20" i="11"/>
  <c r="K175" i="7"/>
  <c r="L175" i="7"/>
  <c r="S20" i="11"/>
  <c r="K176" i="7"/>
  <c r="L176" i="7"/>
  <c r="T20" i="11"/>
  <c r="K177" i="7"/>
  <c r="L177" i="7"/>
  <c r="U20" i="11"/>
  <c r="K94" i="7"/>
  <c r="L94" i="7"/>
  <c r="K93" i="7"/>
  <c r="L93" i="7"/>
  <c r="K171" i="7"/>
  <c r="L171" i="7"/>
  <c r="K156" i="7"/>
  <c r="L156" i="7"/>
  <c r="R21" i="11"/>
  <c r="K213" i="7"/>
  <c r="L213" i="7"/>
  <c r="K197" i="7"/>
  <c r="L197" i="7"/>
  <c r="Q22" i="11"/>
  <c r="K214" i="7"/>
  <c r="L214" i="7"/>
  <c r="K198" i="7"/>
  <c r="L198" i="7"/>
  <c r="R23" i="11"/>
  <c r="K199" i="7"/>
  <c r="L199" i="7"/>
  <c r="S24" i="11"/>
  <c r="K216" i="7"/>
  <c r="L216" i="7"/>
  <c r="K200" i="7"/>
  <c r="L200" i="7"/>
  <c r="T25" i="11"/>
  <c r="K217" i="7"/>
  <c r="L217" i="7"/>
  <c r="K201" i="7"/>
  <c r="L201" i="7"/>
  <c r="U26" i="11"/>
  <c r="J46" i="8"/>
  <c r="K49" i="8"/>
  <c r="L49" i="8"/>
  <c r="K51" i="8"/>
  <c r="L51" i="8"/>
  <c r="K52" i="8"/>
  <c r="L52" i="8"/>
  <c r="K46" i="8"/>
  <c r="L46" i="8"/>
  <c r="K129" i="8"/>
  <c r="L129" i="8"/>
  <c r="K123" i="8"/>
  <c r="L123" i="8"/>
  <c r="J76" i="8"/>
  <c r="J86" i="8"/>
  <c r="K47" i="8"/>
  <c r="L47" i="8"/>
  <c r="J48" i="8"/>
  <c r="K48" i="8"/>
  <c r="L48" i="8"/>
  <c r="K86" i="8"/>
  <c r="L86" i="8"/>
  <c r="K96" i="8"/>
  <c r="L96" i="8"/>
  <c r="K97" i="8"/>
  <c r="L97" i="8"/>
  <c r="K92" i="8"/>
  <c r="L92" i="8"/>
  <c r="K138" i="8"/>
  <c r="L138" i="8"/>
  <c r="K100" i="8"/>
  <c r="L100" i="8"/>
  <c r="K71" i="8"/>
  <c r="L71" i="8"/>
  <c r="K68" i="8"/>
  <c r="L68" i="8"/>
  <c r="K93" i="8"/>
  <c r="L93" i="8"/>
  <c r="K82" i="8"/>
  <c r="L82" i="8"/>
  <c r="J87" i="8"/>
  <c r="K87" i="8"/>
  <c r="L87" i="8"/>
  <c r="J88" i="8"/>
  <c r="K88" i="8"/>
  <c r="L88" i="8"/>
  <c r="K83" i="8"/>
  <c r="L83" i="8"/>
  <c r="K81" i="8"/>
  <c r="L81" i="8"/>
  <c r="K80" i="8"/>
  <c r="L80" i="8"/>
  <c r="K76" i="8"/>
  <c r="L76" i="8"/>
  <c r="V28" i="11"/>
  <c r="J77" i="8"/>
  <c r="K77" i="8"/>
  <c r="L77" i="8"/>
  <c r="V31" i="11"/>
  <c r="V27" i="11"/>
  <c r="J53" i="8"/>
  <c r="K55" i="8"/>
  <c r="L55" i="8"/>
  <c r="K61" i="8"/>
  <c r="L61" i="8"/>
  <c r="K53" i="8"/>
  <c r="L53" i="8"/>
  <c r="K94" i="8"/>
  <c r="L94" i="8"/>
  <c r="K78" i="8"/>
  <c r="L78" i="8"/>
  <c r="W27" i="11"/>
  <c r="K95" i="8"/>
  <c r="L95" i="8"/>
  <c r="K79" i="8"/>
  <c r="L79" i="8"/>
  <c r="Z27" i="11"/>
  <c r="K132" i="8"/>
  <c r="L132" i="8"/>
  <c r="K124" i="8"/>
  <c r="L124" i="8"/>
  <c r="W28" i="11"/>
  <c r="K116" i="8"/>
  <c r="L116" i="8"/>
  <c r="Z28" i="11"/>
  <c r="J54" i="8"/>
  <c r="K56" i="8"/>
  <c r="L56" i="8"/>
  <c r="K62" i="8"/>
  <c r="L62" i="8"/>
  <c r="K54" i="8"/>
  <c r="L54" i="8"/>
  <c r="K133" i="8"/>
  <c r="L133" i="8"/>
  <c r="K125" i="8"/>
  <c r="L125" i="8"/>
  <c r="K105" i="8"/>
  <c r="L105" i="8"/>
  <c r="K111" i="8"/>
  <c r="L111" i="8"/>
  <c r="K103" i="8"/>
  <c r="L103" i="8"/>
  <c r="X30" i="11"/>
  <c r="X29" i="11"/>
  <c r="K66" i="8"/>
  <c r="L66" i="8"/>
  <c r="K65" i="8"/>
  <c r="L65" i="8"/>
  <c r="K112" i="8"/>
  <c r="L112" i="8"/>
  <c r="K104" i="8"/>
  <c r="L104" i="8"/>
  <c r="Y29" i="11"/>
  <c r="K137" i="8"/>
  <c r="L137" i="8"/>
  <c r="K126" i="8"/>
  <c r="L126" i="8"/>
  <c r="Y30" i="11"/>
  <c r="K127" i="8"/>
  <c r="L127" i="8"/>
  <c r="Z31" i="11"/>
  <c r="J182" i="8"/>
  <c r="K185" i="8"/>
  <c r="L185" i="8"/>
  <c r="K187" i="8"/>
  <c r="L187" i="8"/>
  <c r="K188" i="8"/>
  <c r="L188" i="8"/>
  <c r="K182" i="8"/>
  <c r="L182" i="8"/>
  <c r="K265" i="8"/>
  <c r="L265" i="8"/>
  <c r="K259" i="8"/>
  <c r="L259" i="8"/>
  <c r="J212" i="8"/>
  <c r="J222" i="8"/>
  <c r="K183" i="8"/>
  <c r="L183" i="8"/>
  <c r="J184" i="8"/>
  <c r="K184" i="8"/>
  <c r="L184" i="8"/>
  <c r="K222" i="8"/>
  <c r="L222" i="8"/>
  <c r="K232" i="8"/>
  <c r="L232" i="8"/>
  <c r="K233" i="8"/>
  <c r="L233" i="8"/>
  <c r="K228" i="8"/>
  <c r="L228" i="8"/>
  <c r="K274" i="8"/>
  <c r="L274" i="8"/>
  <c r="K236" i="8"/>
  <c r="L236" i="8"/>
  <c r="K207" i="8"/>
  <c r="L207" i="8"/>
  <c r="K204" i="8"/>
  <c r="L204" i="8"/>
  <c r="K229" i="8"/>
  <c r="L229" i="8"/>
  <c r="K218" i="8"/>
  <c r="L218" i="8"/>
  <c r="J223" i="8"/>
  <c r="K223" i="8"/>
  <c r="L223" i="8"/>
  <c r="J224" i="8"/>
  <c r="K224" i="8"/>
  <c r="L224" i="8"/>
  <c r="K219" i="8"/>
  <c r="L219" i="8"/>
  <c r="K217" i="8"/>
  <c r="L217" i="8"/>
  <c r="K216" i="8"/>
  <c r="L216" i="8"/>
  <c r="K212" i="8"/>
  <c r="L212" i="8"/>
  <c r="AA33" i="11"/>
  <c r="J213" i="8"/>
  <c r="K213" i="8"/>
  <c r="L213" i="8"/>
  <c r="AA36" i="11"/>
  <c r="AA32" i="11"/>
  <c r="J189" i="8"/>
  <c r="K191" i="8"/>
  <c r="L191" i="8"/>
  <c r="K197" i="8"/>
  <c r="L197" i="8"/>
  <c r="K189" i="8"/>
  <c r="L189" i="8"/>
  <c r="K230" i="8"/>
  <c r="L230" i="8"/>
  <c r="K214" i="8"/>
  <c r="L214" i="8"/>
  <c r="AB32" i="11"/>
  <c r="K231" i="8"/>
  <c r="L231" i="8"/>
  <c r="K215" i="8"/>
  <c r="L215" i="8"/>
  <c r="AE32" i="11"/>
  <c r="K268" i="8"/>
  <c r="L268" i="8"/>
  <c r="K260" i="8"/>
  <c r="L260" i="8"/>
  <c r="AB33" i="11"/>
  <c r="K252" i="8"/>
  <c r="L252" i="8"/>
  <c r="AE33" i="11"/>
  <c r="J190" i="8"/>
  <c r="K192" i="8"/>
  <c r="L192" i="8"/>
  <c r="K198" i="8"/>
  <c r="L198" i="8"/>
  <c r="K190" i="8"/>
  <c r="L190" i="8"/>
  <c r="K269" i="8"/>
  <c r="L269" i="8"/>
  <c r="K261" i="8"/>
  <c r="L261" i="8"/>
  <c r="K241" i="8"/>
  <c r="L241" i="8"/>
  <c r="K247" i="8"/>
  <c r="L247" i="8"/>
  <c r="K239" i="8"/>
  <c r="L239" i="8"/>
  <c r="AC35" i="11"/>
  <c r="AC34" i="11"/>
  <c r="K202" i="8"/>
  <c r="L202" i="8"/>
  <c r="K201" i="8"/>
  <c r="L201" i="8"/>
  <c r="K248" i="8"/>
  <c r="L248" i="8"/>
  <c r="K240" i="8"/>
  <c r="L240" i="8"/>
  <c r="AD34" i="11"/>
  <c r="K273" i="8"/>
  <c r="L273" i="8"/>
  <c r="K262" i="8"/>
  <c r="L262" i="8"/>
  <c r="AD35" i="11"/>
  <c r="K263" i="8"/>
  <c r="L263" i="8"/>
  <c r="AE36" i="11"/>
  <c r="J318" i="8"/>
  <c r="K321" i="8"/>
  <c r="L321" i="8"/>
  <c r="K323" i="8"/>
  <c r="L323" i="8"/>
  <c r="K324" i="8"/>
  <c r="L324" i="8"/>
  <c r="K318" i="8"/>
  <c r="L318" i="8"/>
  <c r="K401" i="8"/>
  <c r="L401" i="8"/>
  <c r="K395" i="8"/>
  <c r="L395" i="8"/>
  <c r="J348" i="8"/>
  <c r="J358" i="8"/>
  <c r="K319" i="8"/>
  <c r="L319" i="8"/>
  <c r="J320" i="8"/>
  <c r="K320" i="8"/>
  <c r="L320" i="8"/>
  <c r="K358" i="8"/>
  <c r="L358" i="8"/>
  <c r="K368" i="8"/>
  <c r="L368" i="8"/>
  <c r="K369" i="8"/>
  <c r="L369" i="8"/>
  <c r="K364" i="8"/>
  <c r="L364" i="8"/>
  <c r="K410" i="8"/>
  <c r="L410" i="8"/>
  <c r="K372" i="8"/>
  <c r="L372" i="8"/>
  <c r="K343" i="8"/>
  <c r="L343" i="8"/>
  <c r="K340" i="8"/>
  <c r="L340" i="8"/>
  <c r="K365" i="8"/>
  <c r="L365" i="8"/>
  <c r="K354" i="8"/>
  <c r="L354" i="8"/>
  <c r="J359" i="8"/>
  <c r="K359" i="8"/>
  <c r="L359" i="8"/>
  <c r="J360" i="8"/>
  <c r="K360" i="8"/>
  <c r="L360" i="8"/>
  <c r="K355" i="8"/>
  <c r="L355" i="8"/>
  <c r="K353" i="8"/>
  <c r="L353" i="8"/>
  <c r="K352" i="8"/>
  <c r="L352" i="8"/>
  <c r="K348" i="8"/>
  <c r="L348" i="8"/>
  <c r="AF38" i="11"/>
  <c r="J349" i="8"/>
  <c r="K349" i="8"/>
  <c r="L349" i="8"/>
  <c r="AF41" i="11"/>
  <c r="AF37" i="11"/>
  <c r="J325" i="8"/>
  <c r="K327" i="8"/>
  <c r="L327" i="8"/>
  <c r="K333" i="8"/>
  <c r="L333" i="8"/>
  <c r="K325" i="8"/>
  <c r="L325" i="8"/>
  <c r="K366" i="8"/>
  <c r="L366" i="8"/>
  <c r="K350" i="8"/>
  <c r="L350" i="8"/>
  <c r="AG37" i="11"/>
  <c r="K367" i="8"/>
  <c r="L367" i="8"/>
  <c r="K351" i="8"/>
  <c r="L351" i="8"/>
  <c r="AJ37" i="11"/>
  <c r="K404" i="8"/>
  <c r="L404" i="8"/>
  <c r="K396" i="8"/>
  <c r="L396" i="8"/>
  <c r="AG38" i="11"/>
  <c r="K388" i="8"/>
  <c r="L388" i="8"/>
  <c r="AJ38" i="11"/>
  <c r="J326" i="8"/>
  <c r="K328" i="8"/>
  <c r="L328" i="8"/>
  <c r="K334" i="8"/>
  <c r="L334" i="8"/>
  <c r="K326" i="8"/>
  <c r="L326" i="8"/>
  <c r="K405" i="8"/>
  <c r="L405" i="8"/>
  <c r="K397" i="8"/>
  <c r="L397" i="8"/>
  <c r="K377" i="8"/>
  <c r="L377" i="8"/>
  <c r="K383" i="8"/>
  <c r="L383" i="8"/>
  <c r="K375" i="8"/>
  <c r="L375" i="8"/>
  <c r="AH40" i="11"/>
  <c r="AH39" i="11"/>
  <c r="K338" i="8"/>
  <c r="L338" i="8"/>
  <c r="K337" i="8"/>
  <c r="L337" i="8"/>
  <c r="K384" i="8"/>
  <c r="L384" i="8"/>
  <c r="K376" i="8"/>
  <c r="L376" i="8"/>
  <c r="AI39" i="11"/>
  <c r="K409" i="8"/>
  <c r="L409" i="8"/>
  <c r="K398" i="8"/>
  <c r="L398" i="8"/>
  <c r="AI40" i="11"/>
  <c r="K399" i="8"/>
  <c r="L399" i="8"/>
  <c r="AJ41" i="11"/>
  <c r="AC12" i="23"/>
  <c r="L81" i="3"/>
  <c r="AC13" i="23"/>
  <c r="AC14" i="23"/>
  <c r="AC15" i="23"/>
  <c r="AC18" i="23"/>
  <c r="AC19" i="23"/>
  <c r="AC20" i="23"/>
  <c r="AC22" i="23"/>
  <c r="L89" i="3"/>
  <c r="AC23" i="23"/>
  <c r="AC24" i="23"/>
  <c r="AC25" i="23"/>
  <c r="AC28" i="23"/>
  <c r="AC29" i="23"/>
  <c r="AC30" i="23"/>
  <c r="AC32" i="23"/>
  <c r="AC33" i="23"/>
  <c r="AC36" i="23"/>
  <c r="AC38" i="23"/>
  <c r="AC39" i="23"/>
  <c r="AC42" i="23"/>
  <c r="AC44" i="23"/>
  <c r="AC45" i="23"/>
  <c r="AC48" i="23"/>
  <c r="K70" i="8"/>
  <c r="L70" i="8"/>
  <c r="K97" i="6"/>
  <c r="L97" i="6"/>
  <c r="K107" i="7"/>
  <c r="L107" i="7"/>
  <c r="BJ98" i="23"/>
  <c r="K342" i="8"/>
  <c r="L342" i="8"/>
  <c r="K102" i="7"/>
  <c r="L102" i="7"/>
  <c r="K103" i="7"/>
  <c r="L103" i="7"/>
  <c r="AS28" i="23"/>
  <c r="K205" i="8"/>
  <c r="L205" i="8"/>
  <c r="K92" i="6"/>
  <c r="L92" i="6"/>
  <c r="K102" i="6"/>
  <c r="L102" i="6"/>
  <c r="AS92" i="23"/>
  <c r="K97" i="7"/>
  <c r="L97" i="7"/>
  <c r="K69" i="8"/>
  <c r="L69" i="8"/>
  <c r="K96" i="6"/>
  <c r="L96" i="6"/>
  <c r="K91" i="6"/>
  <c r="L91" i="6"/>
  <c r="K108" i="7"/>
  <c r="L108" i="7"/>
  <c r="K98" i="7"/>
  <c r="L98" i="7"/>
  <c r="AS93" i="23"/>
  <c r="K341" i="8"/>
  <c r="L341" i="8"/>
  <c r="K101" i="6"/>
  <c r="L101" i="6"/>
  <c r="K206" i="8"/>
  <c r="L206" i="8"/>
  <c r="BF149" i="23"/>
  <c r="AS30" i="23"/>
  <c r="B571" i="22"/>
  <c r="B575" i="22"/>
  <c r="AT149" i="23"/>
  <c r="AZ149" i="23"/>
  <c r="AS94" i="23"/>
  <c r="B659" i="22"/>
  <c r="L817" i="18"/>
  <c r="O817" i="18"/>
  <c r="M816" i="18"/>
  <c r="P816" i="18"/>
  <c r="N816" i="18"/>
  <c r="M817" i="18"/>
  <c r="L816" i="18"/>
  <c r="O816" i="18"/>
  <c r="N817" i="18"/>
  <c r="P817" i="18"/>
  <c r="B593" i="22"/>
  <c r="B660" i="22"/>
  <c r="N494" i="18"/>
  <c r="M494" i="18"/>
  <c r="L495" i="18"/>
  <c r="M497" i="18"/>
  <c r="N495" i="18"/>
  <c r="P493" i="18"/>
  <c r="P494" i="18"/>
  <c r="O496" i="18"/>
  <c r="P498" i="18"/>
  <c r="L498" i="18"/>
  <c r="L496" i="18"/>
  <c r="O494" i="18"/>
  <c r="L493" i="18"/>
  <c r="O497" i="18"/>
  <c r="O498" i="18"/>
  <c r="P497" i="18"/>
  <c r="L494" i="18"/>
  <c r="P495" i="18"/>
  <c r="O493" i="18"/>
  <c r="N497" i="18"/>
  <c r="M498" i="18"/>
  <c r="B594" i="22"/>
  <c r="M495" i="18"/>
  <c r="N493" i="18"/>
  <c r="L497" i="18"/>
  <c r="P496" i="18"/>
  <c r="O495" i="18"/>
  <c r="N498" i="18"/>
  <c r="N496" i="18"/>
  <c r="M493" i="18"/>
  <c r="M496" i="18"/>
  <c r="B661" i="22"/>
  <c r="B589" i="22"/>
  <c r="O680" i="18"/>
  <c r="M680" i="18"/>
  <c r="P681" i="18"/>
  <c r="O681" i="18"/>
  <c r="L680" i="18"/>
  <c r="N680" i="18"/>
  <c r="L681" i="18"/>
  <c r="P680" i="18"/>
  <c r="N681" i="18"/>
  <c r="M681" i="18"/>
  <c r="B595" i="22"/>
  <c r="B663" i="22"/>
  <c r="B588" i="22"/>
  <c r="B590" i="22"/>
  <c r="B662" i="22"/>
  <c r="L269" i="18"/>
  <c r="N271" i="18"/>
  <c r="O272" i="18"/>
  <c r="O270" i="18"/>
  <c r="M272" i="18"/>
  <c r="M268" i="18"/>
  <c r="P271" i="18"/>
  <c r="N269" i="18"/>
  <c r="M273" i="18"/>
  <c r="N272" i="18"/>
  <c r="P273" i="18"/>
  <c r="L272" i="18"/>
  <c r="O268" i="18"/>
  <c r="L273" i="18"/>
  <c r="P268" i="18"/>
  <c r="O273" i="18"/>
  <c r="N270" i="18"/>
  <c r="M270" i="18"/>
  <c r="O269" i="18"/>
  <c r="L270" i="18"/>
  <c r="P272" i="18"/>
  <c r="M271" i="18"/>
  <c r="L271" i="18"/>
  <c r="O271" i="18"/>
  <c r="M269" i="18"/>
  <c r="N273" i="18"/>
  <c r="L268" i="18"/>
  <c r="N268" i="18"/>
  <c r="P270" i="18"/>
  <c r="P269" i="18"/>
  <c r="B596" i="22"/>
  <c r="M953" i="18"/>
  <c r="P952" i="18"/>
  <c r="M952" i="18"/>
  <c r="P953" i="18"/>
  <c r="O952" i="18"/>
  <c r="N953" i="18"/>
  <c r="L952" i="18"/>
  <c r="L953" i="18"/>
  <c r="N952" i="18"/>
  <c r="O953" i="18"/>
  <c r="B597" i="22"/>
  <c r="B592" i="22"/>
  <c r="B591" i="22"/>
  <c r="B371" i="22"/>
  <c r="B388" i="22"/>
  <c r="L828" i="18"/>
  <c r="B407" i="22"/>
  <c r="L827" i="18"/>
  <c r="O828" i="18"/>
  <c r="M828" i="18"/>
  <c r="N828" i="18"/>
  <c r="P828" i="18"/>
  <c r="M827" i="18"/>
  <c r="B370" i="22"/>
  <c r="B550" i="22"/>
  <c r="O827" i="18"/>
  <c r="P827" i="18"/>
  <c r="N827" i="18"/>
  <c r="N691" i="18"/>
  <c r="O692" i="18"/>
  <c r="B420" i="22"/>
  <c r="B552" i="22"/>
  <c r="M691" i="18"/>
  <c r="P691" i="18"/>
  <c r="B390" i="22"/>
  <c r="L691" i="18"/>
  <c r="O691" i="18"/>
  <c r="L692" i="18"/>
  <c r="M692" i="18"/>
  <c r="P692" i="18"/>
  <c r="B379" i="22"/>
  <c r="N692" i="18"/>
  <c r="B378" i="22"/>
  <c r="B16" i="22"/>
  <c r="B212" i="22"/>
  <c r="B325" i="22"/>
  <c r="B324" i="22"/>
  <c r="B211" i="22"/>
  <c r="B15" i="22"/>
  <c r="L513" i="18"/>
  <c r="B377" i="22"/>
  <c r="B411" i="22"/>
  <c r="P513" i="18"/>
  <c r="B373" i="22"/>
  <c r="M513" i="18"/>
  <c r="P512" i="18"/>
  <c r="B374" i="22"/>
  <c r="O513" i="18"/>
  <c r="L512" i="18"/>
  <c r="N512" i="18"/>
  <c r="B376" i="22"/>
  <c r="O512" i="18"/>
  <c r="M512" i="18"/>
  <c r="B372" i="22"/>
  <c r="B389" i="22"/>
  <c r="N513" i="18"/>
  <c r="B375" i="22"/>
  <c r="B551" i="22"/>
  <c r="M826" i="18"/>
  <c r="O826" i="18"/>
  <c r="N826" i="18"/>
  <c r="L826" i="18"/>
  <c r="P826" i="18"/>
  <c r="B210" i="22"/>
  <c r="B14" i="22"/>
  <c r="B323" i="22"/>
  <c r="N690" i="18"/>
  <c r="M690" i="18"/>
  <c r="L690" i="18"/>
  <c r="P690" i="18"/>
  <c r="O690" i="18"/>
  <c r="B832" i="22"/>
  <c r="B681" i="22"/>
  <c r="B755" i="22"/>
  <c r="B475" i="22"/>
  <c r="B314" i="22"/>
  <c r="B319" i="22"/>
  <c r="B6" i="22"/>
  <c r="B834" i="22"/>
  <c r="B829" i="22"/>
  <c r="B831" i="22"/>
  <c r="B835" i="22"/>
  <c r="B754" i="22"/>
  <c r="B680" i="22"/>
  <c r="B458" i="22"/>
  <c r="B214" i="22"/>
  <c r="B327" i="22"/>
  <c r="B18" i="22"/>
  <c r="B17" i="22"/>
  <c r="B213" i="22"/>
  <c r="B326" i="22"/>
  <c r="B381" i="22"/>
  <c r="O287" i="18"/>
  <c r="N288" i="18"/>
  <c r="L288" i="18"/>
  <c r="L287" i="18"/>
  <c r="M287" i="18"/>
  <c r="B391" i="22"/>
  <c r="N287" i="18"/>
  <c r="B384" i="22"/>
  <c r="B383" i="22"/>
  <c r="M288" i="18"/>
  <c r="B426" i="22"/>
  <c r="P287" i="18"/>
  <c r="B382" i="22"/>
  <c r="B385" i="22"/>
  <c r="B380" i="22"/>
  <c r="P288" i="18"/>
  <c r="O288" i="18"/>
  <c r="B553" i="22"/>
  <c r="B434" i="22"/>
  <c r="B386" i="22"/>
  <c r="B387" i="22"/>
  <c r="M964" i="18"/>
  <c r="O963" i="18"/>
  <c r="P963" i="18"/>
  <c r="N964" i="18"/>
  <c r="L963" i="18"/>
  <c r="O964" i="18"/>
  <c r="P964" i="18"/>
  <c r="N963" i="18"/>
  <c r="M963" i="18"/>
  <c r="L964" i="18"/>
  <c r="B392" i="22"/>
  <c r="B554" i="22"/>
  <c r="B748" i="22"/>
  <c r="B440" i="22"/>
  <c r="B674" i="22"/>
  <c r="B826" i="22"/>
  <c r="B315" i="22"/>
  <c r="B320" i="22"/>
  <c r="B318" i="22"/>
  <c r="B313" i="22"/>
  <c r="B478" i="22"/>
  <c r="B756" i="22"/>
  <c r="B682" i="22"/>
  <c r="B827" i="22"/>
  <c r="B825" i="22"/>
  <c r="B821" i="22"/>
  <c r="B823" i="22"/>
  <c r="B819" i="22"/>
  <c r="N962" i="18"/>
  <c r="M962" i="18"/>
  <c r="P962" i="18"/>
  <c r="O962" i="18"/>
  <c r="L962" i="18"/>
  <c r="L286" i="18"/>
  <c r="O286" i="18"/>
  <c r="M286" i="18"/>
  <c r="N286" i="18"/>
  <c r="P286" i="18"/>
  <c r="O511" i="18"/>
  <c r="P511" i="18"/>
  <c r="M511" i="18"/>
  <c r="N511" i="18"/>
  <c r="L511" i="18"/>
  <c r="B836" i="22"/>
  <c r="B5" i="22"/>
  <c r="B8" i="22"/>
  <c r="B7" i="22"/>
  <c r="B828" i="22"/>
  <c r="B830" i="22"/>
  <c r="B822" i="22"/>
  <c r="B820" i="22"/>
  <c r="B824" i="22"/>
  <c r="B572" i="22"/>
  <c r="B483" i="22"/>
  <c r="B521" i="22"/>
  <c r="B517" i="22"/>
  <c r="B513" i="22"/>
  <c r="B479" i="22"/>
  <c r="B579" i="22"/>
  <c r="B577" i="22"/>
  <c r="B582" i="22"/>
  <c r="B507" i="22"/>
  <c r="B578" i="22"/>
  <c r="B573" i="22"/>
  <c r="B580" i="22"/>
  <c r="B574" i="22"/>
  <c r="B487" i="22"/>
  <c r="B530" i="22"/>
  <c r="B581" i="22"/>
  <c r="B525" i="22"/>
  <c r="B493" i="22"/>
  <c r="B498" i="22"/>
  <c r="B678" i="22"/>
  <c r="B452" i="22"/>
  <c r="B752" i="22"/>
  <c r="B446" i="22"/>
  <c r="B676" i="22"/>
  <c r="B750" i="22"/>
  <c r="B2" i="22"/>
  <c r="B3" i="22"/>
  <c r="B205" i="22"/>
  <c r="B202" i="22"/>
  <c r="B679" i="22"/>
  <c r="B753" i="22"/>
  <c r="B455" i="22"/>
  <c r="B316" i="22"/>
  <c r="B321" i="22"/>
  <c r="B677" i="22"/>
  <c r="B449" i="22"/>
  <c r="B751" i="22"/>
  <c r="B317" i="22"/>
  <c r="B322" i="22"/>
  <c r="B203" i="22"/>
  <c r="B356" i="22"/>
  <c r="B657" i="22"/>
  <c r="B542" i="22"/>
  <c r="B347" i="22"/>
  <c r="B342" i="22"/>
  <c r="B349" i="22"/>
  <c r="B353" i="22"/>
  <c r="B645" i="22"/>
  <c r="B647" i="22"/>
  <c r="B340" i="22"/>
  <c r="B643" i="22"/>
  <c r="B541" i="22"/>
  <c r="B351" i="22"/>
  <c r="B344" i="22"/>
  <c r="B540" i="22"/>
  <c r="B355" i="22"/>
  <c r="B346" i="22"/>
  <c r="B656" i="22"/>
  <c r="B348" i="22"/>
  <c r="B357" i="22"/>
  <c r="B544" i="22"/>
  <c r="B658" i="22"/>
  <c r="B675" i="22"/>
  <c r="B749" i="22"/>
  <c r="B443" i="22"/>
  <c r="B649" i="22"/>
  <c r="B692" i="22"/>
  <c r="B650" i="22"/>
  <c r="B689" i="22"/>
  <c r="B655" i="22"/>
  <c r="B688" i="22"/>
  <c r="B359" i="22"/>
  <c r="V15" i="20"/>
  <c r="I15" i="20"/>
  <c r="M15" i="20"/>
  <c r="B654" i="22"/>
  <c r="B652" i="22"/>
  <c r="B204" i="22"/>
  <c r="B201" i="22"/>
  <c r="B651" i="22"/>
  <c r="B207" i="22"/>
  <c r="B690" i="22"/>
  <c r="B758" i="22"/>
  <c r="N232" i="18"/>
  <c r="O232" i="18"/>
  <c r="M232" i="18"/>
  <c r="B361" i="22"/>
  <c r="P232" i="18"/>
  <c r="L232" i="18"/>
  <c r="Y15" i="20"/>
  <c r="W15" i="20"/>
  <c r="L463" i="18"/>
  <c r="M463" i="18"/>
  <c r="N463" i="18"/>
  <c r="B363" i="22"/>
  <c r="O463" i="18"/>
  <c r="P463" i="18"/>
  <c r="B548" i="22"/>
  <c r="B547" i="22"/>
  <c r="B545" i="22"/>
  <c r="B549" i="22"/>
  <c r="B546" i="22"/>
  <c r="B644" i="22"/>
  <c r="B345" i="22"/>
  <c r="B648" i="22"/>
  <c r="B343" i="22"/>
  <c r="B352" i="22"/>
  <c r="B350" i="22"/>
  <c r="B543" i="22"/>
  <c r="B341" i="22"/>
  <c r="B354" i="22"/>
  <c r="B646" i="22"/>
  <c r="B206" i="22"/>
  <c r="B362" i="22"/>
  <c r="N793" i="18"/>
  <c r="M793" i="18"/>
  <c r="P793" i="18"/>
  <c r="O793" i="18"/>
  <c r="L793" i="18"/>
  <c r="B763" i="22"/>
  <c r="O930" i="18"/>
  <c r="L930" i="18"/>
  <c r="B369" i="22"/>
  <c r="P930" i="18"/>
  <c r="M930" i="18"/>
  <c r="N930" i="18"/>
  <c r="B761" i="22"/>
  <c r="M794" i="18"/>
  <c r="L794" i="18"/>
  <c r="P794" i="18"/>
  <c r="O794" i="18"/>
  <c r="B367" i="22"/>
  <c r="N794" i="18"/>
  <c r="N657" i="18"/>
  <c r="M657" i="18"/>
  <c r="L657" i="18"/>
  <c r="P657" i="18"/>
  <c r="O657" i="18"/>
  <c r="B364" i="22"/>
  <c r="N929" i="18"/>
  <c r="M929" i="18"/>
  <c r="L929" i="18"/>
  <c r="B366" i="22"/>
  <c r="O929" i="18"/>
  <c r="P929" i="18"/>
  <c r="B565" i="22"/>
  <c r="B563" i="22"/>
  <c r="B568" i="22"/>
  <c r="B566" i="22"/>
  <c r="B463" i="22"/>
  <c r="B469" i="22"/>
  <c r="B459" i="22"/>
  <c r="B562" i="22"/>
  <c r="B461" i="22"/>
  <c r="B467" i="22"/>
  <c r="B564" i="22"/>
  <c r="B465" i="22"/>
  <c r="B567" i="22"/>
  <c r="B471" i="22"/>
  <c r="B757" i="22"/>
  <c r="O457" i="18"/>
  <c r="M457" i="18"/>
  <c r="P457" i="18"/>
  <c r="N457" i="18"/>
  <c r="L457" i="18"/>
  <c r="B360" i="22"/>
  <c r="B653" i="22"/>
  <c r="B760" i="22"/>
  <c r="N238" i="18"/>
  <c r="M238" i="18"/>
  <c r="B365" i="22"/>
  <c r="P238" i="18"/>
  <c r="L238" i="18"/>
  <c r="O238" i="18"/>
  <c r="L451" i="18"/>
  <c r="O451" i="18"/>
  <c r="B358" i="22"/>
  <c r="N451" i="18"/>
  <c r="P451" i="18"/>
  <c r="M451" i="18"/>
  <c r="B762" i="22"/>
  <c r="L658" i="18"/>
  <c r="O658" i="18"/>
  <c r="N658" i="18"/>
  <c r="P658" i="18"/>
  <c r="B368" i="22"/>
  <c r="M658" i="18"/>
  <c r="O226" i="18"/>
  <c r="M226" i="18"/>
  <c r="P226" i="18"/>
  <c r="N226" i="18"/>
  <c r="L226" i="18"/>
  <c r="B691" i="22"/>
  <c r="P15" i="20"/>
  <c r="AH15" i="20"/>
  <c r="AM15" i="20"/>
  <c r="Z15" i="20"/>
  <c r="AS75" i="23"/>
  <c r="O15" i="20"/>
  <c r="S15" i="20"/>
  <c r="J15" i="20"/>
  <c r="X15" i="20"/>
  <c r="R15" i="20"/>
  <c r="AD15" i="20"/>
  <c r="AC15" i="20"/>
  <c r="K74" i="3"/>
  <c r="K75" i="3"/>
  <c r="AJ15" i="20"/>
  <c r="G15" i="20"/>
  <c r="B620" i="22"/>
  <c r="B638" i="22"/>
  <c r="B636" i="22"/>
  <c r="B635" i="22"/>
  <c r="B639" i="22"/>
  <c r="B642" i="22"/>
  <c r="B641" i="22"/>
  <c r="B637" i="22"/>
  <c r="B640" i="22"/>
  <c r="B629" i="22"/>
  <c r="B621" i="22"/>
  <c r="B616" i="22"/>
  <c r="B630" i="22"/>
  <c r="B615" i="22"/>
  <c r="B623" i="22"/>
  <c r="B622" i="22"/>
  <c r="B618" i="22"/>
  <c r="B617" i="22"/>
  <c r="B619" i="22"/>
  <c r="B624" i="22"/>
  <c r="B627" i="22"/>
  <c r="B625" i="22"/>
  <c r="B626" i="22"/>
  <c r="B628" i="22"/>
  <c r="B632" i="22"/>
  <c r="B631" i="22"/>
  <c r="B633" i="22"/>
  <c r="B634" i="22"/>
  <c r="B473" i="22"/>
  <c r="B450" i="22"/>
  <c r="B456" i="22"/>
  <c r="B444" i="22"/>
  <c r="B476" i="22"/>
  <c r="B438" i="22"/>
  <c r="B441" i="22"/>
  <c r="B447" i="22"/>
  <c r="B453" i="22"/>
  <c r="B569" i="22"/>
  <c r="B560" i="22"/>
  <c r="B570" i="22"/>
  <c r="B557" i="22"/>
  <c r="B561" i="22"/>
  <c r="B556" i="22"/>
  <c r="B558" i="22"/>
  <c r="B555" i="22"/>
  <c r="B559" i="22"/>
  <c r="AI15" i="20"/>
  <c r="AE15" i="20"/>
  <c r="N15" i="20"/>
  <c r="BJ35" i="23"/>
  <c r="AC49" i="23"/>
  <c r="AS11" i="23"/>
  <c r="BJ34" i="23"/>
  <c r="AT138" i="23"/>
  <c r="I23" i="16"/>
  <c r="BJ36" i="23"/>
  <c r="I11" i="16"/>
  <c r="I20" i="16"/>
  <c r="BJ99" i="23"/>
  <c r="I21" i="16"/>
  <c r="AX161" i="23"/>
  <c r="I31" i="16"/>
  <c r="I12" i="16"/>
  <c r="I13" i="16"/>
  <c r="I18" i="16"/>
  <c r="I33" i="16"/>
  <c r="BJ161" i="23"/>
  <c r="I10" i="16"/>
  <c r="BJ100" i="23"/>
  <c r="I19" i="16"/>
  <c r="AS29" i="23"/>
  <c r="I27" i="16"/>
  <c r="AZ138" i="23"/>
  <c r="BF138" i="23"/>
  <c r="I32" i="16"/>
  <c r="B608" i="22"/>
  <c r="B606" i="22"/>
  <c r="B605" i="22"/>
  <c r="B603" i="22"/>
  <c r="B610" i="22"/>
  <c r="B604" i="22"/>
  <c r="I7" i="16"/>
  <c r="L63" i="3"/>
  <c r="L64" i="3"/>
  <c r="K55" i="3"/>
  <c r="K62" i="3"/>
  <c r="L42" i="3"/>
  <c r="K58" i="3"/>
  <c r="L53" i="3"/>
  <c r="K49" i="3"/>
  <c r="L51" i="3"/>
  <c r="K61" i="3"/>
  <c r="K44" i="3"/>
  <c r="K63" i="3"/>
  <c r="L61" i="3"/>
  <c r="K47" i="3"/>
  <c r="L54" i="3"/>
  <c r="K56" i="3"/>
  <c r="K64" i="3"/>
  <c r="K59" i="3"/>
  <c r="K51" i="3"/>
  <c r="K42" i="3"/>
  <c r="L52" i="3"/>
  <c r="K46" i="3"/>
  <c r="L62" i="3"/>
  <c r="L48" i="3"/>
  <c r="K54" i="3"/>
  <c r="K53" i="3"/>
  <c r="K52" i="3"/>
  <c r="L60" i="3"/>
  <c r="L46" i="3"/>
  <c r="K50" i="3"/>
  <c r="K60" i="3"/>
  <c r="L59" i="3"/>
  <c r="L57" i="3"/>
  <c r="L50" i="3"/>
  <c r="L55" i="3"/>
  <c r="L58" i="3"/>
  <c r="K57" i="3"/>
  <c r="K48" i="3"/>
  <c r="L47" i="3"/>
  <c r="L56" i="3"/>
  <c r="I25" i="16"/>
  <c r="I24" i="16"/>
  <c r="I17" i="16"/>
  <c r="BD161" i="23"/>
  <c r="I29" i="16"/>
  <c r="I28" i="16"/>
  <c r="I16" i="16"/>
  <c r="I15" i="16"/>
  <c r="A6" i="2"/>
  <c r="L6" i="2"/>
  <c r="R6" i="2"/>
  <c r="I6" i="2"/>
  <c r="K6" i="2"/>
  <c r="N6" i="2"/>
  <c r="E6" i="2"/>
  <c r="BQ12" i="23"/>
  <c r="G6" i="2"/>
  <c r="Y6" i="2"/>
  <c r="D6" i="2"/>
  <c r="BP12" i="23"/>
  <c r="Z6" i="2"/>
  <c r="Q6" i="2"/>
  <c r="X6" i="2"/>
  <c r="C6" i="2"/>
  <c r="U6" i="2"/>
  <c r="W6" i="2"/>
  <c r="F6" i="2"/>
  <c r="T6" i="2"/>
  <c r="O6" i="2"/>
  <c r="J6" i="2"/>
  <c r="S6" i="2"/>
  <c r="B6" i="2"/>
  <c r="P6" i="2"/>
  <c r="V6" i="2"/>
  <c r="M6" i="2"/>
  <c r="H6" i="2"/>
  <c r="I8" i="16"/>
  <c r="J44" i="3"/>
  <c r="I9" i="16"/>
  <c r="B537" i="22"/>
  <c r="B535" i="22"/>
  <c r="B536" i="22"/>
  <c r="B539" i="22"/>
  <c r="B538" i="22"/>
  <c r="I52" i="3"/>
  <c r="J46" i="3"/>
  <c r="I64" i="3"/>
  <c r="I63" i="3"/>
  <c r="I48" i="3"/>
  <c r="I42" i="3"/>
  <c r="J53" i="3"/>
  <c r="I46" i="3"/>
  <c r="L49" i="3"/>
  <c r="K37" i="3"/>
  <c r="I53" i="3"/>
  <c r="J57" i="3"/>
  <c r="J59" i="3"/>
  <c r="J58" i="3"/>
  <c r="J50" i="3"/>
  <c r="J48" i="3"/>
  <c r="I44" i="3"/>
  <c r="J52" i="3"/>
  <c r="J47" i="3"/>
  <c r="I59" i="3"/>
  <c r="J54" i="3"/>
  <c r="J61" i="3"/>
  <c r="I54" i="3"/>
  <c r="J51" i="3"/>
  <c r="J64" i="3"/>
  <c r="I61" i="3"/>
  <c r="J60" i="3"/>
  <c r="I60" i="3"/>
  <c r="J63" i="3"/>
  <c r="I51" i="3"/>
  <c r="I56" i="3"/>
  <c r="J55" i="3"/>
  <c r="J62" i="3"/>
  <c r="I49" i="3"/>
  <c r="I47" i="3"/>
  <c r="I58" i="3"/>
  <c r="J42" i="3"/>
  <c r="I57" i="3"/>
  <c r="I55" i="3"/>
  <c r="I50" i="3"/>
  <c r="J49" i="3"/>
  <c r="J56" i="3"/>
  <c r="I62" i="3"/>
  <c r="L445" i="18"/>
  <c r="N786" i="18"/>
  <c r="M652" i="18"/>
  <c r="L922" i="18"/>
  <c r="O447" i="18"/>
  <c r="B722" i="22"/>
  <c r="P222" i="18"/>
  <c r="M222" i="18"/>
  <c r="L650" i="18"/>
  <c r="O222" i="18"/>
  <c r="L447" i="18"/>
  <c r="L652" i="18"/>
  <c r="P786" i="18"/>
  <c r="P650" i="18"/>
  <c r="P445" i="18"/>
  <c r="P922" i="18"/>
  <c r="L788" i="18"/>
  <c r="B724" i="22"/>
  <c r="N652" i="18"/>
  <c r="N650" i="18"/>
  <c r="M786" i="18"/>
  <c r="M445" i="18"/>
  <c r="L924" i="18"/>
  <c r="L220" i="18"/>
  <c r="B721" i="22"/>
  <c r="P652" i="18"/>
  <c r="N445" i="18"/>
  <c r="N922" i="18"/>
  <c r="L222" i="18"/>
  <c r="P447" i="18"/>
  <c r="O220" i="18"/>
  <c r="N924" i="18"/>
  <c r="B723" i="22"/>
  <c r="L786" i="18"/>
  <c r="N220" i="18"/>
  <c r="O922" i="18"/>
  <c r="M650" i="18"/>
  <c r="M922" i="18"/>
  <c r="N447" i="18"/>
  <c r="O786" i="18"/>
  <c r="M447" i="18"/>
  <c r="M788" i="18"/>
  <c r="M220" i="18"/>
  <c r="N788" i="18"/>
  <c r="B725" i="22"/>
  <c r="O445" i="18"/>
  <c r="P788" i="18"/>
  <c r="M924" i="18"/>
  <c r="O788" i="18"/>
  <c r="O650" i="18"/>
  <c r="N222" i="18"/>
  <c r="O924" i="18"/>
  <c r="P220" i="18"/>
  <c r="O652" i="18"/>
  <c r="B401" i="22"/>
  <c r="P924" i="18"/>
  <c r="B208" i="22"/>
  <c r="B700" i="22"/>
  <c r="B209" i="22"/>
  <c r="B698" i="22"/>
  <c r="B694" i="22"/>
  <c r="K156" i="3"/>
  <c r="L156" i="3"/>
  <c r="B702" i="22"/>
  <c r="B701" i="22"/>
  <c r="B695" i="22"/>
  <c r="B693" i="22"/>
  <c r="B696" i="22"/>
  <c r="B699" i="22"/>
  <c r="B697" i="22"/>
  <c r="K155" i="3"/>
  <c r="L155" i="3"/>
  <c r="B333" i="22"/>
  <c r="B331" i="22"/>
  <c r="B335" i="22"/>
  <c r="B332" i="22"/>
  <c r="B328" i="22"/>
  <c r="B339" i="22"/>
  <c r="B338" i="22"/>
  <c r="B336" i="22"/>
  <c r="B334" i="22"/>
  <c r="B329" i="22"/>
  <c r="B330" i="22"/>
  <c r="B337" i="22"/>
  <c r="C5" i="23"/>
  <c r="BO12" i="23"/>
  <c r="F5" i="20"/>
  <c r="K6" i="3"/>
  <c r="I17" i="18"/>
  <c r="AB5" i="23"/>
  <c r="BO5" i="23"/>
  <c r="AY132" i="23"/>
  <c r="P17" i="3"/>
  <c r="AY3" i="23"/>
  <c r="AY67" i="23"/>
  <c r="BN12" i="23"/>
  <c r="B502" i="22" l="1"/>
  <c r="B833" i="22"/>
  <c r="K170" i="7"/>
  <c r="L170" i="7" s="1"/>
  <c r="B759" i="22"/>
  <c r="K159" i="7"/>
  <c r="L159" i="7" s="1"/>
  <c r="B576" i="22"/>
  <c r="B4" i="22"/>
  <c r="K208" i="7"/>
  <c r="L208" i="7" s="1"/>
  <c r="K196" i="7" s="1"/>
  <c r="L196" i="7" s="1"/>
  <c r="K154" i="7" l="1"/>
  <c r="L154" i="7" s="1"/>
  <c r="P23" i="11" s="1"/>
  <c r="P21" i="11"/>
  <c r="D45" i="11" s="1" a="1"/>
  <c r="E45" i="11" s="1"/>
  <c r="AH45" i="11" l="1"/>
  <c r="AH57" i="11" s="1"/>
  <c r="J45" i="11"/>
  <c r="AI45" i="11"/>
  <c r="AI56" i="11" s="1"/>
  <c r="S45" i="11"/>
  <c r="S64" i="11" s="1"/>
  <c r="X45" i="11"/>
  <c r="P45" i="11"/>
  <c r="I45" i="11"/>
  <c r="I56" i="11" s="1"/>
  <c r="AD45" i="11"/>
  <c r="AD62" i="11" s="1"/>
  <c r="V45" i="11"/>
  <c r="N45" i="11"/>
  <c r="F45" i="11"/>
  <c r="F73" i="11" s="1"/>
  <c r="AE45" i="11"/>
  <c r="W45" i="11"/>
  <c r="O45" i="11"/>
  <c r="G45" i="11"/>
  <c r="G66" i="11" s="1"/>
  <c r="Z45" i="11"/>
  <c r="Z61" i="11" s="1"/>
  <c r="R45" i="11"/>
  <c r="AA45" i="11"/>
  <c r="K45" i="11"/>
  <c r="K58" i="11" s="1"/>
  <c r="AF45" i="11"/>
  <c r="AF55" i="11" s="1"/>
  <c r="H45" i="11"/>
  <c r="AG45" i="11"/>
  <c r="Y45" i="11"/>
  <c r="Y55" i="11" s="1"/>
  <c r="Q45" i="11"/>
  <c r="AJ45" i="11"/>
  <c r="AB45" i="11"/>
  <c r="T45" i="11"/>
  <c r="T59" i="11" s="1"/>
  <c r="L45" i="11"/>
  <c r="D45" i="11"/>
  <c r="AC45" i="11"/>
  <c r="U45" i="11"/>
  <c r="U59" i="11" s="1"/>
  <c r="M45" i="11"/>
  <c r="AH59" i="11"/>
  <c r="AH58" i="11"/>
  <c r="AH55" i="11"/>
  <c r="AH56" i="11"/>
  <c r="AH60" i="11"/>
  <c r="AH62" i="11"/>
  <c r="AH64" i="11"/>
  <c r="AH65" i="11"/>
  <c r="AH67" i="11"/>
  <c r="AH61" i="11"/>
  <c r="AH63" i="11"/>
  <c r="AH66" i="11"/>
  <c r="AH68" i="11"/>
  <c r="AH72" i="11"/>
  <c r="AH74" i="11"/>
  <c r="AH76" i="11"/>
  <c r="AH78" i="11"/>
  <c r="AH80" i="11"/>
  <c r="AH82" i="11"/>
  <c r="AH84" i="11"/>
  <c r="AE46" i="23"/>
  <c r="BE157" i="23" s="1"/>
  <c r="AM47" i="23"/>
  <c r="AH69" i="11"/>
  <c r="AH94" i="11"/>
  <c r="AG46" i="23"/>
  <c r="BH158" i="23" s="1"/>
  <c r="AH70" i="11"/>
  <c r="AH86" i="11"/>
  <c r="AM46" i="23"/>
  <c r="AH71" i="11"/>
  <c r="AH73" i="11"/>
  <c r="AH75" i="11"/>
  <c r="AH77" i="11"/>
  <c r="AH79" i="11"/>
  <c r="AH81" i="11"/>
  <c r="AH83" i="11"/>
  <c r="AH87" i="11"/>
  <c r="AH50" i="11"/>
  <c r="K31" i="23"/>
  <c r="BF153" i="23"/>
  <c r="R59" i="11"/>
  <c r="R57" i="11"/>
  <c r="R58" i="11"/>
  <c r="R55" i="11"/>
  <c r="R56" i="11"/>
  <c r="R60" i="11"/>
  <c r="R62" i="11"/>
  <c r="R64" i="11"/>
  <c r="R73" i="11"/>
  <c r="R77" i="11"/>
  <c r="R81" i="11"/>
  <c r="R85" i="11"/>
  <c r="R70" i="11"/>
  <c r="R74" i="11"/>
  <c r="R78" i="11"/>
  <c r="R82" i="11"/>
  <c r="R86" i="11"/>
  <c r="R65" i="11"/>
  <c r="R67" i="11"/>
  <c r="R61" i="11"/>
  <c r="R63" i="11"/>
  <c r="R66" i="11"/>
  <c r="R68" i="11"/>
  <c r="R72" i="11"/>
  <c r="R80" i="11"/>
  <c r="AN27" i="23"/>
  <c r="AU104" i="23" s="1"/>
  <c r="R75" i="11"/>
  <c r="R83" i="11"/>
  <c r="R94" i="11"/>
  <c r="AN25" i="23"/>
  <c r="R50" i="11"/>
  <c r="R76" i="11"/>
  <c r="R84" i="11"/>
  <c r="R71" i="11"/>
  <c r="R79" i="11"/>
  <c r="R87" i="11"/>
  <c r="AG27" i="23"/>
  <c r="AU108" i="23" s="1"/>
  <c r="E35" i="23"/>
  <c r="R46" i="11"/>
  <c r="CF12" i="23"/>
  <c r="J59" i="11"/>
  <c r="J57" i="11"/>
  <c r="J56" i="11"/>
  <c r="J55" i="11"/>
  <c r="J60" i="11"/>
  <c r="J64" i="11"/>
  <c r="J68" i="11"/>
  <c r="J72" i="11"/>
  <c r="J76" i="11"/>
  <c r="J80" i="11"/>
  <c r="J84" i="11"/>
  <c r="J58" i="11"/>
  <c r="J65" i="11"/>
  <c r="J69" i="11"/>
  <c r="J73" i="11"/>
  <c r="J77" i="11"/>
  <c r="J81" i="11"/>
  <c r="J85" i="11"/>
  <c r="J62" i="11"/>
  <c r="J70" i="11"/>
  <c r="J78" i="11"/>
  <c r="J86" i="11"/>
  <c r="J63" i="11"/>
  <c r="J71" i="11"/>
  <c r="J79" i="11"/>
  <c r="J87" i="11"/>
  <c r="J66" i="11"/>
  <c r="J74" i="11"/>
  <c r="J82" i="11"/>
  <c r="J67" i="11"/>
  <c r="J75" i="11"/>
  <c r="J83" i="11"/>
  <c r="AK18" i="23"/>
  <c r="J94" i="11"/>
  <c r="J50" i="11"/>
  <c r="AL18" i="23"/>
  <c r="AG18" i="23"/>
  <c r="BD27" i="23" s="1"/>
  <c r="J46" i="11"/>
  <c r="C39" i="23"/>
  <c r="BX12" i="23"/>
  <c r="AI58" i="11"/>
  <c r="AI60" i="11"/>
  <c r="AI66" i="11"/>
  <c r="AI71" i="11"/>
  <c r="AI77" i="11"/>
  <c r="AN47" i="23"/>
  <c r="AI76" i="11"/>
  <c r="AI50" i="11"/>
  <c r="AI87" i="11"/>
  <c r="BF159" i="23"/>
  <c r="AA56" i="11"/>
  <c r="AA55" i="11"/>
  <c r="AA57" i="11"/>
  <c r="AA61" i="11"/>
  <c r="AA63" i="11"/>
  <c r="AA58" i="11"/>
  <c r="AA59" i="11"/>
  <c r="AA60" i="11"/>
  <c r="AA62" i="11"/>
  <c r="AA64" i="11"/>
  <c r="AA66" i="11"/>
  <c r="AA68" i="11"/>
  <c r="AA70" i="11"/>
  <c r="AA65" i="11"/>
  <c r="AA67" i="11"/>
  <c r="AA71" i="11"/>
  <c r="AA73" i="11"/>
  <c r="AA75" i="11"/>
  <c r="AA77" i="11"/>
  <c r="AA80" i="11"/>
  <c r="AA84" i="11"/>
  <c r="AH39" i="23"/>
  <c r="AA72" i="11"/>
  <c r="AA74" i="11"/>
  <c r="AA76" i="11"/>
  <c r="AA81" i="11"/>
  <c r="AA85" i="11"/>
  <c r="AE38" i="23"/>
  <c r="AY136" i="23" s="1"/>
  <c r="AA69" i="11"/>
  <c r="AA82" i="11"/>
  <c r="AA86" i="11"/>
  <c r="AA94" i="11"/>
  <c r="AF38" i="23"/>
  <c r="BA136" i="23" s="1"/>
  <c r="AJ42" i="23"/>
  <c r="AA79" i="11"/>
  <c r="AA83" i="11"/>
  <c r="AA87" i="11"/>
  <c r="AG38" i="23"/>
  <c r="BA141" i="23" s="1"/>
  <c r="I11" i="23"/>
  <c r="CO12" i="23"/>
  <c r="AA50" i="11"/>
  <c r="AA46" i="11"/>
  <c r="K59" i="11"/>
  <c r="K57" i="11"/>
  <c r="K84" i="11"/>
  <c r="K60" i="11"/>
  <c r="K66" i="11"/>
  <c r="K74" i="11"/>
  <c r="K86" i="11"/>
  <c r="K63" i="11"/>
  <c r="K94" i="11"/>
  <c r="K50" i="11"/>
  <c r="X57" i="11"/>
  <c r="X58" i="11"/>
  <c r="X56" i="11"/>
  <c r="X55" i="11"/>
  <c r="X60" i="11"/>
  <c r="X59" i="11"/>
  <c r="X61" i="11"/>
  <c r="X63" i="11"/>
  <c r="X62" i="11"/>
  <c r="X65" i="11"/>
  <c r="X67" i="11"/>
  <c r="X69" i="11"/>
  <c r="X66" i="11"/>
  <c r="X68" i="11"/>
  <c r="X70" i="11"/>
  <c r="X64" i="11"/>
  <c r="X78" i="11"/>
  <c r="X82" i="11"/>
  <c r="X86" i="11"/>
  <c r="AE34" i="23"/>
  <c r="AS157" i="23" s="1"/>
  <c r="AM35" i="23"/>
  <c r="X71" i="11"/>
  <c r="X73" i="11"/>
  <c r="X79" i="11"/>
  <c r="X83" i="11"/>
  <c r="X87" i="11"/>
  <c r="AG34" i="23"/>
  <c r="AV158" i="23" s="1"/>
  <c r="X72" i="11"/>
  <c r="X74" i="11"/>
  <c r="X76" i="11"/>
  <c r="X80" i="11"/>
  <c r="X84" i="11"/>
  <c r="AM34" i="23"/>
  <c r="X77" i="11"/>
  <c r="X81" i="11"/>
  <c r="X85" i="11"/>
  <c r="X94" i="11"/>
  <c r="X50" i="11"/>
  <c r="G31" i="23"/>
  <c r="AT153" i="23"/>
  <c r="P57" i="11"/>
  <c r="P58" i="11"/>
  <c r="P56" i="11"/>
  <c r="P55" i="11"/>
  <c r="P60" i="11"/>
  <c r="P59" i="11"/>
  <c r="P61" i="11"/>
  <c r="P63" i="11"/>
  <c r="P62" i="11"/>
  <c r="P65" i="11"/>
  <c r="P71" i="11"/>
  <c r="P75" i="11"/>
  <c r="P79" i="11"/>
  <c r="P83" i="11"/>
  <c r="P87" i="11"/>
  <c r="P66" i="11"/>
  <c r="P68" i="11"/>
  <c r="P72" i="11"/>
  <c r="P76" i="11"/>
  <c r="P80" i="11"/>
  <c r="P84" i="11"/>
  <c r="P64" i="11"/>
  <c r="P69" i="11"/>
  <c r="P73" i="11"/>
  <c r="P77" i="11"/>
  <c r="P81" i="11"/>
  <c r="P85" i="11"/>
  <c r="P70" i="11"/>
  <c r="P74" i="11"/>
  <c r="P78" i="11"/>
  <c r="P82" i="11"/>
  <c r="P86" i="11"/>
  <c r="AM25" i="23"/>
  <c r="AM27" i="23"/>
  <c r="AD33" i="23"/>
  <c r="AE25" i="23"/>
  <c r="AS90" i="23" s="1"/>
  <c r="P94" i="11"/>
  <c r="AI25" i="23"/>
  <c r="AU85" i="23" s="1"/>
  <c r="AG25" i="23"/>
  <c r="AU97" i="23" s="1"/>
  <c r="P50" i="11"/>
  <c r="P46" i="11"/>
  <c r="CD12" i="23"/>
  <c r="E27" i="23"/>
  <c r="H57" i="11"/>
  <c r="H60" i="11"/>
  <c r="H64" i="11"/>
  <c r="H68" i="11"/>
  <c r="H72" i="11"/>
  <c r="H76" i="11"/>
  <c r="H56" i="11"/>
  <c r="H58" i="11"/>
  <c r="H55" i="11"/>
  <c r="H65" i="11"/>
  <c r="H70" i="11"/>
  <c r="H75" i="11"/>
  <c r="H80" i="11"/>
  <c r="H84" i="11"/>
  <c r="H61" i="11"/>
  <c r="H66" i="11"/>
  <c r="H71" i="11"/>
  <c r="H77" i="11"/>
  <c r="H81" i="11"/>
  <c r="H85" i="11"/>
  <c r="H62" i="11"/>
  <c r="H67" i="11"/>
  <c r="H73" i="11"/>
  <c r="H78" i="11"/>
  <c r="H82" i="11"/>
  <c r="H86" i="11"/>
  <c r="H63" i="11"/>
  <c r="H69" i="11"/>
  <c r="H74" i="11"/>
  <c r="H79" i="11"/>
  <c r="H83" i="11"/>
  <c r="H87" i="11"/>
  <c r="AN16" i="23"/>
  <c r="AY32" i="23" s="1"/>
  <c r="H50" i="11"/>
  <c r="C23" i="23"/>
  <c r="H94" i="11"/>
  <c r="AN14" i="23"/>
  <c r="AG16" i="23"/>
  <c r="AX35" i="23" s="1"/>
  <c r="H46" i="11"/>
  <c r="BV12" i="23"/>
  <c r="AG59" i="11"/>
  <c r="AG55" i="11"/>
  <c r="AG57" i="11"/>
  <c r="AG58" i="11"/>
  <c r="AG56" i="11"/>
  <c r="AG60" i="11"/>
  <c r="AG62" i="11"/>
  <c r="AG65" i="11"/>
  <c r="AG67" i="11"/>
  <c r="AG69" i="11"/>
  <c r="AG61" i="11"/>
  <c r="AG63" i="11"/>
  <c r="AG66" i="11"/>
  <c r="AG68" i="11"/>
  <c r="AG64" i="11"/>
  <c r="AG86" i="11"/>
  <c r="AG94" i="11"/>
  <c r="AG45" i="23"/>
  <c r="BH152" i="23" s="1"/>
  <c r="AG70" i="11"/>
  <c r="AG87" i="11"/>
  <c r="AG71" i="11"/>
  <c r="AG73" i="11"/>
  <c r="AG75" i="11"/>
  <c r="AG77" i="11"/>
  <c r="AG79" i="11"/>
  <c r="AG81" i="11"/>
  <c r="AG83" i="11"/>
  <c r="AD46" i="23"/>
  <c r="AG72" i="11"/>
  <c r="AG74" i="11"/>
  <c r="AG76" i="11"/>
  <c r="AG78" i="11"/>
  <c r="AG80" i="11"/>
  <c r="AG82" i="11"/>
  <c r="AG85" i="11"/>
  <c r="AI45" i="23"/>
  <c r="AI44" i="23" s="1"/>
  <c r="AE45" i="23"/>
  <c r="BE147" i="23" s="1"/>
  <c r="AH46" i="11"/>
  <c r="K27" i="23"/>
  <c r="AG50" i="11"/>
  <c r="AG46" i="11"/>
  <c r="BG145" i="23"/>
  <c r="CU12" i="23"/>
  <c r="BF155" i="23"/>
  <c r="Y56" i="11"/>
  <c r="Y65" i="11"/>
  <c r="Y66" i="11"/>
  <c r="Y78" i="11"/>
  <c r="Y79" i="11"/>
  <c r="Y50" i="11"/>
  <c r="Y84" i="11"/>
  <c r="Y74" i="11"/>
  <c r="AG35" i="23"/>
  <c r="AU164" i="23" s="1"/>
  <c r="G35" i="23"/>
  <c r="I57" i="11"/>
  <c r="I64" i="11"/>
  <c r="I73" i="11"/>
  <c r="I70" i="11"/>
  <c r="I63" i="11"/>
  <c r="I75" i="11"/>
  <c r="I84" i="11"/>
  <c r="I80" i="11"/>
  <c r="AN17" i="23"/>
  <c r="AU40" i="23" s="1"/>
  <c r="C35" i="23"/>
  <c r="V59" i="11"/>
  <c r="V57" i="11"/>
  <c r="V58" i="11"/>
  <c r="V60" i="11"/>
  <c r="V62" i="11"/>
  <c r="V64" i="11"/>
  <c r="V55" i="11"/>
  <c r="V56" i="11"/>
  <c r="V61" i="11"/>
  <c r="V63" i="11"/>
  <c r="V65" i="11"/>
  <c r="V67" i="11"/>
  <c r="V66" i="11"/>
  <c r="V68" i="11"/>
  <c r="V72" i="11"/>
  <c r="V76" i="11"/>
  <c r="V80" i="11"/>
  <c r="V84" i="11"/>
  <c r="AF32" i="23"/>
  <c r="AU136" i="23" s="1"/>
  <c r="AJ36" i="23"/>
  <c r="AD38" i="23"/>
  <c r="V77" i="11"/>
  <c r="V81" i="11"/>
  <c r="V85" i="11"/>
  <c r="V94" i="11"/>
  <c r="AG32" i="23"/>
  <c r="AU141" i="23" s="1"/>
  <c r="V70" i="11"/>
  <c r="V74" i="11"/>
  <c r="V78" i="11"/>
  <c r="V82" i="11"/>
  <c r="V86" i="11"/>
  <c r="AH33" i="23"/>
  <c r="AD44" i="23"/>
  <c r="V69" i="11"/>
  <c r="V71" i="11"/>
  <c r="V75" i="11"/>
  <c r="V79" i="11"/>
  <c r="V83" i="11"/>
  <c r="V87" i="11"/>
  <c r="AE32" i="23"/>
  <c r="AS136" i="23" s="1"/>
  <c r="V50" i="11"/>
  <c r="V46" i="11"/>
  <c r="G11" i="23"/>
  <c r="CJ12" i="23"/>
  <c r="N59" i="11"/>
  <c r="N57" i="11"/>
  <c r="N58" i="11"/>
  <c r="N56" i="11"/>
  <c r="N60" i="11"/>
  <c r="N62" i="11"/>
  <c r="N64" i="11"/>
  <c r="N55" i="11"/>
  <c r="N69" i="11"/>
  <c r="N73" i="11"/>
  <c r="N77" i="11"/>
  <c r="N81" i="11"/>
  <c r="N85" i="11"/>
  <c r="N61" i="11"/>
  <c r="N63" i="11"/>
  <c r="N66" i="11"/>
  <c r="N70" i="11"/>
  <c r="N74" i="11"/>
  <c r="N78" i="11"/>
  <c r="N82" i="11"/>
  <c r="N86" i="11"/>
  <c r="N67" i="11"/>
  <c r="N71" i="11"/>
  <c r="N75" i="11"/>
  <c r="N79" i="11"/>
  <c r="N83" i="11"/>
  <c r="N87" i="11"/>
  <c r="N68" i="11"/>
  <c r="N72" i="11"/>
  <c r="N76" i="11"/>
  <c r="N80" i="11"/>
  <c r="N84" i="11"/>
  <c r="AE23" i="23"/>
  <c r="AS88" i="23" s="1"/>
  <c r="AD24" i="23"/>
  <c r="N94" i="11"/>
  <c r="AI23" i="23"/>
  <c r="AG23" i="23"/>
  <c r="BA91" i="23" s="1"/>
  <c r="CB12" i="23"/>
  <c r="E15" i="23"/>
  <c r="N50" i="11"/>
  <c r="F69" i="11"/>
  <c r="F81" i="11"/>
  <c r="F70" i="11"/>
  <c r="F82" i="11"/>
  <c r="F71" i="11"/>
  <c r="F83" i="11"/>
  <c r="F84" i="11"/>
  <c r="F56" i="11"/>
  <c r="F94" i="11"/>
  <c r="AG14" i="23"/>
  <c r="AX31" i="23" s="1"/>
  <c r="C19" i="23"/>
  <c r="W56" i="11"/>
  <c r="W55" i="11"/>
  <c r="W59" i="11"/>
  <c r="W58" i="11"/>
  <c r="W61" i="11"/>
  <c r="W63" i="11"/>
  <c r="W57" i="11"/>
  <c r="W60" i="11"/>
  <c r="W62" i="11"/>
  <c r="W64" i="11"/>
  <c r="W66" i="11"/>
  <c r="W68" i="11"/>
  <c r="W70" i="11"/>
  <c r="W65" i="11"/>
  <c r="W67" i="11"/>
  <c r="W69" i="11"/>
  <c r="W71" i="11"/>
  <c r="W73" i="11"/>
  <c r="W76" i="11"/>
  <c r="W80" i="11"/>
  <c r="W84" i="11"/>
  <c r="AG33" i="23"/>
  <c r="AV152" i="23" s="1"/>
  <c r="AD45" i="23"/>
  <c r="W72" i="11"/>
  <c r="W77" i="11"/>
  <c r="W81" i="11"/>
  <c r="W85" i="11"/>
  <c r="W78" i="11"/>
  <c r="W82" i="11"/>
  <c r="W86" i="11"/>
  <c r="W94" i="11"/>
  <c r="AD34" i="23"/>
  <c r="AD39" i="23"/>
  <c r="W75" i="11"/>
  <c r="W79" i="11"/>
  <c r="W83" i="11"/>
  <c r="W87" i="11"/>
  <c r="AI33" i="23"/>
  <c r="AI32" i="23" s="1"/>
  <c r="AE33" i="23"/>
  <c r="AS147" i="23" s="1"/>
  <c r="G27" i="23"/>
  <c r="X46" i="11"/>
  <c r="AT155" i="23"/>
  <c r="W50" i="11"/>
  <c r="W46" i="11"/>
  <c r="AU145" i="23"/>
  <c r="CK12" i="23"/>
  <c r="O56" i="11"/>
  <c r="O55" i="11"/>
  <c r="O59" i="11"/>
  <c r="O57" i="11"/>
  <c r="O61" i="11"/>
  <c r="O63" i="11"/>
  <c r="O60" i="11"/>
  <c r="O62" i="11"/>
  <c r="O64" i="11"/>
  <c r="O69" i="11"/>
  <c r="O73" i="11"/>
  <c r="O77" i="11"/>
  <c r="O81" i="11"/>
  <c r="O85" i="11"/>
  <c r="O70" i="11"/>
  <c r="O74" i="11"/>
  <c r="O78" i="11"/>
  <c r="O82" i="11"/>
  <c r="O86" i="11"/>
  <c r="O67" i="11"/>
  <c r="O71" i="11"/>
  <c r="O75" i="11"/>
  <c r="O79" i="11"/>
  <c r="O83" i="11"/>
  <c r="O87" i="11"/>
  <c r="O65" i="11"/>
  <c r="O68" i="11"/>
  <c r="O72" i="11"/>
  <c r="O76" i="11"/>
  <c r="O80" i="11"/>
  <c r="O84" i="11"/>
  <c r="O50" i="11"/>
  <c r="AG24" i="23"/>
  <c r="AX95" i="23" s="1"/>
  <c r="AM24" i="23"/>
  <c r="O94" i="11"/>
  <c r="AI24" i="23"/>
  <c r="AM26" i="23"/>
  <c r="AD23" i="23"/>
  <c r="AE24" i="23"/>
  <c r="AS89" i="23" s="1"/>
  <c r="E19" i="23"/>
  <c r="O46" i="11"/>
  <c r="CC12" i="23"/>
  <c r="G74" i="11"/>
  <c r="G78" i="11"/>
  <c r="G71" i="11"/>
  <c r="G75" i="11"/>
  <c r="G72" i="11"/>
  <c r="G76" i="11"/>
  <c r="G77" i="11"/>
  <c r="G57" i="11"/>
  <c r="AM15" i="23"/>
  <c r="AM17" i="23"/>
  <c r="AJ57" i="11"/>
  <c r="AJ58" i="11"/>
  <c r="AJ56" i="11"/>
  <c r="AJ59" i="11"/>
  <c r="AJ60" i="11"/>
  <c r="AJ55" i="11"/>
  <c r="AJ61" i="11"/>
  <c r="AJ63" i="11"/>
  <c r="AJ65" i="11"/>
  <c r="AJ67" i="11"/>
  <c r="AJ69" i="11"/>
  <c r="AJ64" i="11"/>
  <c r="AJ66" i="11"/>
  <c r="AJ68" i="11"/>
  <c r="AJ62" i="11"/>
  <c r="AJ71" i="11"/>
  <c r="AJ73" i="11"/>
  <c r="AJ75" i="11"/>
  <c r="AJ77" i="11"/>
  <c r="AJ79" i="11"/>
  <c r="AJ81" i="11"/>
  <c r="AJ83" i="11"/>
  <c r="AJ85" i="11"/>
  <c r="AK48" i="23"/>
  <c r="AK44" i="23" s="1"/>
  <c r="AL48" i="23"/>
  <c r="AL45" i="23" s="1"/>
  <c r="BH147" i="23" s="1"/>
  <c r="AG48" i="23"/>
  <c r="BJ151" i="23" s="1"/>
  <c r="AJ72" i="11"/>
  <c r="AJ74" i="11"/>
  <c r="AJ76" i="11"/>
  <c r="AJ78" i="11"/>
  <c r="AJ80" i="11"/>
  <c r="AJ82" i="11"/>
  <c r="AJ84" i="11"/>
  <c r="AJ86" i="11"/>
  <c r="AJ70" i="11"/>
  <c r="AJ94" i="11"/>
  <c r="AJ50" i="11"/>
  <c r="K47" i="23"/>
  <c r="BJ144" i="23"/>
  <c r="AJ46" i="11"/>
  <c r="CX12" i="23"/>
  <c r="AB57" i="11"/>
  <c r="AB58" i="11"/>
  <c r="AB56" i="11"/>
  <c r="AB59" i="11"/>
  <c r="AB60" i="11"/>
  <c r="AB55" i="11"/>
  <c r="AB61" i="11"/>
  <c r="AB63" i="11"/>
  <c r="AB64" i="11"/>
  <c r="AB65" i="11"/>
  <c r="AB67" i="11"/>
  <c r="AB69" i="11"/>
  <c r="AB66" i="11"/>
  <c r="AB68" i="11"/>
  <c r="AB62" i="11"/>
  <c r="AB82" i="11"/>
  <c r="AB86" i="11"/>
  <c r="AD40" i="23"/>
  <c r="AB70" i="11"/>
  <c r="AB71" i="11"/>
  <c r="AB73" i="11"/>
  <c r="AB75" i="11"/>
  <c r="AB77" i="11"/>
  <c r="AB83" i="11"/>
  <c r="AB87" i="11"/>
  <c r="AI39" i="23"/>
  <c r="AI38" i="23" s="1"/>
  <c r="AE39" i="23"/>
  <c r="AY147" i="23" s="1"/>
  <c r="I27" i="23"/>
  <c r="AB72" i="11"/>
  <c r="AB74" i="11"/>
  <c r="AB76" i="11"/>
  <c r="AB78" i="11"/>
  <c r="AB80" i="11"/>
  <c r="AB84" i="11"/>
  <c r="AG39" i="23"/>
  <c r="BB152" i="23" s="1"/>
  <c r="AB81" i="11"/>
  <c r="AB85" i="11"/>
  <c r="AB94" i="11"/>
  <c r="AC46" i="11"/>
  <c r="CP12" i="23"/>
  <c r="AB50" i="11"/>
  <c r="AB46" i="11"/>
  <c r="BA145" i="23"/>
  <c r="AZ155" i="23"/>
  <c r="T58" i="11"/>
  <c r="T61" i="11"/>
  <c r="T65" i="11"/>
  <c r="T70" i="11"/>
  <c r="T78" i="11"/>
  <c r="T79" i="11"/>
  <c r="AL29" i="23"/>
  <c r="AK29" i="23"/>
  <c r="BH84" i="23" s="1"/>
  <c r="T77" i="11"/>
  <c r="T46" i="11"/>
  <c r="D59" i="11"/>
  <c r="D63" i="11"/>
  <c r="D67" i="11"/>
  <c r="D71" i="11"/>
  <c r="D75" i="11"/>
  <c r="D79" i="11"/>
  <c r="D83" i="11"/>
  <c r="D87" i="11"/>
  <c r="D56" i="11"/>
  <c r="D60" i="11"/>
  <c r="D64" i="11"/>
  <c r="D68" i="11"/>
  <c r="D72" i="11"/>
  <c r="D76" i="11"/>
  <c r="D80" i="11"/>
  <c r="D84" i="11"/>
  <c r="D57" i="11"/>
  <c r="D61" i="11"/>
  <c r="D65" i="11"/>
  <c r="D69" i="11"/>
  <c r="D73" i="11"/>
  <c r="D77" i="11"/>
  <c r="D81" i="11"/>
  <c r="D85" i="11"/>
  <c r="D62" i="11"/>
  <c r="D78" i="11"/>
  <c r="D66" i="11"/>
  <c r="D82" i="11"/>
  <c r="D70" i="11"/>
  <c r="D86" i="11"/>
  <c r="D58" i="11"/>
  <c r="D74" i="11"/>
  <c r="AE12" i="23"/>
  <c r="AU10" i="23" s="1"/>
  <c r="AH14" i="23"/>
  <c r="AX23" i="23" s="1"/>
  <c r="AJ19" i="23"/>
  <c r="AD22" i="23"/>
  <c r="AF12" i="23"/>
  <c r="AH15" i="23"/>
  <c r="AU23" i="23" s="1"/>
  <c r="AJ20" i="23"/>
  <c r="AG12" i="23"/>
  <c r="C11" i="23"/>
  <c r="D94" i="11"/>
  <c r="AH13" i="23"/>
  <c r="AJ18" i="23"/>
  <c r="BR12" i="23"/>
  <c r="D50" i="11"/>
  <c r="D46" i="11"/>
  <c r="AC59" i="11"/>
  <c r="AC55" i="11"/>
  <c r="AC57" i="11"/>
  <c r="AC58" i="11"/>
  <c r="AC56" i="11"/>
  <c r="AC60" i="11"/>
  <c r="AC61" i="11"/>
  <c r="AC63" i="11"/>
  <c r="AC64" i="11"/>
  <c r="AC65" i="11"/>
  <c r="AC67" i="11"/>
  <c r="AC69" i="11"/>
  <c r="AC66" i="11"/>
  <c r="AC68" i="11"/>
  <c r="AC62" i="11"/>
  <c r="AC82" i="11"/>
  <c r="AC86" i="11"/>
  <c r="AC94" i="11"/>
  <c r="AM40" i="23"/>
  <c r="AC83" i="11"/>
  <c r="AC87" i="11"/>
  <c r="AC70" i="11"/>
  <c r="AC71" i="11"/>
  <c r="AC73" i="11"/>
  <c r="AC75" i="11"/>
  <c r="AC77" i="11"/>
  <c r="AC79" i="11"/>
  <c r="AC84" i="11"/>
  <c r="AE40" i="23"/>
  <c r="AY157" i="23" s="1"/>
  <c r="AM41" i="23"/>
  <c r="I31" i="23"/>
  <c r="AC72" i="11"/>
  <c r="AC74" i="11"/>
  <c r="AC76" i="11"/>
  <c r="AC78" i="11"/>
  <c r="AC81" i="11"/>
  <c r="AC85" i="11"/>
  <c r="AG40" i="23"/>
  <c r="BB158" i="23" s="1"/>
  <c r="AC50" i="11"/>
  <c r="AZ153" i="23"/>
  <c r="U57" i="11"/>
  <c r="U58" i="11"/>
  <c r="U67" i="11"/>
  <c r="U69" i="11"/>
  <c r="U86" i="11"/>
  <c r="U94" i="11"/>
  <c r="U71" i="11"/>
  <c r="U76" i="11"/>
  <c r="U85" i="11"/>
  <c r="AK30" i="23"/>
  <c r="BF84" i="23" s="1"/>
  <c r="E59" i="11"/>
  <c r="E63" i="11"/>
  <c r="E67" i="11"/>
  <c r="E71" i="11"/>
  <c r="E75" i="11"/>
  <c r="E79" i="11"/>
  <c r="E83" i="11"/>
  <c r="E87" i="11"/>
  <c r="E55" i="11"/>
  <c r="E60" i="11"/>
  <c r="E64" i="11"/>
  <c r="E68" i="11"/>
  <c r="E72" i="11"/>
  <c r="E76" i="11"/>
  <c r="E80" i="11"/>
  <c r="E84" i="11"/>
  <c r="E57" i="11"/>
  <c r="E61" i="11"/>
  <c r="E65" i="11"/>
  <c r="E69" i="11"/>
  <c r="E73" i="11"/>
  <c r="E77" i="11"/>
  <c r="E81" i="11"/>
  <c r="E85" i="11"/>
  <c r="E62" i="11"/>
  <c r="E78" i="11"/>
  <c r="E66" i="11"/>
  <c r="E82" i="11"/>
  <c r="E70" i="11"/>
  <c r="E86" i="11"/>
  <c r="E58" i="11"/>
  <c r="E74" i="11"/>
  <c r="E94" i="11"/>
  <c r="AI13" i="23"/>
  <c r="AG13" i="23"/>
  <c r="BA27" i="23" s="1"/>
  <c r="AE13" i="23"/>
  <c r="AS24" i="23" s="1"/>
  <c r="E50" i="11"/>
  <c r="C15" i="23"/>
  <c r="CI12" i="23" l="1"/>
  <c r="U73" i="11"/>
  <c r="U83" i="11"/>
  <c r="U74" i="11"/>
  <c r="U63" i="11"/>
  <c r="E43" i="23"/>
  <c r="T84" i="11"/>
  <c r="T75" i="11"/>
  <c r="T68" i="11"/>
  <c r="T55" i="11"/>
  <c r="C27" i="23"/>
  <c r="C29" i="23" s="1"/>
  <c r="AG15" i="23"/>
  <c r="AU33" i="23" s="1"/>
  <c r="G85" i="11"/>
  <c r="G60" i="11"/>
  <c r="G59" i="11"/>
  <c r="G62" i="11"/>
  <c r="BT12" i="23"/>
  <c r="AM16" i="23"/>
  <c r="F68" i="11"/>
  <c r="F67" i="11"/>
  <c r="F66" i="11"/>
  <c r="F65" i="11"/>
  <c r="AG17" i="23"/>
  <c r="AU44" i="23" s="1"/>
  <c r="I76" i="11"/>
  <c r="I86" i="11"/>
  <c r="I69" i="11"/>
  <c r="I55" i="11"/>
  <c r="AN34" i="23"/>
  <c r="Y80" i="11"/>
  <c r="AN35" i="23"/>
  <c r="Y63" i="11"/>
  <c r="Y58" i="11"/>
  <c r="AL19" i="23"/>
  <c r="K83" i="11"/>
  <c r="K77" i="11"/>
  <c r="K72" i="11"/>
  <c r="K56" i="11"/>
  <c r="AI46" i="11"/>
  <c r="AI84" i="11"/>
  <c r="AI85" i="11"/>
  <c r="AI67" i="11"/>
  <c r="AI59" i="11"/>
  <c r="U46" i="11"/>
  <c r="AL30" i="23"/>
  <c r="U79" i="11"/>
  <c r="U62" i="11"/>
  <c r="U61" i="11"/>
  <c r="T81" i="11"/>
  <c r="T72" i="11"/>
  <c r="T82" i="11"/>
  <c r="T67" i="11"/>
  <c r="T56" i="11"/>
  <c r="BU12" i="23"/>
  <c r="AE15" i="23"/>
  <c r="AS26" i="23" s="1"/>
  <c r="G69" i="11"/>
  <c r="G87" i="11"/>
  <c r="G55" i="11"/>
  <c r="G56" i="11"/>
  <c r="AD25" i="23"/>
  <c r="AU90" i="23" s="1"/>
  <c r="AD15" i="23"/>
  <c r="F60" i="11"/>
  <c r="F87" i="11"/>
  <c r="F86" i="11"/>
  <c r="F85" i="11"/>
  <c r="BW12" i="23"/>
  <c r="I72" i="11"/>
  <c r="I79" i="11"/>
  <c r="I74" i="11"/>
  <c r="I68" i="11"/>
  <c r="AT159" i="23"/>
  <c r="Y77" i="11"/>
  <c r="Y71" i="11"/>
  <c r="Y82" i="11"/>
  <c r="Y67" i="11"/>
  <c r="Y59" i="11"/>
  <c r="K46" i="11"/>
  <c r="K48" i="11" s="1"/>
  <c r="K87" i="11"/>
  <c r="K75" i="11"/>
  <c r="K73" i="11"/>
  <c r="K68" i="11"/>
  <c r="AN46" i="23"/>
  <c r="AI78" i="11"/>
  <c r="AI79" i="11"/>
  <c r="AI68" i="11"/>
  <c r="AI57" i="11"/>
  <c r="AF63" i="11"/>
  <c r="M79" i="11"/>
  <c r="M61" i="11"/>
  <c r="AH25" i="23"/>
  <c r="AU87" i="23" s="1"/>
  <c r="M81" i="11"/>
  <c r="Q76" i="11"/>
  <c r="Q81" i="11"/>
  <c r="AE61" i="11"/>
  <c r="AE50" i="11"/>
  <c r="E47" i="23"/>
  <c r="U81" i="11"/>
  <c r="U84" i="11"/>
  <c r="U50" i="11"/>
  <c r="U75" i="11"/>
  <c r="U82" i="11"/>
  <c r="U68" i="11"/>
  <c r="U65" i="11"/>
  <c r="U60" i="11"/>
  <c r="U55" i="11"/>
  <c r="T94" i="11"/>
  <c r="T73" i="11"/>
  <c r="T80" i="11"/>
  <c r="T87" i="11"/>
  <c r="T50" i="11"/>
  <c r="AF29" i="23" s="1"/>
  <c r="BH111" i="23" s="1"/>
  <c r="T74" i="11"/>
  <c r="T66" i="11"/>
  <c r="T64" i="11"/>
  <c r="T60" i="11"/>
  <c r="T57" i="11"/>
  <c r="G46" i="11"/>
  <c r="AI15" i="23"/>
  <c r="AU21" i="23" s="1"/>
  <c r="G81" i="11"/>
  <c r="G61" i="11"/>
  <c r="G84" i="11"/>
  <c r="G68" i="11"/>
  <c r="G83" i="11"/>
  <c r="G67" i="11"/>
  <c r="G86" i="11"/>
  <c r="G70" i="11"/>
  <c r="F46" i="11"/>
  <c r="AD13" i="23"/>
  <c r="F50" i="11"/>
  <c r="M19" i="23" s="1"/>
  <c r="F55" i="11"/>
  <c r="F80" i="11"/>
  <c r="F79" i="11"/>
  <c r="F63" i="11"/>
  <c r="F78" i="11"/>
  <c r="F62" i="11"/>
  <c r="F77" i="11"/>
  <c r="F61" i="11"/>
  <c r="I50" i="11"/>
  <c r="M37" i="23" s="1"/>
  <c r="M36" i="23" s="1"/>
  <c r="I94" i="11"/>
  <c r="I85" i="11"/>
  <c r="I87" i="11"/>
  <c r="I71" i="11"/>
  <c r="I82" i="11"/>
  <c r="I66" i="11"/>
  <c r="I65" i="11"/>
  <c r="I58" i="11"/>
  <c r="I59" i="11"/>
  <c r="CM12" i="23"/>
  <c r="Y85" i="11"/>
  <c r="Y72" i="11"/>
  <c r="Y75" i="11"/>
  <c r="Y87" i="11"/>
  <c r="Y94" i="11"/>
  <c r="Y64" i="11"/>
  <c r="Y61" i="11"/>
  <c r="Y62" i="11"/>
  <c r="Y57" i="11"/>
  <c r="C43" i="23"/>
  <c r="C44" i="23" s="1"/>
  <c r="AK19" i="23"/>
  <c r="BH20" i="23" s="1"/>
  <c r="K79" i="11"/>
  <c r="K78" i="11"/>
  <c r="K67" i="11"/>
  <c r="K85" i="11"/>
  <c r="K69" i="11"/>
  <c r="K80" i="11"/>
  <c r="K64" i="11"/>
  <c r="K55" i="11"/>
  <c r="K35" i="23"/>
  <c r="AI94" i="11"/>
  <c r="AI82" i="11"/>
  <c r="AI74" i="11"/>
  <c r="AI83" i="11"/>
  <c r="AI75" i="11"/>
  <c r="AI65" i="11"/>
  <c r="AI64" i="11"/>
  <c r="AI63" i="11"/>
  <c r="AI55" i="11"/>
  <c r="AG30" i="23"/>
  <c r="BF91" i="23" s="1"/>
  <c r="U77" i="11"/>
  <c r="U80" i="11"/>
  <c r="U87" i="11"/>
  <c r="U70" i="11"/>
  <c r="U78" i="11"/>
  <c r="U66" i="11"/>
  <c r="U64" i="11"/>
  <c r="U56" i="11"/>
  <c r="CH12" i="23"/>
  <c r="T85" i="11"/>
  <c r="AG29" i="23"/>
  <c r="BH91" i="23" s="1"/>
  <c r="T76" i="11"/>
  <c r="T83" i="11"/>
  <c r="T86" i="11"/>
  <c r="T62" i="11"/>
  <c r="T69" i="11"/>
  <c r="T63" i="11"/>
  <c r="G50" i="11"/>
  <c r="G94" i="11"/>
  <c r="G65" i="11"/>
  <c r="N65" i="11" s="1"/>
  <c r="G73" i="11"/>
  <c r="G80" i="11"/>
  <c r="G64" i="11"/>
  <c r="G79" i="11"/>
  <c r="G63" i="11"/>
  <c r="G82" i="11"/>
  <c r="AM14" i="23"/>
  <c r="AI14" i="23"/>
  <c r="AX21" i="23" s="1"/>
  <c r="F76" i="11"/>
  <c r="F72" i="11"/>
  <c r="F64" i="11"/>
  <c r="F75" i="11"/>
  <c r="F59" i="11"/>
  <c r="F74" i="11"/>
  <c r="F58" i="11"/>
  <c r="I46" i="11"/>
  <c r="AN15" i="23"/>
  <c r="I81" i="11"/>
  <c r="I77" i="11"/>
  <c r="I83" i="11"/>
  <c r="I67" i="11"/>
  <c r="I78" i="11"/>
  <c r="I62" i="11"/>
  <c r="I61" i="11"/>
  <c r="Y46" i="11"/>
  <c r="Y81" i="11"/>
  <c r="Y70" i="11"/>
  <c r="Y73" i="11"/>
  <c r="Y83" i="11"/>
  <c r="Y86" i="11"/>
  <c r="Y68" i="11"/>
  <c r="Y69" i="11"/>
  <c r="Y60" i="11"/>
  <c r="BY12" i="23"/>
  <c r="AG19" i="23"/>
  <c r="BF27" i="23" s="1"/>
  <c r="K71" i="11"/>
  <c r="K70" i="11"/>
  <c r="K82" i="11"/>
  <c r="K81" i="11"/>
  <c r="K65" i="11"/>
  <c r="K76" i="11"/>
  <c r="K61" i="11"/>
  <c r="CW12" i="23"/>
  <c r="AG47" i="23"/>
  <c r="BG164" i="23" s="1"/>
  <c r="AI69" i="11"/>
  <c r="AI80" i="11"/>
  <c r="AI72" i="11"/>
  <c r="AI81" i="11"/>
  <c r="AI73" i="11"/>
  <c r="AI70" i="11"/>
  <c r="AI62" i="11"/>
  <c r="AI61" i="11"/>
  <c r="J49" i="11"/>
  <c r="J48" i="11" s="1"/>
  <c r="AE22" i="23"/>
  <c r="AU74" i="23" s="1"/>
  <c r="M65" i="11"/>
  <c r="M55" i="11"/>
  <c r="AG20" i="23"/>
  <c r="BH27" i="23" s="1"/>
  <c r="AE65" i="11"/>
  <c r="I35" i="23"/>
  <c r="I36" i="23" s="1"/>
  <c r="S82" i="11"/>
  <c r="M50" i="11"/>
  <c r="M51" i="11" s="1"/>
  <c r="T11" i="23" s="1"/>
  <c r="M86" i="11"/>
  <c r="M72" i="11"/>
  <c r="L83" i="11"/>
  <c r="AD94" i="11"/>
  <c r="AF50" i="11"/>
  <c r="S65" i="11"/>
  <c r="AG36" i="23"/>
  <c r="AX151" i="23" s="1"/>
  <c r="E49" i="11"/>
  <c r="E48" i="11" s="1"/>
  <c r="AG22" i="23"/>
  <c r="AX72" i="23" s="1"/>
  <c r="M70" i="11"/>
  <c r="L56" i="11"/>
  <c r="AF79" i="11"/>
  <c r="M59" i="11"/>
  <c r="M58" i="11"/>
  <c r="M67" i="11"/>
  <c r="Q59" i="11"/>
  <c r="Q56" i="11"/>
  <c r="Q79" i="11"/>
  <c r="Q65" i="11"/>
  <c r="Q80" i="11"/>
  <c r="Q66" i="11"/>
  <c r="Q78" i="11"/>
  <c r="Q94" i="11"/>
  <c r="AN24" i="23"/>
  <c r="Q50" i="11"/>
  <c r="CE12" i="23"/>
  <c r="Q55" i="11"/>
  <c r="Q60" i="11"/>
  <c r="Q83" i="11"/>
  <c r="Q67" i="11"/>
  <c r="Q84" i="11"/>
  <c r="Q64" i="11"/>
  <c r="Q82" i="11"/>
  <c r="Q77" i="11"/>
  <c r="AN26" i="23"/>
  <c r="AY96" i="23" s="1"/>
  <c r="E23" i="23"/>
  <c r="E24" i="23" s="1"/>
  <c r="Q57" i="11"/>
  <c r="Q71" i="11"/>
  <c r="Q87" i="11"/>
  <c r="Q72" i="11"/>
  <c r="Q61" i="11"/>
  <c r="Q70" i="11"/>
  <c r="Q73" i="11"/>
  <c r="AG26" i="23"/>
  <c r="AX99" i="23" s="1"/>
  <c r="Q69" i="11"/>
  <c r="Q46" i="11"/>
  <c r="Z56" i="11"/>
  <c r="Z64" i="11"/>
  <c r="Z63" i="11"/>
  <c r="Z72" i="11"/>
  <c r="Z84" i="11"/>
  <c r="Z94" i="11"/>
  <c r="Z78" i="11"/>
  <c r="Z73" i="11"/>
  <c r="Z87" i="11"/>
  <c r="Z49" i="11"/>
  <c r="Z59" i="11"/>
  <c r="Z55" i="11"/>
  <c r="Z65" i="11"/>
  <c r="Z66" i="11"/>
  <c r="Z74" i="11"/>
  <c r="Z69" i="11"/>
  <c r="AK36" i="23"/>
  <c r="AK32" i="23" s="1"/>
  <c r="Z82" i="11"/>
  <c r="Z75" i="11"/>
  <c r="Z50" i="11"/>
  <c r="AF36" i="23" s="1"/>
  <c r="AX164" i="23" s="1"/>
  <c r="G47" i="23"/>
  <c r="AZ176" i="23" s="1"/>
  <c r="Z57" i="11"/>
  <c r="Z60" i="11"/>
  <c r="Z67" i="11"/>
  <c r="Z68" i="11"/>
  <c r="Z76" i="11"/>
  <c r="Z81" i="11"/>
  <c r="AL36" i="23"/>
  <c r="AL33" i="23" s="1"/>
  <c r="AV147" i="23" s="1"/>
  <c r="Z86" i="11"/>
  <c r="Z79" i="11"/>
  <c r="AX144" i="23"/>
  <c r="CN12" i="23"/>
  <c r="AD58" i="11"/>
  <c r="AD64" i="11"/>
  <c r="AD65" i="11"/>
  <c r="AD72" i="11"/>
  <c r="AD80" i="11"/>
  <c r="AN40" i="23"/>
  <c r="AO40" i="23" s="1"/>
  <c r="AN41" i="23"/>
  <c r="AD73" i="11"/>
  <c r="AD83" i="11"/>
  <c r="AD46" i="11"/>
  <c r="AD56" i="11"/>
  <c r="AD55" i="11"/>
  <c r="AD67" i="11"/>
  <c r="AD74" i="11"/>
  <c r="AD84" i="11"/>
  <c r="AG41" i="23"/>
  <c r="BA164" i="23" s="1"/>
  <c r="AD69" i="11"/>
  <c r="AD75" i="11"/>
  <c r="AD87" i="11"/>
  <c r="AD49" i="11"/>
  <c r="AD48" i="11" s="1"/>
  <c r="AD59" i="11"/>
  <c r="AD60" i="11"/>
  <c r="AD61" i="11"/>
  <c r="AD66" i="11"/>
  <c r="AD76" i="11"/>
  <c r="AD85" i="11"/>
  <c r="AD82" i="11"/>
  <c r="AD70" i="11"/>
  <c r="AD77" i="11"/>
  <c r="AD50" i="11"/>
  <c r="P35" i="23" s="1"/>
  <c r="AZ159" i="23"/>
  <c r="AD12" i="23"/>
  <c r="AS9" i="23" s="1"/>
  <c r="AJ28" i="23"/>
  <c r="BD86" i="23" s="1"/>
  <c r="M82" i="11"/>
  <c r="M77" i="11"/>
  <c r="M84" i="11"/>
  <c r="M68" i="11"/>
  <c r="M75" i="11"/>
  <c r="M60" i="11"/>
  <c r="L69" i="11"/>
  <c r="CS12" i="23"/>
  <c r="AE76" i="11"/>
  <c r="AE64" i="11"/>
  <c r="AD79" i="11"/>
  <c r="AD78" i="11"/>
  <c r="AD57" i="11"/>
  <c r="Q86" i="11"/>
  <c r="Q62" i="11"/>
  <c r="AF85" i="11"/>
  <c r="AF71" i="11"/>
  <c r="AG28" i="23"/>
  <c r="BD91" i="23" s="1"/>
  <c r="AI49" i="11"/>
  <c r="AI48" i="11" s="1"/>
  <c r="Z46" i="11"/>
  <c r="Z85" i="11"/>
  <c r="Z62" i="11"/>
  <c r="AH49" i="11"/>
  <c r="Y49" i="11"/>
  <c r="Y48" i="11" s="1"/>
  <c r="I49" i="11"/>
  <c r="N49" i="11"/>
  <c r="N48" i="11" s="1"/>
  <c r="AJ49" i="11"/>
  <c r="AJ48" i="11" s="1"/>
  <c r="T49" i="11"/>
  <c r="T48" i="11" s="1"/>
  <c r="L58" i="11"/>
  <c r="L66" i="11"/>
  <c r="L82" i="11"/>
  <c r="L71" i="11"/>
  <c r="L87" i="11"/>
  <c r="L65" i="11"/>
  <c r="L68" i="11"/>
  <c r="L77" i="11"/>
  <c r="AK20" i="23"/>
  <c r="BF20" i="23" s="1"/>
  <c r="BZ12" i="23"/>
  <c r="D49" i="11"/>
  <c r="D48" i="11" s="1"/>
  <c r="AA49" i="11"/>
  <c r="AA48" i="11" s="1"/>
  <c r="P49" i="11"/>
  <c r="P48" i="11" s="1"/>
  <c r="AG49" i="11"/>
  <c r="AG48" i="11" s="1"/>
  <c r="F49" i="11"/>
  <c r="W49" i="11"/>
  <c r="W48" i="11" s="1"/>
  <c r="O49" i="11"/>
  <c r="O48" i="11" s="1"/>
  <c r="G49" i="11"/>
  <c r="L60" i="11"/>
  <c r="L70" i="11"/>
  <c r="L86" i="11"/>
  <c r="L75" i="11"/>
  <c r="L64" i="11"/>
  <c r="L73" i="11"/>
  <c r="L76" i="11"/>
  <c r="L85" i="11"/>
  <c r="L94" i="11"/>
  <c r="L46" i="11"/>
  <c r="R49" i="11"/>
  <c r="R48" i="11" s="1"/>
  <c r="K49" i="11"/>
  <c r="X49" i="11"/>
  <c r="X48" i="11" s="1"/>
  <c r="H49" i="11"/>
  <c r="H48" i="11" s="1"/>
  <c r="V49" i="11"/>
  <c r="V48" i="11" s="1"/>
  <c r="AB49" i="11"/>
  <c r="AB48" i="11" s="1"/>
  <c r="L57" i="11"/>
  <c r="L55" i="11"/>
  <c r="L74" i="11"/>
  <c r="L61" i="11"/>
  <c r="L79" i="11"/>
  <c r="L72" i="11"/>
  <c r="L81" i="11"/>
  <c r="L84" i="11"/>
  <c r="AL20" i="23"/>
  <c r="AL13" i="23" s="1"/>
  <c r="BB23" i="23" s="1"/>
  <c r="L50" i="11"/>
  <c r="M49" i="23" s="1"/>
  <c r="M48" i="23" s="1"/>
  <c r="C47" i="23"/>
  <c r="C49" i="23" s="1"/>
  <c r="AF57" i="11"/>
  <c r="AF60" i="11"/>
  <c r="AF62" i="11"/>
  <c r="AF66" i="11"/>
  <c r="AF86" i="11"/>
  <c r="AF73" i="11"/>
  <c r="AF81" i="11"/>
  <c r="AF74" i="11"/>
  <c r="AF82" i="11"/>
  <c r="AF94" i="11"/>
  <c r="AF49" i="11"/>
  <c r="AF48" i="11" s="1"/>
  <c r="AF58" i="11"/>
  <c r="AF59" i="11"/>
  <c r="AF65" i="11"/>
  <c r="AF68" i="11"/>
  <c r="AF44" i="23"/>
  <c r="BG136" i="23" s="1"/>
  <c r="AF75" i="11"/>
  <c r="AF87" i="11"/>
  <c r="AF76" i="11"/>
  <c r="AF84" i="11"/>
  <c r="AE44" i="23"/>
  <c r="BE136" i="23" s="1"/>
  <c r="AF46" i="11"/>
  <c r="AF56" i="11"/>
  <c r="AF61" i="11"/>
  <c r="AF67" i="11"/>
  <c r="AF64" i="11"/>
  <c r="AJ48" i="23"/>
  <c r="AJ44" i="23" s="1"/>
  <c r="AF77" i="11"/>
  <c r="AG44" i="23"/>
  <c r="BG141" i="23" s="1"/>
  <c r="AF78" i="11"/>
  <c r="AH45" i="23"/>
  <c r="AO45" i="23" s="1"/>
  <c r="K11" i="23"/>
  <c r="K13" i="23" s="1"/>
  <c r="CT12" i="23"/>
  <c r="S59" i="11"/>
  <c r="S63" i="11"/>
  <c r="S66" i="11"/>
  <c r="S67" i="11"/>
  <c r="S84" i="11"/>
  <c r="S81" i="11"/>
  <c r="S69" i="11"/>
  <c r="S86" i="11"/>
  <c r="S83" i="11"/>
  <c r="E39" i="23"/>
  <c r="E41" i="23" s="1"/>
  <c r="S58" i="11"/>
  <c r="S60" i="11"/>
  <c r="S68" i="11"/>
  <c r="S71" i="11"/>
  <c r="AL28" i="23"/>
  <c r="S85" i="11"/>
  <c r="S74" i="11"/>
  <c r="S94" i="11"/>
  <c r="S87" i="11"/>
  <c r="S46" i="11"/>
  <c r="S56" i="11"/>
  <c r="S57" i="11"/>
  <c r="S62" i="11"/>
  <c r="S73" i="11"/>
  <c r="S76" i="11"/>
  <c r="S72" i="11"/>
  <c r="AK28" i="23"/>
  <c r="AK22" i="23" s="1"/>
  <c r="S78" i="11"/>
  <c r="S75" i="11"/>
  <c r="S50" i="11"/>
  <c r="N39" i="23" s="1"/>
  <c r="AZ122" i="23" s="1"/>
  <c r="S49" i="11"/>
  <c r="S48" i="11" s="1"/>
  <c r="M46" i="11"/>
  <c r="AF22" i="23"/>
  <c r="AZ72" i="23" s="1"/>
  <c r="M66" i="11"/>
  <c r="L67" i="11"/>
  <c r="M49" i="11"/>
  <c r="AD32" i="23"/>
  <c r="AT136" i="23" s="1"/>
  <c r="AJ29" i="23"/>
  <c r="BH86" i="23" s="1"/>
  <c r="AH23" i="23"/>
  <c r="M78" i="11"/>
  <c r="M62" i="11"/>
  <c r="M73" i="11"/>
  <c r="M80" i="11"/>
  <c r="M87" i="11"/>
  <c r="M71" i="11"/>
  <c r="M56" i="11"/>
  <c r="U49" i="11"/>
  <c r="C45" i="11"/>
  <c r="L62" i="11"/>
  <c r="L78" i="11"/>
  <c r="BD144" i="23"/>
  <c r="AE81" i="11"/>
  <c r="AD71" i="11"/>
  <c r="AD68" i="11"/>
  <c r="Q49" i="11"/>
  <c r="Q74" i="11"/>
  <c r="Q75" i="11"/>
  <c r="AF80" i="11"/>
  <c r="AF70" i="11"/>
  <c r="CG12" i="23"/>
  <c r="S77" i="11"/>
  <c r="S61" i="11"/>
  <c r="Z83" i="11"/>
  <c r="Z80" i="11"/>
  <c r="Z58" i="11"/>
  <c r="AE58" i="11"/>
  <c r="AE63" i="11"/>
  <c r="AE66" i="11"/>
  <c r="AE67" i="11"/>
  <c r="AE75" i="11"/>
  <c r="AE84" i="11"/>
  <c r="AE78" i="11"/>
  <c r="AE86" i="11"/>
  <c r="AK42" i="23"/>
  <c r="AK38" i="23" s="1"/>
  <c r="I47" i="23"/>
  <c r="I48" i="23" s="1"/>
  <c r="AE57" i="11"/>
  <c r="AE60" i="11"/>
  <c r="AE68" i="11"/>
  <c r="AE69" i="11"/>
  <c r="AE77" i="11"/>
  <c r="AE72" i="11"/>
  <c r="AE80" i="11"/>
  <c r="AE94" i="11"/>
  <c r="AL42" i="23"/>
  <c r="AL39" i="23" s="1"/>
  <c r="BB147" i="23" s="1"/>
  <c r="AE46" i="11"/>
  <c r="AE56" i="11"/>
  <c r="AE59" i="11"/>
  <c r="AE62" i="11"/>
  <c r="AE70" i="11"/>
  <c r="AE71" i="11"/>
  <c r="AE79" i="11"/>
  <c r="AE74" i="11"/>
  <c r="AE85" i="11"/>
  <c r="AE83" i="11"/>
  <c r="AG42" i="23"/>
  <c r="AE49" i="11"/>
  <c r="CA12" i="23"/>
  <c r="E11" i="23"/>
  <c r="E13" i="23" s="1"/>
  <c r="AJ30" i="23"/>
  <c r="BF86" i="23" s="1"/>
  <c r="AH24" i="23"/>
  <c r="AX87" i="23" s="1"/>
  <c r="M94" i="11"/>
  <c r="M74" i="11"/>
  <c r="M85" i="11"/>
  <c r="M69" i="11"/>
  <c r="M76" i="11"/>
  <c r="M83" i="11"/>
  <c r="M63" i="11"/>
  <c r="M57" i="11"/>
  <c r="AC49" i="11"/>
  <c r="AC48" i="11" s="1"/>
  <c r="L49" i="11"/>
  <c r="L48" i="11" s="1"/>
  <c r="L80" i="11"/>
  <c r="L59" i="11"/>
  <c r="AE87" i="11"/>
  <c r="AE73" i="11"/>
  <c r="AE55" i="11"/>
  <c r="CR12" i="23"/>
  <c r="AD86" i="11"/>
  <c r="AD63" i="11"/>
  <c r="Q85" i="11"/>
  <c r="Q63" i="11"/>
  <c r="Q58" i="11"/>
  <c r="AF72" i="11"/>
  <c r="AF69" i="11"/>
  <c r="S79" i="11"/>
  <c r="S80" i="11"/>
  <c r="S55" i="11"/>
  <c r="Z71" i="11"/>
  <c r="Z70" i="11"/>
  <c r="G48" i="11"/>
  <c r="AF30" i="23"/>
  <c r="BF111" i="23" s="1"/>
  <c r="U51" i="11"/>
  <c r="T47" i="23" s="1"/>
  <c r="N49" i="23"/>
  <c r="N48" i="23" s="1"/>
  <c r="N47" i="23"/>
  <c r="AZ124" i="23" s="1"/>
  <c r="AX8" i="23"/>
  <c r="BF22" i="23"/>
  <c r="AI12" i="23"/>
  <c r="BA21" i="23"/>
  <c r="AB51" i="11"/>
  <c r="V27" i="23" s="1"/>
  <c r="P27" i="23"/>
  <c r="P28" i="23" s="1"/>
  <c r="P29" i="23" s="1"/>
  <c r="AU42" i="23"/>
  <c r="AY98" i="23"/>
  <c r="AO34" i="23"/>
  <c r="AT157" i="23"/>
  <c r="AD14" i="23"/>
  <c r="M15" i="23"/>
  <c r="E51" i="11"/>
  <c r="S15" i="23" s="1"/>
  <c r="M48" i="11"/>
  <c r="G11" i="20"/>
  <c r="G8" i="20"/>
  <c r="F11" i="20"/>
  <c r="G10" i="20" s="1"/>
  <c r="C12" i="23"/>
  <c r="C13" i="23"/>
  <c r="AZ8" i="23"/>
  <c r="I29" i="23"/>
  <c r="BA173" i="23"/>
  <c r="I28" i="23"/>
  <c r="K48" i="23"/>
  <c r="K49" i="23"/>
  <c r="BB176" i="23"/>
  <c r="E21" i="23"/>
  <c r="E20" i="23"/>
  <c r="O51" i="11"/>
  <c r="T19" i="23" s="1"/>
  <c r="N19" i="23"/>
  <c r="W51" i="11"/>
  <c r="U27" i="23" s="1"/>
  <c r="O27" i="23"/>
  <c r="O28" i="23" s="1"/>
  <c r="O29" i="23" s="1"/>
  <c r="BF147" i="23"/>
  <c r="AF42" i="23"/>
  <c r="BD164" i="23" s="1"/>
  <c r="P49" i="23"/>
  <c r="P48" i="23" s="1"/>
  <c r="P47" i="23"/>
  <c r="AE51" i="11"/>
  <c r="V47" i="23" s="1"/>
  <c r="AY34" i="23"/>
  <c r="E17" i="23"/>
  <c r="E16" i="23"/>
  <c r="G12" i="23"/>
  <c r="AZ172" i="23"/>
  <c r="G13" i="23"/>
  <c r="AH32" i="23"/>
  <c r="AU147" i="23"/>
  <c r="AJ32" i="23"/>
  <c r="AX146" i="23"/>
  <c r="BA175" i="23"/>
  <c r="BB173" i="23"/>
  <c r="K29" i="23"/>
  <c r="K28" i="23"/>
  <c r="E28" i="23"/>
  <c r="E29" i="23"/>
  <c r="P51" i="11"/>
  <c r="T27" i="23" s="1"/>
  <c r="N27" i="23"/>
  <c r="AT161" i="23"/>
  <c r="AF51" i="11"/>
  <c r="W11" i="23" s="1"/>
  <c r="Q11" i="23"/>
  <c r="AF19" i="23"/>
  <c r="BH47" i="23" s="1"/>
  <c r="M45" i="23"/>
  <c r="M44" i="23" s="1"/>
  <c r="K51" i="11"/>
  <c r="S43" i="23" s="1"/>
  <c r="M43" i="23"/>
  <c r="AZ58" i="23" s="1"/>
  <c r="P11" i="23"/>
  <c r="AA51" i="11"/>
  <c r="V11" i="23" s="1"/>
  <c r="AH48" i="11"/>
  <c r="AC51" i="11"/>
  <c r="V31" i="23" s="1"/>
  <c r="P31" i="23"/>
  <c r="P32" i="23" s="1"/>
  <c r="P33" i="23" s="1"/>
  <c r="AS73" i="23"/>
  <c r="E44" i="23"/>
  <c r="E45" i="23"/>
  <c r="AF48" i="23"/>
  <c r="BJ164" i="23" s="1"/>
  <c r="Q47" i="23"/>
  <c r="AJ51" i="11"/>
  <c r="W47" i="23" s="1"/>
  <c r="Q49" i="23"/>
  <c r="Q48" i="23" s="1"/>
  <c r="G51" i="11"/>
  <c r="S27" i="23" s="1"/>
  <c r="M27" i="23"/>
  <c r="AE14" i="23"/>
  <c r="AS25" i="23" s="1"/>
  <c r="AX89" i="23"/>
  <c r="C37" i="23"/>
  <c r="C36" i="23"/>
  <c r="G36" i="23"/>
  <c r="G37" i="23"/>
  <c r="AZ175" i="23"/>
  <c r="C24" i="23"/>
  <c r="C25" i="23"/>
  <c r="AO33" i="23"/>
  <c r="AT147" i="23"/>
  <c r="K37" i="23"/>
  <c r="K36" i="23"/>
  <c r="BB175" i="23"/>
  <c r="C41" i="23"/>
  <c r="C40" i="23"/>
  <c r="AF18" i="23"/>
  <c r="BD47" i="23" s="1"/>
  <c r="J51" i="11"/>
  <c r="S39" i="23" s="1"/>
  <c r="M39" i="23"/>
  <c r="AZ57" i="23" s="1"/>
  <c r="M41" i="23"/>
  <c r="M40" i="23" s="1"/>
  <c r="BB174" i="23"/>
  <c r="K32" i="23"/>
  <c r="K33" i="23"/>
  <c r="BF161" i="23"/>
  <c r="E48" i="23"/>
  <c r="E49" i="23"/>
  <c r="I33" i="23"/>
  <c r="I32" i="23"/>
  <c r="BA174" i="23"/>
  <c r="AJ12" i="23"/>
  <c r="BD22" i="23"/>
  <c r="BF21" i="23"/>
  <c r="BH22" i="23"/>
  <c r="AZ157" i="23"/>
  <c r="AO39" i="23"/>
  <c r="AZ147" i="23"/>
  <c r="N51" i="11"/>
  <c r="T15" i="23" s="1"/>
  <c r="N15" i="23"/>
  <c r="M35" i="23"/>
  <c r="AZ56" i="23" s="1"/>
  <c r="AF35" i="23"/>
  <c r="AV164" i="23" s="1"/>
  <c r="Y51" i="11"/>
  <c r="U35" i="23" s="1"/>
  <c r="O35" i="23"/>
  <c r="O37" i="23"/>
  <c r="O36" i="23" s="1"/>
  <c r="AF16" i="23"/>
  <c r="AX47" i="23" s="1"/>
  <c r="M23" i="23"/>
  <c r="AZ55" i="23" s="1"/>
  <c r="M25" i="23"/>
  <c r="M24" i="23" s="1"/>
  <c r="H51" i="11"/>
  <c r="S23" i="23" s="1"/>
  <c r="AU106" i="23"/>
  <c r="AZ174" i="23"/>
  <c r="G32" i="23"/>
  <c r="G33" i="23"/>
  <c r="I13" i="23"/>
  <c r="BA172" i="23"/>
  <c r="I12" i="23"/>
  <c r="AF27" i="23"/>
  <c r="AV111" i="23" s="1"/>
  <c r="R51" i="11"/>
  <c r="T35" i="23" s="1"/>
  <c r="N35" i="23"/>
  <c r="AZ121" i="23" s="1"/>
  <c r="N37" i="23"/>
  <c r="N36" i="23" s="1"/>
  <c r="O49" i="23"/>
  <c r="O48" i="23" s="1"/>
  <c r="Z51" i="11"/>
  <c r="U47" i="23" s="1"/>
  <c r="Q31" i="23"/>
  <c r="Q32" i="23" s="1"/>
  <c r="Q33" i="23" s="1"/>
  <c r="AH51" i="11"/>
  <c r="W31" i="23" s="1"/>
  <c r="D51" i="11"/>
  <c r="S11" i="23" s="1"/>
  <c r="M11" i="23"/>
  <c r="AZ161" i="23"/>
  <c r="AH12" i="23"/>
  <c r="BA23" i="23"/>
  <c r="C16" i="23"/>
  <c r="C17" i="23"/>
  <c r="G28" i="23"/>
  <c r="AZ173" i="23"/>
  <c r="G29" i="23"/>
  <c r="C20" i="23"/>
  <c r="C21" i="23"/>
  <c r="AU26" i="23"/>
  <c r="AI22" i="23"/>
  <c r="BA85" i="23"/>
  <c r="O11" i="23"/>
  <c r="V51" i="11"/>
  <c r="U11" i="23" s="1"/>
  <c r="BF136" i="23"/>
  <c r="AZ136" i="23"/>
  <c r="AF26" i="23"/>
  <c r="AX111" i="23" s="1"/>
  <c r="N25" i="23"/>
  <c r="N24" i="23" s="1"/>
  <c r="Q51" i="11"/>
  <c r="T23" i="23" s="1"/>
  <c r="N23" i="23"/>
  <c r="AZ120" i="23" s="1"/>
  <c r="AG51" i="11"/>
  <c r="W27" i="23" s="1"/>
  <c r="Q27" i="23"/>
  <c r="Q28" i="23" s="1"/>
  <c r="Q29" i="23" s="1"/>
  <c r="AO46" i="23"/>
  <c r="BF157" i="23"/>
  <c r="X51" i="11"/>
  <c r="U31" i="23" s="1"/>
  <c r="O31" i="23"/>
  <c r="O32" i="23" s="1"/>
  <c r="O33" i="23" s="1"/>
  <c r="AJ38" i="23"/>
  <c r="BD146" i="23"/>
  <c r="BD151" i="23"/>
  <c r="AH38" i="23"/>
  <c r="BA147" i="23"/>
  <c r="AF47" i="23"/>
  <c r="BH164" i="23" s="1"/>
  <c r="AI51" i="11"/>
  <c r="W35" i="23" s="1"/>
  <c r="Q37" i="23"/>
  <c r="Q36" i="23" s="1"/>
  <c r="Q35" i="23"/>
  <c r="BD20" i="23"/>
  <c r="E36" i="23"/>
  <c r="E37" i="23"/>
  <c r="N92" i="11" l="1"/>
  <c r="N93" i="11"/>
  <c r="E40" i="23"/>
  <c r="G49" i="23"/>
  <c r="H49" i="23" s="1"/>
  <c r="C28" i="23"/>
  <c r="F51" i="11"/>
  <c r="S19" i="23" s="1"/>
  <c r="O47" i="23"/>
  <c r="I51" i="11"/>
  <c r="S35" i="23" s="1"/>
  <c r="S36" i="23" s="1"/>
  <c r="BG147" i="23"/>
  <c r="U48" i="11"/>
  <c r="AL24" i="23"/>
  <c r="I48" i="11"/>
  <c r="AO15" i="23"/>
  <c r="AH22" i="23"/>
  <c r="N45" i="23"/>
  <c r="N44" i="23" s="1"/>
  <c r="N11" i="23"/>
  <c r="N12" i="23" s="1"/>
  <c r="U72" i="11"/>
  <c r="U92" i="11" s="1"/>
  <c r="C51" i="23"/>
  <c r="D23" i="23" s="1"/>
  <c r="AY37" i="23" s="1"/>
  <c r="T51" i="11"/>
  <c r="T43" i="23" s="1"/>
  <c r="K51" i="23"/>
  <c r="L13" i="23" s="1"/>
  <c r="E56" i="11"/>
  <c r="E92" i="11" s="1"/>
  <c r="C45" i="23"/>
  <c r="D45" i="23" s="1"/>
  <c r="AF17" i="23"/>
  <c r="AV47" i="23" s="1"/>
  <c r="AO25" i="23"/>
  <c r="N43" i="23"/>
  <c r="AZ123" i="23" s="1"/>
  <c r="G51" i="23"/>
  <c r="H35" i="23" s="1"/>
  <c r="AV162" i="23" s="1"/>
  <c r="AH85" i="11"/>
  <c r="AH93" i="11" s="1"/>
  <c r="F48" i="11"/>
  <c r="C48" i="11"/>
  <c r="Q68" i="11"/>
  <c r="AA78" i="11"/>
  <c r="AA92" i="11" s="1"/>
  <c r="O66" i="11"/>
  <c r="O92" i="11" s="1"/>
  <c r="C46" i="11"/>
  <c r="V73" i="11"/>
  <c r="V92" i="11" s="1"/>
  <c r="S70" i="11"/>
  <c r="S92" i="11" s="1"/>
  <c r="AK12" i="23"/>
  <c r="AO12" i="23" s="1"/>
  <c r="BA176" i="23"/>
  <c r="H33" i="23"/>
  <c r="N41" i="23"/>
  <c r="N40" i="23" s="1"/>
  <c r="AF41" i="23"/>
  <c r="BB164" i="23" s="1"/>
  <c r="E51" i="23"/>
  <c r="F19" i="23" s="1"/>
  <c r="AY94" i="23" s="1"/>
  <c r="M47" i="23"/>
  <c r="AZ59" i="23" s="1"/>
  <c r="Q92" i="11"/>
  <c r="Q93" i="11"/>
  <c r="Q95" i="11" s="1"/>
  <c r="H47" i="23"/>
  <c r="AX155" i="23" s="1"/>
  <c r="AH44" i="23"/>
  <c r="AO44" i="23" s="1"/>
  <c r="L51" i="11"/>
  <c r="S47" i="23" s="1"/>
  <c r="AG49" i="23"/>
  <c r="AF83" i="11"/>
  <c r="AF92" i="11" s="1"/>
  <c r="H28" i="23"/>
  <c r="G48" i="23"/>
  <c r="H48" i="23" s="1"/>
  <c r="S51" i="11"/>
  <c r="T39" i="23" s="1"/>
  <c r="T40" i="23" s="1"/>
  <c r="BJ146" i="23"/>
  <c r="E12" i="23"/>
  <c r="AL14" i="23"/>
  <c r="AY23" i="23" s="1"/>
  <c r="I37" i="23"/>
  <c r="AF20" i="23"/>
  <c r="BF47" i="23" s="1"/>
  <c r="AF28" i="23"/>
  <c r="BD111" i="23" s="1"/>
  <c r="H37" i="23"/>
  <c r="F48" i="23"/>
  <c r="T71" i="11"/>
  <c r="T92" i="11" s="1"/>
  <c r="D55" i="11"/>
  <c r="AC80" i="11"/>
  <c r="AC93" i="11" s="1"/>
  <c r="L63" i="11"/>
  <c r="L92" i="11" s="1"/>
  <c r="AG84" i="11"/>
  <c r="AG93" i="11" s="1"/>
  <c r="Q48" i="11"/>
  <c r="P67" i="11"/>
  <c r="P93" i="11" s="1"/>
  <c r="K62" i="11"/>
  <c r="K92" i="11" s="1"/>
  <c r="R69" i="11"/>
  <c r="R93" i="11" s="1"/>
  <c r="R95" i="11" s="1"/>
  <c r="Z77" i="11"/>
  <c r="Z93" i="11" s="1"/>
  <c r="J61" i="11"/>
  <c r="J93" i="11" s="1"/>
  <c r="AD81" i="11"/>
  <c r="AD92" i="11" s="1"/>
  <c r="W74" i="11"/>
  <c r="W93" i="11" s="1"/>
  <c r="Y76" i="11"/>
  <c r="Y92" i="11" s="1"/>
  <c r="AI86" i="11"/>
  <c r="AI92" i="11" s="1"/>
  <c r="AJ87" i="11"/>
  <c r="AJ92" i="11" s="1"/>
  <c r="G58" i="11"/>
  <c r="G93" i="11" s="1"/>
  <c r="C49" i="11"/>
  <c r="X75" i="11"/>
  <c r="X92" i="11" s="1"/>
  <c r="AE82" i="11"/>
  <c r="AE93" i="11" s="1"/>
  <c r="AB79" i="11"/>
  <c r="AB92" i="11" s="1"/>
  <c r="F57" i="11"/>
  <c r="F92" i="11" s="1"/>
  <c r="Z48" i="11"/>
  <c r="C94" i="11"/>
  <c r="F24" i="23"/>
  <c r="M64" i="11"/>
  <c r="M93" i="11" s="1"/>
  <c r="I60" i="11"/>
  <c r="I93" i="11" s="1"/>
  <c r="H59" i="11"/>
  <c r="H92" i="11" s="1"/>
  <c r="X93" i="11"/>
  <c r="R92" i="11"/>
  <c r="T93" i="11"/>
  <c r="F36" i="23"/>
  <c r="AA93" i="11"/>
  <c r="AA95" i="11" s="1"/>
  <c r="H27" i="23"/>
  <c r="AV150" i="23" s="1"/>
  <c r="I51" i="23"/>
  <c r="J47" i="23" s="1"/>
  <c r="BD155" i="23" s="1"/>
  <c r="H32" i="23"/>
  <c r="F23" i="23"/>
  <c r="AY101" i="23" s="1"/>
  <c r="C48" i="23"/>
  <c r="BB172" i="23"/>
  <c r="H36" i="23"/>
  <c r="P37" i="23"/>
  <c r="P36" i="23" s="1"/>
  <c r="H13" i="23"/>
  <c r="AJ22" i="23"/>
  <c r="AO22" i="23" s="1"/>
  <c r="I49" i="23"/>
  <c r="AL23" i="23"/>
  <c r="BB87" i="23" s="1"/>
  <c r="E25" i="23"/>
  <c r="BD84" i="23"/>
  <c r="K12" i="23"/>
  <c r="L12" i="23" s="1"/>
  <c r="AD51" i="11"/>
  <c r="V35" i="23" s="1"/>
  <c r="V36" i="23" s="1"/>
  <c r="BA87" i="23"/>
  <c r="F35" i="23"/>
  <c r="AV107" i="23" s="1"/>
  <c r="H29" i="23"/>
  <c r="AO38" i="23"/>
  <c r="H31" i="23"/>
  <c r="AV156" i="23" s="1"/>
  <c r="F49" i="23"/>
  <c r="F44" i="23"/>
  <c r="H12" i="23"/>
  <c r="AE48" i="11"/>
  <c r="L33" i="23"/>
  <c r="L37" i="23"/>
  <c r="D13" i="23"/>
  <c r="D28" i="23"/>
  <c r="L31" i="23"/>
  <c r="BH156" i="23" s="1"/>
  <c r="D24" i="23"/>
  <c r="Z92" i="11"/>
  <c r="U93" i="11"/>
  <c r="U95" i="11" s="1"/>
  <c r="J51" i="23"/>
  <c r="AO27" i="23"/>
  <c r="D48" i="23"/>
  <c r="L32" i="23"/>
  <c r="L36" i="23"/>
  <c r="D37" i="23"/>
  <c r="AO32" i="23"/>
  <c r="U32" i="23"/>
  <c r="U33" i="23"/>
  <c r="O12" i="23"/>
  <c r="O13" i="23"/>
  <c r="S12" i="23"/>
  <c r="S51" i="23"/>
  <c r="S13" i="23"/>
  <c r="W33" i="23"/>
  <c r="W32" i="23"/>
  <c r="W36" i="23"/>
  <c r="W37" i="23"/>
  <c r="T24" i="23"/>
  <c r="T25" i="23"/>
  <c r="U12" i="23"/>
  <c r="U13" i="23"/>
  <c r="U51" i="23"/>
  <c r="AH92" i="11"/>
  <c r="AH95" i="11" s="1"/>
  <c r="T36" i="23"/>
  <c r="T37" i="23"/>
  <c r="AX85" i="23"/>
  <c r="AY87" i="23"/>
  <c r="S37" i="23"/>
  <c r="N16" i="23"/>
  <c r="N17" i="23" s="1"/>
  <c r="AZ117" i="23"/>
  <c r="AG92" i="11"/>
  <c r="AG95" i="11" s="1"/>
  <c r="AO13" i="23"/>
  <c r="W48" i="23"/>
  <c r="W49" i="23"/>
  <c r="V32" i="23"/>
  <c r="V33" i="23"/>
  <c r="P13" i="23"/>
  <c r="P12" i="23"/>
  <c r="W13" i="23"/>
  <c r="W12" i="23"/>
  <c r="W51" i="23"/>
  <c r="AZ119" i="23"/>
  <c r="N28" i="23"/>
  <c r="N29" i="23" s="1"/>
  <c r="T20" i="23"/>
  <c r="T21" i="23"/>
  <c r="L48" i="23"/>
  <c r="S16" i="23"/>
  <c r="S17" i="23"/>
  <c r="AO17" i="23"/>
  <c r="AO18" i="23" s="1"/>
  <c r="AO19" i="23" s="1"/>
  <c r="AO20" i="23" s="1"/>
  <c r="S48" i="23"/>
  <c r="S49" i="23"/>
  <c r="U37" i="23"/>
  <c r="U36" i="23"/>
  <c r="T17" i="23"/>
  <c r="T16" i="23"/>
  <c r="T44" i="23"/>
  <c r="T45" i="23"/>
  <c r="S21" i="23"/>
  <c r="S20" i="23"/>
  <c r="M28" i="23"/>
  <c r="M29" i="23" s="1"/>
  <c r="AZ54" i="23"/>
  <c r="T28" i="23"/>
  <c r="T29" i="23"/>
  <c r="L28" i="23"/>
  <c r="AO16" i="23"/>
  <c r="F20" i="23"/>
  <c r="AZ52" i="23"/>
  <c r="M16" i="23"/>
  <c r="M17" i="23" s="1"/>
  <c r="AO28" i="23"/>
  <c r="AO29" i="23" s="1"/>
  <c r="AO30" i="23" s="1"/>
  <c r="N95" i="11"/>
  <c r="Z95" i="11"/>
  <c r="N13" i="23"/>
  <c r="M13" i="23"/>
  <c r="AZ51" i="23"/>
  <c r="M12" i="23"/>
  <c r="AZ53" i="23"/>
  <c r="M20" i="23"/>
  <c r="M21" i="23" s="1"/>
  <c r="S29" i="23"/>
  <c r="S28" i="23"/>
  <c r="AO35" i="23"/>
  <c r="AO36" i="23" s="1"/>
  <c r="L27" i="23"/>
  <c r="BH150" i="23" s="1"/>
  <c r="U28" i="23"/>
  <c r="U29" i="23"/>
  <c r="AX25" i="23"/>
  <c r="AO26" i="23"/>
  <c r="V29" i="23"/>
  <c r="V28" i="23"/>
  <c r="T48" i="23"/>
  <c r="T49" i="23"/>
  <c r="W28" i="23"/>
  <c r="W29" i="23"/>
  <c r="T12" i="23"/>
  <c r="T13" i="23"/>
  <c r="U49" i="23"/>
  <c r="U48" i="23"/>
  <c r="S24" i="23"/>
  <c r="S25" i="23"/>
  <c r="AO47" i="23"/>
  <c r="AO48" i="23" s="1"/>
  <c r="S41" i="23"/>
  <c r="S40" i="23"/>
  <c r="T41" i="23"/>
  <c r="AO24" i="23"/>
  <c r="V13" i="23"/>
  <c r="V12" i="23"/>
  <c r="S45" i="23"/>
  <c r="S44" i="23"/>
  <c r="Q13" i="23"/>
  <c r="Q12" i="23"/>
  <c r="L29" i="23"/>
  <c r="J35" i="23"/>
  <c r="BB162" i="23" s="1"/>
  <c r="H11" i="23"/>
  <c r="AV142" i="23" s="1"/>
  <c r="V49" i="23"/>
  <c r="V48" i="23"/>
  <c r="AZ118" i="23"/>
  <c r="N20" i="23"/>
  <c r="N21" i="23" s="1"/>
  <c r="L49" i="23"/>
  <c r="D12" i="23"/>
  <c r="D92" i="11"/>
  <c r="D93" i="11"/>
  <c r="L47" i="23" l="1"/>
  <c r="BJ155" i="23" s="1"/>
  <c r="I92" i="11"/>
  <c r="AD93" i="11"/>
  <c r="AD95" i="11" s="1"/>
  <c r="AF93" i="11"/>
  <c r="AF95" i="11" s="1"/>
  <c r="T51" i="23"/>
  <c r="AZ116" i="23"/>
  <c r="AF49" i="23"/>
  <c r="H93" i="11"/>
  <c r="H95" i="11" s="1"/>
  <c r="AI93" i="11"/>
  <c r="AJ93" i="11"/>
  <c r="J92" i="11"/>
  <c r="F93" i="11"/>
  <c r="G92" i="11"/>
  <c r="G95" i="11" s="1"/>
  <c r="X95" i="11"/>
  <c r="F37" i="23"/>
  <c r="D41" i="23"/>
  <c r="J28" i="23"/>
  <c r="J31" i="23"/>
  <c r="BB156" i="23" s="1"/>
  <c r="J27" i="23"/>
  <c r="BB150" i="23" s="1"/>
  <c r="J11" i="23"/>
  <c r="BB142" i="23" s="1"/>
  <c r="J13" i="23"/>
  <c r="AC92" i="11"/>
  <c r="AC95" i="11" s="1"/>
  <c r="D27" i="23"/>
  <c r="AV37" i="23" s="1"/>
  <c r="D17" i="23"/>
  <c r="D39" i="23"/>
  <c r="BD31" i="23" s="1"/>
  <c r="D20" i="23"/>
  <c r="D35" i="23"/>
  <c r="AV43" i="23" s="1"/>
  <c r="D43" i="23"/>
  <c r="BF31" i="23" s="1"/>
  <c r="J12" i="23"/>
  <c r="O93" i="11"/>
  <c r="O95" i="11" s="1"/>
  <c r="W92" i="11"/>
  <c r="W95" i="11" s="1"/>
  <c r="J33" i="23"/>
  <c r="J29" i="23"/>
  <c r="J36" i="23"/>
  <c r="J32" i="23"/>
  <c r="P92" i="11"/>
  <c r="P95" i="11" s="1"/>
  <c r="J48" i="23"/>
  <c r="D40" i="23"/>
  <c r="D15" i="23"/>
  <c r="BB27" i="23" s="1"/>
  <c r="D11" i="23"/>
  <c r="AY11" i="23" s="1"/>
  <c r="D25" i="23"/>
  <c r="D19" i="23"/>
  <c r="AY30" i="23" s="1"/>
  <c r="D21" i="23"/>
  <c r="AO41" i="23"/>
  <c r="AO42" i="23" s="1"/>
  <c r="I95" i="11"/>
  <c r="D49" i="23"/>
  <c r="D16" i="23"/>
  <c r="J95" i="11"/>
  <c r="D51" i="23"/>
  <c r="D44" i="23"/>
  <c r="D36" i="23"/>
  <c r="D47" i="23"/>
  <c r="BH31" i="23" s="1"/>
  <c r="D29" i="23"/>
  <c r="J49" i="23"/>
  <c r="J37" i="23"/>
  <c r="T95" i="11"/>
  <c r="AI95" i="11"/>
  <c r="S93" i="11"/>
  <c r="S95" i="11" s="1"/>
  <c r="L93" i="11"/>
  <c r="L95" i="11" s="1"/>
  <c r="H51" i="23"/>
  <c r="F45" i="23"/>
  <c r="F29" i="23"/>
  <c r="F39" i="23"/>
  <c r="BD96" i="23" s="1"/>
  <c r="V93" i="11"/>
  <c r="V95" i="11" s="1"/>
  <c r="F47" i="23"/>
  <c r="BF96" i="23" s="1"/>
  <c r="AB93" i="11"/>
  <c r="AB95" i="11" s="1"/>
  <c r="AJ95" i="11"/>
  <c r="F41" i="23"/>
  <c r="L11" i="23"/>
  <c r="BH142" i="23" s="1"/>
  <c r="L35" i="23"/>
  <c r="BH162" i="23" s="1"/>
  <c r="F95" i="11"/>
  <c r="F21" i="23"/>
  <c r="F51" i="23"/>
  <c r="AO14" i="23"/>
  <c r="F16" i="23"/>
  <c r="AO23" i="23"/>
  <c r="F17" i="23"/>
  <c r="F28" i="23"/>
  <c r="E93" i="11"/>
  <c r="E95" i="11" s="1"/>
  <c r="F15" i="23"/>
  <c r="BB91" i="23" s="1"/>
  <c r="F27" i="23"/>
  <c r="AV101" i="23" s="1"/>
  <c r="F11" i="23"/>
  <c r="AY75" i="23" s="1"/>
  <c r="L51" i="23"/>
  <c r="F13" i="23"/>
  <c r="F12" i="23"/>
  <c r="F25" i="23"/>
  <c r="F40" i="23"/>
  <c r="AE92" i="11"/>
  <c r="AE95" i="11" s="1"/>
  <c r="F43" i="23"/>
  <c r="BH96" i="23" s="1"/>
  <c r="K93" i="11"/>
  <c r="K95" i="11" s="1"/>
  <c r="M92" i="11"/>
  <c r="M95" i="11" s="1"/>
  <c r="Y93" i="11"/>
  <c r="Y95" i="11" s="1"/>
  <c r="V37" i="23"/>
  <c r="V51" i="23"/>
  <c r="D95" i="11"/>
  <c r="C92" i="11" l="1"/>
  <c r="AO49" i="23"/>
  <c r="C93" i="11"/>
  <c r="C9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<sst xmlns="http://schemas.openxmlformats.org/spreadsheetml/2006/main" count="14980" uniqueCount="4054">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</sst>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5" fontId="0" fillId="7" borderId="6" xfId="0" applyNumberFormat="1" applyFont="1" applyFill="1" applyBorder="1" applyProtection="1">
      <protection locked="0"/>
    </xf>
    <xf numFmtId="179" fontId="0" fillId="10" borderId="0" xfId="0" applyNumberFormat="1" applyFont="1" applyFill="1" applyAlignment="1">
      <alignment horizontal="right"/>
    </xf>
    <xf numFmtId="178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72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2"/>
  <sheetViews>
    <sheetView topLeftCell="A141" zoomScaleNormal="100" workbookViewId="0">
      <selection activeCell="L6" sqref="L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19.4257812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7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7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7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7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7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7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7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7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7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  <c r="Q9" s="654" t="s">
        <v>3279</v>
      </c>
    </row>
    <row r="10" spans="1:17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7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7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7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7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7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7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1.0271107499999999E-5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1.0271107499999999E-5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71" priority="30" operator="equal">
      <formula>0</formula>
    </cfRule>
  </conditionalFormatting>
  <conditionalFormatting sqref="J1:J1048576">
    <cfRule type="expression" dxfId="170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0.11374484051334444</v>
      </c>
      <c r="AY8" s="75"/>
      <c r="AZ8" s="295">
        <f>output!AF12</f>
        <v>4.6193530064754703E-6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1.8845875353090144E-3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0.11878757915947745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12609.955331091067</v>
      </c>
      <c r="D11" s="117">
        <f>C11/$C$51</f>
        <v>1.0782347808788134E-3</v>
      </c>
      <c r="E11" s="517">
        <f>M.aC*Molweight</f>
        <v>6273.8040707468499</v>
      </c>
      <c r="F11" s="117">
        <f>E11/$E$51</f>
        <v>3.2514376442651328E-3</v>
      </c>
      <c r="G11" s="517">
        <f>M.aM*Molweight</f>
        <v>473.0160448611669</v>
      </c>
      <c r="H11" s="117">
        <f>G11/$G$51</f>
        <v>8.9681641080072898E-4</v>
      </c>
      <c r="I11" s="517">
        <f>M.aA*Molweight</f>
        <v>10.766237057923199</v>
      </c>
      <c r="J11" s="117">
        <f>I11/$I$51</f>
        <v>4.1213817707472304E-5</v>
      </c>
      <c r="K11" s="517">
        <f>M.aT*Molweight</f>
        <v>16.296535588063346</v>
      </c>
      <c r="L11" s="118">
        <f>K11/$K$51</f>
        <v>5.5271690671437126E-3</v>
      </c>
      <c r="M11" s="320">
        <f>C.aR*(Molweight*1000)</f>
        <v>5.4928585316422298E-8</v>
      </c>
      <c r="N11" s="320">
        <f>C.aC*(Molweight*1000)</f>
        <v>8.7145245278978364E-10</v>
      </c>
      <c r="O11" s="320">
        <f>C.aM*(Molweight*1000)</f>
        <v>6.0978322730319032E-12</v>
      </c>
      <c r="P11" s="320">
        <f>C.aA*(Molweight*1000)</f>
        <v>2.5332322489231053E-13</v>
      </c>
      <c r="Q11" s="321">
        <f>C.aT*(Molweight*1000)</f>
        <v>1.2781596539657529E-13</v>
      </c>
      <c r="R11" s="119" t="s">
        <v>1493</v>
      </c>
      <c r="S11" s="323">
        <f>F.aR</f>
        <v>5.8046888601110279E-7</v>
      </c>
      <c r="T11" s="323">
        <f>F.aC</f>
        <v>9.209249274644833E-9</v>
      </c>
      <c r="U11" s="323">
        <f>F.aM</f>
        <v>6.4440070433620395E-11</v>
      </c>
      <c r="V11" s="323">
        <f>F.aA</f>
        <v>2.4703951642649103E-12</v>
      </c>
      <c r="W11" s="324">
        <f>F.aT</f>
        <v>1.4123327848520372E-12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1.0782347808788134E-3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12308.235583640109</v>
      </c>
      <c r="D12" s="122">
        <f>C12/$C$51</f>
        <v>1.0524357421639438E-3</v>
      </c>
      <c r="E12" s="318">
        <f>FRgas.aC*E11</f>
        <v>6123.6900909522255</v>
      </c>
      <c r="F12" s="122">
        <f>E12/$E$51</f>
        <v>3.1736401486260005E-3</v>
      </c>
      <c r="G12" s="318">
        <f>FRgas.aM*G11</f>
        <v>461.69813945638913</v>
      </c>
      <c r="H12" s="122">
        <f>G12/$G$51</f>
        <v>8.7535818879501653E-4</v>
      </c>
      <c r="I12" s="318">
        <f>FRgas.aA*I11</f>
        <v>10.382585937606908</v>
      </c>
      <c r="J12" s="122">
        <f>I12/$I$51</f>
        <v>3.9745177619861866E-5</v>
      </c>
      <c r="K12" s="318">
        <f>FRgas.aT*K11</f>
        <v>15.911878493982988</v>
      </c>
      <c r="L12" s="123">
        <f>K12/$K$51</f>
        <v>5.3967079160377306E-3</v>
      </c>
      <c r="M12" s="320">
        <f>FRgas.aR*M11</f>
        <v>5.3614303191358236E-8</v>
      </c>
      <c r="N12" s="320">
        <f>FRgas.aC*N11</f>
        <v>8.5060111691526551E-10</v>
      </c>
      <c r="O12" s="320">
        <f>FRgas.aM*O11</f>
        <v>5.9519287892280241E-12</v>
      </c>
      <c r="P12" s="320">
        <f>FRgas.aA*P11</f>
        <v>2.4429613970839782E-13</v>
      </c>
      <c r="Q12" s="320">
        <f>FRgas.aT*Q11</f>
        <v>1.247990470116313E-13</v>
      </c>
      <c r="R12" s="120" t="s">
        <v>1493</v>
      </c>
      <c r="S12" s="325">
        <f>S11*FRgas.aR</f>
        <v>5.6657994500442161E-7</v>
      </c>
      <c r="T12" s="325">
        <f>T11*FRgas.aC</f>
        <v>8.988898584067222E-9</v>
      </c>
      <c r="U12" s="325">
        <f>U11*FRgas.aM</f>
        <v>6.2898205988707132E-11</v>
      </c>
      <c r="V12" s="325">
        <f>V11*FRgas.aA</f>
        <v>2.3823634901251804E-12</v>
      </c>
      <c r="W12" s="326">
        <f>W11*FRgas.aT</f>
        <v>1.3789966305534804E-12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1.8845875353090144E-3</v>
      </c>
      <c r="AE12" s="325">
        <f>k.aR.aC*M.aR*Molweight</f>
        <v>0.11878757915947745</v>
      </c>
      <c r="AF12" s="325">
        <f>kesc.aR*M.aR*Molweight</f>
        <v>4.6193530064754703E-6</v>
      </c>
      <c r="AG12" s="326">
        <f>KDEG.aR*M.aR*Molweight</f>
        <v>0.11374484051334444</v>
      </c>
      <c r="AH12" s="325">
        <f>SUM(AH13:AH15)</f>
        <v>4.1161332793380363E-3</v>
      </c>
      <c r="AI12" s="325">
        <f>SUM(AI13:AI15)</f>
        <v>1.3210540147790613E-4</v>
      </c>
      <c r="AJ12" s="325">
        <f>SUM(AJ18:AJ20)</f>
        <v>8.2644182963291998E-2</v>
      </c>
      <c r="AK12" s="325">
        <f>SUM(AK18:AK20)</f>
        <v>1.8274249402551004E-4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56239.208505445844</v>
      </c>
      <c r="BS12" s="425"/>
      <c r="BT12" s="425">
        <f>engine!F45</f>
        <v>9211474.8291876614</v>
      </c>
      <c r="BU12" s="425">
        <f>engine!G45</f>
        <v>460744.05506369798</v>
      </c>
      <c r="BV12" s="425">
        <f>engine!H45</f>
        <v>3323037.811916057</v>
      </c>
      <c r="BW12" s="425">
        <f>engine!I45</f>
        <v>42019.289277504162</v>
      </c>
      <c r="BX12" s="425">
        <f>engine!J45</f>
        <v>2133176.8727952088</v>
      </c>
      <c r="BY12" s="425">
        <f>engine!K45</f>
        <v>36044236.358297691</v>
      </c>
      <c r="BZ12" s="425">
        <f>engine!L45</f>
        <v>790009.43096319516</v>
      </c>
      <c r="CA12" s="425">
        <f>engine!M45</f>
        <v>27980.572967384043</v>
      </c>
      <c r="CB12" s="425">
        <f>engine!N45</f>
        <v>8999.602047787188</v>
      </c>
      <c r="CC12" s="425">
        <f>engine!O45</f>
        <v>54024.128685524171</v>
      </c>
      <c r="CD12" s="425">
        <f>engine!P45</f>
        <v>6547835.3041326189</v>
      </c>
      <c r="CE12" s="425">
        <f>engine!Q45</f>
        <v>19489.194261159108</v>
      </c>
      <c r="CF12" s="425">
        <f>engine!R45</f>
        <v>29857.724995254186</v>
      </c>
      <c r="CG12" s="425">
        <f>engine!S45</f>
        <v>515965.5681116315</v>
      </c>
      <c r="CH12" s="425">
        <f>engine!T45</f>
        <v>1210363.9044364139</v>
      </c>
      <c r="CI12" s="425">
        <f>engine!U45</f>
        <v>191084.36201640675</v>
      </c>
      <c r="CJ12" s="425">
        <f>engine!V45</f>
        <v>2109.6068364158723</v>
      </c>
      <c r="CK12" s="425">
        <f>engine!W45</f>
        <v>608160.35111903283</v>
      </c>
      <c r="CL12" s="611"/>
      <c r="CM12" s="425">
        <f>engine!Y45</f>
        <v>484.0990131382917</v>
      </c>
      <c r="CN12" s="425">
        <f>engine!Z45</f>
        <v>149121.97022193336</v>
      </c>
      <c r="CO12" s="425">
        <f>engine!AA45</f>
        <v>48.016399330671653</v>
      </c>
      <c r="CP12" s="425">
        <f>engine!AB45</f>
        <v>114975.34370744653</v>
      </c>
      <c r="CQ12" s="425"/>
      <c r="CR12" s="425">
        <f>engine!AD45</f>
        <v>366.51273687714291</v>
      </c>
      <c r="CS12" s="425">
        <f>engine!AE45</f>
        <v>11901.473701631227</v>
      </c>
      <c r="CT12" s="425">
        <f>engine!AF45</f>
        <v>72.68100788539536</v>
      </c>
      <c r="CU12" s="425">
        <f>engine!AG45</f>
        <v>1250.6546236101769</v>
      </c>
      <c r="CV12" s="425"/>
      <c r="CW12" s="425">
        <f>engine!AI45</f>
        <v>2.5468201003377882</v>
      </c>
      <c r="CX12" s="425">
        <f>engine!AJ45</f>
        <v>1265.6161111388569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301.71974745095685</v>
      </c>
      <c r="D13" s="122">
        <f>C13/$C$51</f>
        <v>2.5799038714869494E-5</v>
      </c>
      <c r="E13" s="318">
        <f>(1-FRgas.aC)*E11</f>
        <v>150.1139797946247</v>
      </c>
      <c r="F13" s="122">
        <f>E13/$E$51</f>
        <v>7.7797495639132263E-5</v>
      </c>
      <c r="G13" s="318">
        <f>(1-FRgas.aM)*G11</f>
        <v>11.317905404777763</v>
      </c>
      <c r="H13" s="122">
        <f>G13/$G$51</f>
        <v>2.1458222005712462E-5</v>
      </c>
      <c r="I13" s="318">
        <f>(1-FRgas.aA)*I11</f>
        <v>0.38365112031629117</v>
      </c>
      <c r="J13" s="122">
        <f>I13/$I$51</f>
        <v>1.4686400876104453E-6</v>
      </c>
      <c r="K13" s="318">
        <f>(1-FRgas.aT)*K11</f>
        <v>0.38465709408035775</v>
      </c>
      <c r="L13" s="123">
        <f>K13/$K$51</f>
        <v>1.3046115110598182E-4</v>
      </c>
      <c r="M13" s="320">
        <f>(1-FRgas.aR)*M11</f>
        <v>1.3142821250640626E-9</v>
      </c>
      <c r="N13" s="320">
        <f>(1-FRgas.aC)*N11</f>
        <v>2.0851335874518139E-11</v>
      </c>
      <c r="O13" s="320">
        <f>(1-FRgas.aM)*O11</f>
        <v>1.4590348380387875E-13</v>
      </c>
      <c r="P13" s="320">
        <f>(1-FRgas.aA)*P11</f>
        <v>9.0270851839127325E-15</v>
      </c>
      <c r="Q13" s="320">
        <f>(1-FRgas.aT)*Q11</f>
        <v>3.016918384943983E-15</v>
      </c>
      <c r="R13" s="120" t="s">
        <v>1493</v>
      </c>
      <c r="S13" s="325">
        <f>S11*(1-FRgas.aR)</f>
        <v>1.3888941006681142E-8</v>
      </c>
      <c r="T13" s="325">
        <f>T11*(1-FRgas.aC)</f>
        <v>2.2035069057761119E-10</v>
      </c>
      <c r="U13" s="325">
        <f>U11*(1-FRgas.aM)</f>
        <v>1.5418644449132668E-12</v>
      </c>
      <c r="V13" s="325">
        <f>V11*(1-FRgas.aA)</f>
        <v>8.8031674139730055E-14</v>
      </c>
      <c r="W13" s="326">
        <f>W11*(1-FRgas.aT)</f>
        <v>3.3336154298556922E-14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5.2490684085864291E-5</v>
      </c>
      <c r="AF13" s="330"/>
      <c r="AG13" s="326">
        <f>KDEG.w0R*M.w0R*Molweight</f>
        <v>1.9018299017307329E-3</v>
      </c>
      <c r="AH13" s="325">
        <f>k.aR.w0R*M.aR*Molweight</f>
        <v>2.9935490946350905E-4</v>
      </c>
      <c r="AI13" s="325">
        <f>k.w0R.aR*M.w0R*Molweight</f>
        <v>4.1459731829760793E-8</v>
      </c>
      <c r="AJ13" s="325"/>
      <c r="AK13" s="325"/>
      <c r="AL13" s="631">
        <f>SUM(AL18:AL20)*AREAFRAC.w0R/(AREAFRAC.w0R+AREAFRAC.w1R)</f>
        <v>1.6550071360849181E-3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5.2490684085864291E-5</v>
      </c>
      <c r="AE14" s="325">
        <f>(WATERflow.w1R.w0R+WATERflow.w1R.w2R)*C.w1R*Molweight</f>
        <v>0.15003920925075964</v>
      </c>
      <c r="AF14" s="330"/>
      <c r="AG14" s="326">
        <f>KDEG.w1R*M.w1R*Molweight</f>
        <v>0.17912872755703019</v>
      </c>
      <c r="AH14" s="325">
        <f>k.aR.w1R*M.aR*Molweight</f>
        <v>3.2929040040985996E-3</v>
      </c>
      <c r="AI14" s="325">
        <f>k.w1R.aR*M.w1R*Molweight</f>
        <v>1.3016637293661673E-4</v>
      </c>
      <c r="AJ14" s="325"/>
      <c r="AK14" s="325"/>
      <c r="AL14" s="631">
        <f>SUM(AL18:AL20)*AREAFRAC.w1R/(AREAFRAC.w0R+AREAFRAC.w1R)</f>
        <v>1.8205078496934101E-2</v>
      </c>
      <c r="AM14" s="325">
        <f>k.w1R.sd1R*M.w1R*Molweight</f>
        <v>5.4592709147720651E-2</v>
      </c>
      <c r="AN14" s="326">
        <f>k.sd1R.w1R*M.sd1R*Molweight</f>
        <v>4.5242419305682624E-2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21896.113932960536</v>
      </c>
      <c r="D15" s="122">
        <f>C15/$C$51</f>
        <v>1.8722629056736296E-3</v>
      </c>
      <c r="E15" s="318">
        <f>M.w0C*Molweight</f>
        <v>2017.8907711548434</v>
      </c>
      <c r="F15" s="122">
        <f>E15/$E$51</f>
        <v>1.0457843345699209E-3</v>
      </c>
      <c r="G15" s="318"/>
      <c r="H15" s="122"/>
      <c r="I15" s="318"/>
      <c r="J15" s="122"/>
      <c r="K15" s="318"/>
      <c r="L15" s="123"/>
      <c r="M15" s="320">
        <f>C.w0R*Molweight</f>
        <v>3.8318438872923894E-7</v>
      </c>
      <c r="N15" s="320">
        <f>C.w0C*Molweight</f>
        <v>2.3155288494650853E-9</v>
      </c>
      <c r="O15" s="320"/>
      <c r="P15" s="320"/>
      <c r="Q15" s="320"/>
      <c r="R15" s="120" t="s">
        <v>1489</v>
      </c>
      <c r="S15" s="325">
        <f>F.w0R</f>
        <v>1.9906202823374696E-10</v>
      </c>
      <c r="T15" s="325">
        <f>F.w0C</f>
        <v>1.2029035700981387E-12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0.15006358096807329</v>
      </c>
      <c r="AE15" s="325">
        <f>k.w2R.w2C*M.w2R*Molweight</f>
        <v>0.141516967604359</v>
      </c>
      <c r="AF15" s="330"/>
      <c r="AG15" s="326">
        <f>KDEG.w2R*M.w2R*Molweight</f>
        <v>8.9690220467419594E-3</v>
      </c>
      <c r="AH15" s="325">
        <f>k.aR.w2R*M.aR*Molweight</f>
        <v>5.2387436577592747E-4</v>
      </c>
      <c r="AI15" s="325">
        <f>k.w2R.aR*M.w2R*Molweight</f>
        <v>1.8975688094596609E-6</v>
      </c>
      <c r="AJ15" s="325"/>
      <c r="AK15" s="325"/>
      <c r="AL15" s="631"/>
      <c r="AM15" s="325">
        <f>k.w2R.sd2R*M.w2R*Molweight</f>
        <v>5.1101930555962061E-4</v>
      </c>
      <c r="AN15" s="326">
        <f>k.sd2R.w2R*M.sd2R*Molweight</f>
        <v>4.1145119162087343E-4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21889.216405357005</v>
      </c>
      <c r="D16" s="122">
        <f>C16/$C$51</f>
        <v>1.8716731213350712E-3</v>
      </c>
      <c r="E16" s="318">
        <f>FRw.w0C*E15</f>
        <v>2017.255112364541</v>
      </c>
      <c r="F16" s="122">
        <f>E16/$E$51</f>
        <v>1.0454549004823418E-3</v>
      </c>
      <c r="G16" s="318"/>
      <c r="H16" s="122"/>
      <c r="I16" s="318"/>
      <c r="J16" s="122"/>
      <c r="K16" s="318"/>
      <c r="L16" s="123"/>
      <c r="M16" s="320">
        <f>M15*FRw.w0R</f>
        <v>3.8306368124175533E-7</v>
      </c>
      <c r="N16" s="320">
        <f>N15*FRw.w0C</f>
        <v>2.3147994312585094E-9</v>
      </c>
      <c r="O16" s="320"/>
      <c r="P16" s="320"/>
      <c r="Q16" s="320"/>
      <c r="R16" s="120" t="s">
        <v>1489</v>
      </c>
      <c r="S16" s="325">
        <f>S15*FRw.w0R</f>
        <v>1.9899932140646422E-10</v>
      </c>
      <c r="T16" s="325">
        <f>T15*FRw.w0C</f>
        <v>1.2025246416451475E-12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2.1573143877695136E-3</v>
      </c>
      <c r="AG16" s="326">
        <f>KDEG.sd1R*M.sd1R*Molweight</f>
        <v>7.1929754542685029E-3</v>
      </c>
      <c r="AH16" s="325"/>
      <c r="AI16" s="325"/>
      <c r="AJ16" s="325"/>
      <c r="AK16" s="325"/>
      <c r="AL16" s="631"/>
      <c r="AM16" s="325">
        <f>k.w1R.sd1R*M.w1R*Molweight</f>
        <v>5.4592709147720651E-2</v>
      </c>
      <c r="AN16" s="326">
        <f>k.sd1R.w1R*M.sd1R*Molweight</f>
        <v>4.5242419305682624E-2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6.8975276035306408</v>
      </c>
      <c r="D17" s="122">
        <f>C17/$C$51</f>
        <v>5.8978433855839312E-7</v>
      </c>
      <c r="E17" s="318">
        <f>(1-FRw.w0C)*E15</f>
        <v>0.63565879030244765</v>
      </c>
      <c r="F17" s="122">
        <f>E17/$E$51</f>
        <v>3.2943408757924068E-7</v>
      </c>
      <c r="G17" s="318"/>
      <c r="H17" s="122"/>
      <c r="I17" s="318"/>
      <c r="J17" s="122"/>
      <c r="K17" s="318"/>
      <c r="L17" s="123"/>
      <c r="M17" s="320">
        <f>M16*Kp.susp1R</f>
        <v>3.9149232957783402E-5</v>
      </c>
      <c r="N17" s="320">
        <f>N16*Kp.susp1C</f>
        <v>2.3657325562976321E-7</v>
      </c>
      <c r="O17" s="320"/>
      <c r="P17" s="320"/>
      <c r="Q17" s="320"/>
      <c r="R17" s="120" t="s">
        <v>1494</v>
      </c>
      <c r="S17" s="325">
        <f>S15*(1-FRw.w0R)</f>
        <v>6.2706827282726867E-14</v>
      </c>
      <c r="T17" s="325">
        <f>T15*(1-FRw.w0C)</f>
        <v>3.7892845299127635E-16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8.6140732428872166E-6</v>
      </c>
      <c r="AG17" s="326">
        <f>KDEG.sd2R*M.sd2R*Molweight</f>
        <v>9.0954040695860144E-5</v>
      </c>
      <c r="AH17" s="325"/>
      <c r="AI17" s="325"/>
      <c r="AJ17" s="325"/>
      <c r="AK17" s="325"/>
      <c r="AL17" s="631"/>
      <c r="AM17" s="325">
        <f>k.w2R.sd2R*M.w2R*Molweight</f>
        <v>5.1101930555962061E-4</v>
      </c>
      <c r="AN17" s="326">
        <f>k.sd2R.w2R*M.sd2R*Molweight</f>
        <v>4.1145119162087343E-4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1.4683054923522227E-5</v>
      </c>
      <c r="AG18" s="326">
        <f>KDEG.s1R*M.s1R*Molweight</f>
        <v>2.0778427418952135E-2</v>
      </c>
      <c r="AH18" s="325"/>
      <c r="AI18" s="325"/>
      <c r="AJ18" s="325">
        <f>k.aR.s1R*M.aR*Molweight</f>
        <v>2.300405092792664E-2</v>
      </c>
      <c r="AK18" s="325">
        <f>k.s1R.aR*M.s1R*Molweight</f>
        <v>2.0217970585889894E-5</v>
      </c>
      <c r="AL18" s="631">
        <f>(k.s1R.w1R+k.s1R.w0R)*M.s1R*Molweight</f>
        <v>2.1907224834650796E-3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2065396.8862004576</v>
      </c>
      <c r="D19" s="122">
        <f>C19/$C$51</f>
        <v>0.17660512670725265</v>
      </c>
      <c r="E19" s="318">
        <f>M.w1C*Molweight</f>
        <v>12113.29013386823</v>
      </c>
      <c r="F19" s="122">
        <f>E19/$E$51</f>
        <v>6.2777873030510538E-3</v>
      </c>
      <c r="G19" s="318"/>
      <c r="H19" s="122"/>
      <c r="I19" s="318"/>
      <c r="J19" s="122"/>
      <c r="K19" s="318"/>
      <c r="L19" s="123"/>
      <c r="M19" s="320">
        <f>C.w1R*Molweight</f>
        <v>1.0952930731122526E-4</v>
      </c>
      <c r="N19" s="320">
        <f>C.w1C*Molweight</f>
        <v>4.2121198677622262E-8</v>
      </c>
      <c r="O19" s="320"/>
      <c r="P19" s="320"/>
      <c r="Q19" s="320"/>
      <c r="R19" s="120" t="s">
        <v>1489</v>
      </c>
      <c r="S19" s="325">
        <f>F.w1R</f>
        <v>5.6899828661381422E-8</v>
      </c>
      <c r="T19" s="325">
        <f>F.w1C</f>
        <v>2.1881714096470728E-11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1.1298530985847287E-4</v>
      </c>
      <c r="AG19" s="326">
        <f>KDEG.s2R*M.s2R*Molweight</f>
        <v>0.35109256930067279</v>
      </c>
      <c r="AH19" s="325"/>
      <c r="AI19" s="325"/>
      <c r="AJ19" s="325">
        <f>k.aR.s2R*M.aR*Molweight</f>
        <v>5.1120113173170299E-2</v>
      </c>
      <c r="AK19" s="325">
        <f>k.s2R.aR*M.s2R*Molweight</f>
        <v>1.5505621139149875E-4</v>
      </c>
      <c r="AL19" s="631">
        <f>(k.s2R.w1R+k.s2R.w0R)*M.s2R*Molweight</f>
        <v>1.6857422188893495E-2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2061691.9937707533</v>
      </c>
      <c r="D20" s="122">
        <f>C20/$C$51</f>
        <v>0.17628833384223178</v>
      </c>
      <c r="E20" s="318">
        <f>FRw.w1C*E19</f>
        <v>12091.561410824426</v>
      </c>
      <c r="F20" s="122">
        <f>E20/$E$51</f>
        <v>6.2665262583531719E-3</v>
      </c>
      <c r="G20" s="318"/>
      <c r="H20" s="122"/>
      <c r="I20" s="318"/>
      <c r="J20" s="122"/>
      <c r="K20" s="318"/>
      <c r="L20" s="123"/>
      <c r="M20" s="320">
        <f>M19*FRw.w1R</f>
        <v>1.0933283451502837E-4</v>
      </c>
      <c r="N20" s="320">
        <f>N19*FRw.w1C</f>
        <v>4.204564200802842E-8</v>
      </c>
      <c r="O20" s="320"/>
      <c r="P20" s="320"/>
      <c r="Q20" s="320"/>
      <c r="R20" s="120" t="s">
        <v>1489</v>
      </c>
      <c r="S20" s="325">
        <f>S19*FRw.w1R</f>
        <v>5.6797762203419999E-8</v>
      </c>
      <c r="T20" s="325">
        <f>T19*FRw.w1C</f>
        <v>2.1842462852583114E-11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5.4419590373341605E-6</v>
      </c>
      <c r="AG20" s="326">
        <f>KDEG.s3R*M.s3R*Molweight</f>
        <v>7.6951676304491479E-3</v>
      </c>
      <c r="AH20" s="325"/>
      <c r="AI20" s="325"/>
      <c r="AJ20" s="325">
        <f>k.aR.s3R*M.aR*Molweight</f>
        <v>8.5200188621950505E-3</v>
      </c>
      <c r="AK20" s="325">
        <f>k.s3R.aR*M.s3R*Molweight</f>
        <v>7.4683120481213999E-6</v>
      </c>
      <c r="AL20" s="631">
        <f>(k.s3R.w1R+k.s3R.w0R)*M.s3R*Molweight</f>
        <v>8.1194096066044381E-4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2.0217970585889894E-5</v>
      </c>
      <c r="BE20" s="2"/>
      <c r="BF20" s="296">
        <f>IF(output!AK20&lt;0,"",output!AK20)</f>
        <v>7.4683120481213999E-6</v>
      </c>
      <c r="BG20" s="75"/>
      <c r="BH20" s="296">
        <f>IF(output!AK19&lt;0,"",output!AK19)</f>
        <v>1.5505621139149875E-4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3704.8924297044109</v>
      </c>
      <c r="D21" s="122">
        <f>C21/$C$51</f>
        <v>3.1679286502089995E-4</v>
      </c>
      <c r="E21" s="318">
        <f>(1-FRw.w1C)*E19</f>
        <v>21.728723043802365</v>
      </c>
      <c r="F21" s="122">
        <f>E21/$E$51</f>
        <v>1.1261044697881353E-5</v>
      </c>
      <c r="G21" s="318"/>
      <c r="H21" s="122"/>
      <c r="I21" s="318"/>
      <c r="J21" s="122"/>
      <c r="K21" s="318"/>
      <c r="L21" s="123"/>
      <c r="M21" s="320">
        <f>M20*Kp.susp1R</f>
        <v>1.1173851288873009E-2</v>
      </c>
      <c r="N21" s="320">
        <f>N20*Kp.susp1C</f>
        <v>4.2970783043068682E-6</v>
      </c>
      <c r="O21" s="320"/>
      <c r="P21" s="320"/>
      <c r="Q21" s="320"/>
      <c r="R21" s="120" t="s">
        <v>1494</v>
      </c>
      <c r="S21" s="325">
        <f>S19*(1-FRw.w1R)</f>
        <v>1.0206645796142161E-10</v>
      </c>
      <c r="T21" s="325">
        <f>T19*(1-FRw.w1C)</f>
        <v>3.9251243887613032E-14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1.8975688094596609E-6</v>
      </c>
      <c r="AV21" s="75"/>
      <c r="AW21" s="75"/>
      <c r="AX21" s="288">
        <f>IF(output!AI14&lt;0,"",output!AI14)</f>
        <v>1.3016637293661673E-4</v>
      </c>
      <c r="AY21" s="75"/>
      <c r="AZ21" s="75"/>
      <c r="BA21" s="296">
        <f>IF(output!AI13&lt;0,"",output!AI13)</f>
        <v>4.1459731829760793E-8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0.11884823931645108</v>
      </c>
      <c r="AE22" s="325">
        <f>(k.aC.aM+k.aC.aR)*M.aC*Molweight</f>
        <v>1.0553642408313038E-2</v>
      </c>
      <c r="AF22" s="325">
        <f>kesc.aC*M.aC*Molweight</f>
        <v>2.2982568086333542E-6</v>
      </c>
      <c r="AG22" s="326">
        <f>KDEG.aC*M.aC*Molweight</f>
        <v>5.6591226907805922E-2</v>
      </c>
      <c r="AH22" s="325">
        <f>SUM(AH23:AH25)</f>
        <v>3.1725414948088351E-2</v>
      </c>
      <c r="AI22" s="325">
        <f>SUM(AI23:AI25)</f>
        <v>2.1155890709951266E-6</v>
      </c>
      <c r="AJ22" s="325">
        <f>SUM(AJ28:AJ30)</f>
        <v>1.9989693943147424E-2</v>
      </c>
      <c r="AK22" s="325">
        <f>SUM(AK28:AK30)</f>
        <v>1.1921558641251598E-5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2.300405092792664E-2</v>
      </c>
      <c r="BE22" s="2"/>
      <c r="BF22" s="296">
        <f>IF(output!AJ20&lt;0,"",output!AJ20)</f>
        <v>8.5200188621950505E-3</v>
      </c>
      <c r="BG22" s="75"/>
      <c r="BH22" s="296">
        <f>IF(output!AJ19&lt;0,"",output!AJ19)</f>
        <v>5.1120113173170299E-2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745091.53818781837</v>
      </c>
      <c r="D23" s="122">
        <f>C23/$C$51</f>
        <v>6.3710266239546481E-2</v>
      </c>
      <c r="E23" s="318">
        <f>M.sd1C*Molweight</f>
        <v>4369.8671372370954</v>
      </c>
      <c r="F23" s="122">
        <f>E23/$E$51</f>
        <v>2.2647105887000393E-3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3.0394366930496862E-3</v>
      </c>
      <c r="N23" s="320">
        <f>C.sd1C*(Molweight*1000)/(FRACw.sdC*1000+FRACs.sdC*RHOsolid)</f>
        <v>1.1688626538303713E-6</v>
      </c>
      <c r="O23" s="320"/>
      <c r="P23" s="320"/>
      <c r="Q23" s="320"/>
      <c r="R23" s="120" t="s">
        <v>1495</v>
      </c>
      <c r="S23" s="325">
        <f>F.sd1R</f>
        <v>7.7724328307538949E-8</v>
      </c>
      <c r="T23" s="325">
        <f>F.sd1C</f>
        <v>2.9890099326785971E-11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4.8374093829054469E-6</v>
      </c>
      <c r="AF23" s="330"/>
      <c r="AG23" s="326">
        <f>KDEG.w0C*M.w0C*Molweight</f>
        <v>1.7526785888850559E-4</v>
      </c>
      <c r="AH23" s="325">
        <f>k.aC.w0C*M.aC*Molweight</f>
        <v>7.2413664963030954E-5</v>
      </c>
      <c r="AI23" s="325">
        <f>k.w0C.aC*M.w0C*Molweight</f>
        <v>3.8208245759943992E-9</v>
      </c>
      <c r="AJ23" s="325"/>
      <c r="AK23" s="325"/>
      <c r="AL23" s="631">
        <f>SUM(AL28:AL30)*AREAFRAC.w0C/(AREAFRAC.w1C+AREAFRAC.w0C)</f>
        <v>1.0769542413295611E-4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5.2387436577592747E-4</v>
      </c>
      <c r="AV23" s="75"/>
      <c r="AW23" s="75"/>
      <c r="AX23" s="288">
        <f>IF(output!AH14&lt;0,"",output!AH14)</f>
        <v>3.2929040040985996E-3</v>
      </c>
      <c r="AY23" s="291">
        <f>output!AL14</f>
        <v>1.8205078496934101E-2</v>
      </c>
      <c r="AZ23" s="87"/>
      <c r="BA23" s="296">
        <f>IF(output!AH13&lt;0,"",output!AH13)</f>
        <v>2.9935490946350905E-4</v>
      </c>
      <c r="BB23" s="291">
        <f>output!AL13</f>
        <v>1.6550071360849181E-3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596073.2305502547</v>
      </c>
      <c r="D24" s="122">
        <f>C24/$C$51</f>
        <v>5.0968212991637188E-2</v>
      </c>
      <c r="E24" s="318">
        <f>E23*FRACw.sdC</f>
        <v>3495.8937097896764</v>
      </c>
      <c r="F24" s="122">
        <f>E24/$E$51</f>
        <v>1.8117684709600314E-3</v>
      </c>
      <c r="G24" s="318"/>
      <c r="H24" s="122"/>
      <c r="I24" s="318"/>
      <c r="J24" s="122"/>
      <c r="K24" s="318"/>
      <c r="L24" s="123"/>
      <c r="M24" s="320">
        <f>M25/Kp.sd1R</f>
        <v>1.4961542136475594E-4</v>
      </c>
      <c r="N24" s="320">
        <f>N25/Kp.sd1C</f>
        <v>5.7536937311528028E-8</v>
      </c>
      <c r="O24" s="320"/>
      <c r="P24" s="320"/>
      <c r="Q24" s="320"/>
      <c r="R24" s="120" t="s">
        <v>1489</v>
      </c>
      <c r="S24" s="325">
        <f>S23*FRACw.sdR</f>
        <v>6.2179462646031167E-8</v>
      </c>
      <c r="T24" s="325">
        <f>T23*FRACw.sdC</f>
        <v>2.3912079461428778E-11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4.8374093829054469E-6</v>
      </c>
      <c r="AE24" s="325">
        <f>(k.w1C.w0C+k.w1C.w1R+k.w1C.w2C)*M.w1C*Molweight</f>
        <v>8.7996088560686611E-4</v>
      </c>
      <c r="AF24" s="330"/>
      <c r="AG24" s="326">
        <f>KDEG.w1C*M.w1C*Molweight</f>
        <v>1.0505672119030926E-3</v>
      </c>
      <c r="AH24" s="325">
        <f>k.aC.w1C*M.aC*Molweight</f>
        <v>7.9655031459334045E-4</v>
      </c>
      <c r="AI24" s="325">
        <f>k.w1C.aC*M.w1C*Molweight</f>
        <v>7.6340922734474419E-7</v>
      </c>
      <c r="AJ24" s="518"/>
      <c r="AK24" s="518"/>
      <c r="AL24" s="631">
        <f>SUM(AL28:AL30)*AREAFRAC.w1C/(AREAFRAC.w1C+AREAFRAC.w0C)</f>
        <v>1.184649665462517E-3</v>
      </c>
      <c r="AM24" s="325">
        <f>k.w1C.sd1C*M.w1C*Molweight</f>
        <v>3.2017929799282174E-4</v>
      </c>
      <c r="AN24" s="326">
        <f>k.sd1C.w1C*M.sd1C*Molweight</f>
        <v>2.6543341529136275E-4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5.2490684085864291E-5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149018.30763756364</v>
      </c>
      <c r="D25" s="122">
        <f>C25/$C$51</f>
        <v>1.2742053247909295E-2</v>
      </c>
      <c r="E25" s="318">
        <f>E23*FRACs.sdC</f>
        <v>873.97342744741889</v>
      </c>
      <c r="F25" s="122">
        <f>E25/$E$51</f>
        <v>4.5294211774000775E-4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7.6631507277455753E-3</v>
      </c>
      <c r="N25" s="320">
        <f>C.sd1C*FRACs.sdC/(FRACw.sdC/(Kp.sd1C*RHOsolid/1000)+FRACs.sdC)*(Molweight*1000)/(FRACs.sdC*RHOsolid)</f>
        <v>2.9469838002605207E-6</v>
      </c>
      <c r="O25" s="320"/>
      <c r="P25" s="320"/>
      <c r="Q25" s="320"/>
      <c r="R25" s="120" t="s">
        <v>1494</v>
      </c>
      <c r="S25" s="325">
        <f>S23*(1-FRACw.sdR)</f>
        <v>1.5544865661507785E-8</v>
      </c>
      <c r="T25" s="325">
        <f>T23*(1-FRACw.sdC)</f>
        <v>5.9780198653571928E-12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0.14322442400745256</v>
      </c>
      <c r="AE25" s="325">
        <f>(k.w2C.w2M+k.w2C.w2R)*M.w2C*Molweight</f>
        <v>4.65522017185169E-2</v>
      </c>
      <c r="AF25" s="330"/>
      <c r="AG25" s="326">
        <f>KDEG.w2C*M.w2C*Molweight</f>
        <v>0.12746269551558662</v>
      </c>
      <c r="AH25" s="325">
        <f>k.aC.w2C*M.aC*Molweight</f>
        <v>3.0856450968531981E-2</v>
      </c>
      <c r="AI25" s="325">
        <f>k.w2C.aC*M.w2C*Molweight</f>
        <v>1.3483590190743879E-6</v>
      </c>
      <c r="AJ25" s="325"/>
      <c r="AK25" s="325"/>
      <c r="AL25" s="631"/>
      <c r="AM25" s="325">
        <f>k.w2C.sd2C*M.w2C*Molweight</f>
        <v>3.6311594401082655E-4</v>
      </c>
      <c r="AN25" s="326">
        <f>k.sd2C.w2C*M.sd2C*Molweight</f>
        <v>2.9848656114884553E-4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0.15003920925075964</v>
      </c>
      <c r="AT25" s="75"/>
      <c r="AU25" s="75"/>
      <c r="AV25" s="87"/>
      <c r="AW25" s="75"/>
      <c r="AX25" s="289">
        <f>output!AD14</f>
        <v>5.2490684085864291E-5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1.2559996208895254E-5</v>
      </c>
      <c r="AG26" s="326">
        <f>KDEG.sd1C*M.sd1C*Molweight</f>
        <v>4.21858864925637E-5</v>
      </c>
      <c r="AH26" s="325"/>
      <c r="AI26" s="325"/>
      <c r="AJ26" s="325"/>
      <c r="AK26" s="325"/>
      <c r="AL26" s="631"/>
      <c r="AM26" s="325">
        <f>k.w1C.sd1C*M.w1C*Molweight</f>
        <v>3.2017929799282174E-4</v>
      </c>
      <c r="AN26" s="326">
        <f>k.sd1C.w1C*M.sd1C*Molweight</f>
        <v>2.6543341529136275E-4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0.141516967604359</v>
      </c>
      <c r="AT26" s="75"/>
      <c r="AU26" s="285">
        <f>output!AD15</f>
        <v>0.15006358096807329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103308.03202638237</v>
      </c>
      <c r="D27" s="122">
        <f>C27/$C$51</f>
        <v>8.8335216382840163E-3</v>
      </c>
      <c r="E27" s="318">
        <f>M.w2C*Molweight</f>
        <v>1468155.6318926159</v>
      </c>
      <c r="F27" s="122">
        <f>E27/$E$51</f>
        <v>0.76088070895195337</v>
      </c>
      <c r="G27" s="318">
        <f>M.w2M*Molweight</f>
        <v>136361.71392790953</v>
      </c>
      <c r="H27" s="122">
        <f>G27/$G$51</f>
        <v>0.25853546446052772</v>
      </c>
      <c r="I27" s="318">
        <f>M.w2A*Molweight</f>
        <v>25779.771566083662</v>
      </c>
      <c r="J27" s="122">
        <f>I27/$I$51</f>
        <v>9.8686551313017651E-2</v>
      </c>
      <c r="K27" s="318">
        <f>M.w2T*Molweight</f>
        <v>280.42177970587386</v>
      </c>
      <c r="L27" s="123">
        <f>K27/$K$51</f>
        <v>9.5108471255631252E-2</v>
      </c>
      <c r="M27" s="320">
        <f>C.w2R*Molweight</f>
        <v>1.0330803202638226E-5</v>
      </c>
      <c r="N27" s="320">
        <f>C.w2C*Molweight</f>
        <v>1.9768294261778472E-9</v>
      </c>
      <c r="O27" s="320">
        <f>C.w2M*Molweight</f>
        <v>3.5157828958618272E-11</v>
      </c>
      <c r="P27" s="320">
        <f>C.w2A*Molweight</f>
        <v>1.0109714339640653E-11</v>
      </c>
      <c r="Q27" s="320">
        <f>C.w2T*Molweight</f>
        <v>3.1419807249957864E-14</v>
      </c>
      <c r="R27" s="120" t="s">
        <v>1489</v>
      </c>
      <c r="S27" s="325">
        <f>F.w2R</f>
        <v>5.3667912871418461E-9</v>
      </c>
      <c r="T27" s="325">
        <f>F.w2C</f>
        <v>1.0269512188430381E-12</v>
      </c>
      <c r="U27" s="325">
        <f>F.w2M</f>
        <v>1.8264284628106222E-14</v>
      </c>
      <c r="V27" s="325">
        <f>F.w2A</f>
        <v>1.5351110555871298E-16</v>
      </c>
      <c r="W27" s="326">
        <f>F.w2T</f>
        <v>1.0300768178195306E-16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6.4629382861981018E-5</v>
      </c>
      <c r="AH27" s="325"/>
      <c r="AI27" s="325"/>
      <c r="AJ27" s="325"/>
      <c r="AK27" s="325"/>
      <c r="AL27" s="631"/>
      <c r="AM27" s="325">
        <f>k.w2C.sd2C*M.w2C*Molweight</f>
        <v>3.6311594401082655E-4</v>
      </c>
      <c r="AN27" s="326">
        <f>k.sd2C.w2C*M.sd2C*Molweight</f>
        <v>2.9848656114884553E-4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1.9018299017307329E-3</v>
      </c>
      <c r="BB27" s="264">
        <f>IF(ISERROR(output!D15),0,output!D15)</f>
        <v>1.8722629056736296E-3</v>
      </c>
      <c r="BC27" s="86"/>
      <c r="BD27" s="295">
        <f>output!AG18</f>
        <v>2.0778427418952135E-2</v>
      </c>
      <c r="BE27" s="75"/>
      <c r="BF27" s="295">
        <f>output!AG19</f>
        <v>0.35109256930067279</v>
      </c>
      <c r="BG27" s="75"/>
      <c r="BH27" s="256">
        <f>output!AG20</f>
        <v>7.6951676304491479E-3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103229.45514048873</v>
      </c>
      <c r="D28" s="122">
        <f>C28/$C$51</f>
        <v>8.826802793599868E-3</v>
      </c>
      <c r="E28" s="318">
        <f>FRw.w2C*E27</f>
        <v>1467038.9413962578</v>
      </c>
      <c r="F28" s="122">
        <f>E28/$E$51</f>
        <v>0.76030197721664439</v>
      </c>
      <c r="G28" s="318">
        <f>FRw.w2M*G27</f>
        <v>136257.99615664428</v>
      </c>
      <c r="H28" s="122">
        <f>G28/$G$51</f>
        <v>0.25833882039237638</v>
      </c>
      <c r="I28" s="318">
        <f>FRw.w2A*I27</f>
        <v>25760.163273011203</v>
      </c>
      <c r="J28" s="122">
        <f>I28/$I$51</f>
        <v>9.8611489560996468E-2</v>
      </c>
      <c r="K28" s="318">
        <f>FRw.w2T*K27</f>
        <v>280.20848873755483</v>
      </c>
      <c r="L28" s="123">
        <f>K28/$K$51</f>
        <v>9.5036131018896672E-2</v>
      </c>
      <c r="M28" s="320">
        <f>M27*FRw.w2R</f>
        <v>1.0322945514048862E-5</v>
      </c>
      <c r="N28" s="320">
        <f>N27*FRw.w2C</f>
        <v>1.9753258344705508E-9</v>
      </c>
      <c r="O28" s="320">
        <f>O27*FRw.w2M</f>
        <v>3.5131087642767403E-11</v>
      </c>
      <c r="P28" s="320">
        <f>P27*FRw.w2A</f>
        <v>1.0102024812945571E-11</v>
      </c>
      <c r="Q28" s="320">
        <f>Q27*FRw.w2T</f>
        <v>3.1395909102247047E-14</v>
      </c>
      <c r="R28" s="120" t="s">
        <v>1489</v>
      </c>
      <c r="S28" s="325">
        <f>S27*FRw.w2R</f>
        <v>5.3627092642989656E-9</v>
      </c>
      <c r="T28" s="325">
        <f>T27*FRw.w2C</f>
        <v>1.0261701118259113E-12</v>
      </c>
      <c r="U28" s="325">
        <f>U27*FRw.w2M</f>
        <v>1.8250392672359885E-14</v>
      </c>
      <c r="V28" s="325">
        <f>V27*FRw.w2A</f>
        <v>1.5339434382791345E-16</v>
      </c>
      <c r="W28" s="326">
        <f>W27*FRw.w2T</f>
        <v>1.0292933334477171E-16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3.5514873950898803E-6</v>
      </c>
      <c r="AG28" s="326">
        <f>KDEG.s1C*M.s1C*Molweight</f>
        <v>5.0258153669356714E-3</v>
      </c>
      <c r="AH28" s="325"/>
      <c r="AI28" s="325"/>
      <c r="AJ28" s="325">
        <f>k.aC.s1C*M.aC*Molweight</f>
        <v>5.5641416130410371E-3</v>
      </c>
      <c r="AK28" s="325">
        <f>k.s1C.aC*M.s1C*Molweight</f>
        <v>4.890253973991221E-6</v>
      </c>
      <c r="AL28" s="631">
        <f>(k.s1C.w1C+k.s1C.w0C)*M.s1C*Molweight</f>
        <v>5.2988450473628391E-4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78.576885893637709</v>
      </c>
      <c r="D29" s="122">
        <f>C29/$C$51</f>
        <v>6.718844684149668E-6</v>
      </c>
      <c r="E29" s="318">
        <f>(1-FRw.w2C)*E27</f>
        <v>1116.6904963581799</v>
      </c>
      <c r="F29" s="122">
        <f>E29/$E$51</f>
        <v>5.7873173530901742E-4</v>
      </c>
      <c r="G29" s="318">
        <f>(1-FRw.w2M)*G27</f>
        <v>103.71777126523807</v>
      </c>
      <c r="H29" s="122">
        <f>G29/$G$51</f>
        <v>1.966440681513087E-4</v>
      </c>
      <c r="I29" s="318">
        <f>(1-FRw.w2A)*I27</f>
        <v>19.608293072458189</v>
      </c>
      <c r="J29" s="122">
        <f>I29/$I$51</f>
        <v>7.5061752021172024E-5</v>
      </c>
      <c r="K29" s="318">
        <f>(1-FRw.w2T)*K27</f>
        <v>0.21329096831901842</v>
      </c>
      <c r="L29" s="123">
        <f>K29/$K$51</f>
        <v>7.2340236734579871E-5</v>
      </c>
      <c r="M29" s="320">
        <f>M28*Kp.susp2R</f>
        <v>1.0264643171911849E-3</v>
      </c>
      <c r="N29" s="320">
        <f>N28*Kp.susp2C</f>
        <v>1.9641695106793764E-7</v>
      </c>
      <c r="O29" s="320">
        <f>O28*Kp.susp2M</f>
        <v>3.4932672889090121E-9</v>
      </c>
      <c r="P29" s="320">
        <f>P28*Kp.susp2A</f>
        <v>1.0044970195528536E-9</v>
      </c>
      <c r="Q29" s="320">
        <f>Q28*Kp.susp2T</f>
        <v>3.1218590038449742E-12</v>
      </c>
      <c r="R29" s="120" t="s">
        <v>1494</v>
      </c>
      <c r="S29" s="325">
        <f>S27*(1-FRw.w2R)</f>
        <v>4.0820228428804113E-12</v>
      </c>
      <c r="T29" s="325">
        <f>T27*(1-FRw.w2C)</f>
        <v>7.811070171267431E-16</v>
      </c>
      <c r="U29" s="325">
        <f>U27*(1-FRw.w2M)</f>
        <v>1.3891955746336562E-17</v>
      </c>
      <c r="V29" s="325">
        <f>V27*(1-FRw.w2A)</f>
        <v>1.16761730799525E-19</v>
      </c>
      <c r="W29" s="326">
        <f>W27*(1-FRw.w2T)</f>
        <v>7.8348437181357328E-20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3.7940418386136084E-6</v>
      </c>
      <c r="AG29" s="326">
        <f>KDEG.s2C*M.s2C*Molweight</f>
        <v>1.1789673355072965E-2</v>
      </c>
      <c r="AH29" s="325"/>
      <c r="AI29" s="325"/>
      <c r="AJ29" s="325">
        <f>k.aC.s2C*M.aC*Molweight</f>
        <v>1.2364759140091192E-2</v>
      </c>
      <c r="AK29" s="325">
        <f>k.s2C.aC*M.s2C*Molweight</f>
        <v>5.2202321491109944E-6</v>
      </c>
      <c r="AL29" s="631">
        <f>(k.s2C.w1C+k.s2C.w0C)*M.s2C*Molweight</f>
        <v>5.6607151103050298E-4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1.3162795658028825E-6</v>
      </c>
      <c r="AG30" s="326">
        <f>KDEG.s3C*M.s3C*Molweight</f>
        <v>1.8612767641025588E-3</v>
      </c>
      <c r="AH30" s="325"/>
      <c r="AI30" s="325"/>
      <c r="AJ30" s="325">
        <f>k.aC.s3C*M.aC*Molweight</f>
        <v>2.060793190015198E-3</v>
      </c>
      <c r="AK30" s="325">
        <f>k.s3C.aC*M.s3C*Molweight</f>
        <v>1.8110725181493844E-6</v>
      </c>
      <c r="AL30" s="631">
        <f>(k.s3C.w1C+k.s3C.w0C)*M.s3C*Molweight</f>
        <v>1.9638907382868619E-4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0.17660512670725265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357059.70195934706</v>
      </c>
      <c r="H31" s="122">
        <f>G31/$G$51</f>
        <v>0.67696858030840223</v>
      </c>
      <c r="I31" s="318">
        <f>M.w3A*Molweight</f>
        <v>232687.55647360539</v>
      </c>
      <c r="J31" s="122">
        <f>I31/$I$51</f>
        <v>0.890742279192414</v>
      </c>
      <c r="K31" s="318">
        <f>M.w3T*Molweight</f>
        <v>2367.3758610625969</v>
      </c>
      <c r="L31" s="123">
        <f>K31/$K$51</f>
        <v>0.80292443500397281</v>
      </c>
      <c r="M31" s="320"/>
      <c r="N31" s="320"/>
      <c r="O31" s="320">
        <f>C.w3M*Molweight</f>
        <v>3.0686628887975071E-12</v>
      </c>
      <c r="P31" s="320">
        <f>C.w3A*Molweight</f>
        <v>3.0416674048837305E-12</v>
      </c>
      <c r="Q31" s="320">
        <f>C.w3T*Molweight</f>
        <v>8.8417399105979353E-15</v>
      </c>
      <c r="R31" s="120" t="s">
        <v>1489</v>
      </c>
      <c r="S31" s="325"/>
      <c r="T31" s="325"/>
      <c r="U31" s="325">
        <f>F.w3M</f>
        <v>1.5941522582259874E-15</v>
      </c>
      <c r="V31" s="325">
        <f>F.w3A</f>
        <v>4.6186243288274748E-17</v>
      </c>
      <c r="W31" s="326">
        <f>F.w3T</f>
        <v>2.8987037503576277E-17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0.17912872755703019</v>
      </c>
      <c r="AY31" s="75"/>
      <c r="AZ31" s="75"/>
      <c r="BA31" s="87"/>
      <c r="BB31" s="2"/>
      <c r="BC31" s="86"/>
      <c r="BD31" s="277">
        <f>IF(ISERROR(output!D39),0,output!D39)</f>
        <v>4.0897899510647824E-2</v>
      </c>
      <c r="BE31" s="75"/>
      <c r="BF31" s="277">
        <f>IF(ISERROR(output!D43),0,output!D43)</f>
        <v>0.69105078688954014</v>
      </c>
      <c r="BG31" s="75"/>
      <c r="BH31" s="273">
        <f>IF(ISERROR(output!D47),0,output!D47)</f>
        <v>1.5146295055064875E-2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356788.11959631345</v>
      </c>
      <c r="H32" s="122">
        <f>G32/$G$51</f>
        <v>0.67645367278528834</v>
      </c>
      <c r="I32" s="318">
        <f>FRw.w3A*I31</f>
        <v>232510.57252361372</v>
      </c>
      <c r="J32" s="122">
        <f>I32/$I$51</f>
        <v>0.89006477374525905</v>
      </c>
      <c r="K32" s="318">
        <f>FRw.w3T*K31</f>
        <v>2365.575216724947</v>
      </c>
      <c r="L32" s="123">
        <f>K32/$K$51</f>
        <v>0.80231372448637817</v>
      </c>
      <c r="M32" s="320"/>
      <c r="N32" s="320"/>
      <c r="O32" s="320">
        <f>O31*FRw.w3M</f>
        <v>3.0663288401380814E-12</v>
      </c>
      <c r="P32" s="320">
        <f>P31*FRw.w3A</f>
        <v>3.0393538891975646E-12</v>
      </c>
      <c r="Q32" s="320">
        <f>Q31*FRw.w3T</f>
        <v>8.8350148150324828E-15</v>
      </c>
      <c r="R32" s="120" t="s">
        <v>1489</v>
      </c>
      <c r="S32" s="325"/>
      <c r="T32" s="325"/>
      <c r="U32" s="325">
        <f>U31*FRw.w3M</f>
        <v>1.5929397337239262E-15</v>
      </c>
      <c r="V32" s="325">
        <f>V31*FRw.w3A</f>
        <v>4.6151113675431171E-17</v>
      </c>
      <c r="W32" s="326">
        <f>W31*FRw.w3T</f>
        <v>2.8964989739296621E-17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8.6830229019053476E-3</v>
      </c>
      <c r="AE32" s="325">
        <f>(k.aM.aA+k.aM.aC+k.aM.aT)*M.aM*Molweight</f>
        <v>5.5086067036727018E-4</v>
      </c>
      <c r="AF32" s="325">
        <f>kesc.aM*M.aM*Molweight</f>
        <v>1.7327801975262897E-7</v>
      </c>
      <c r="AG32" s="326">
        <f>KDEG.aM*M.aM*Molweight</f>
        <v>4.2667188876022071E-3</v>
      </c>
      <c r="AH32" s="325">
        <f>AH33</f>
        <v>2.2588115483309812E-3</v>
      </c>
      <c r="AI32" s="325">
        <f>AI33</f>
        <v>2.5047010390051979E-7</v>
      </c>
      <c r="AJ32" s="325">
        <f>AJ36</f>
        <v>1.6081223461620769E-3</v>
      </c>
      <c r="AK32" s="325">
        <f>AK36</f>
        <v>1.4133584730394932E-6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4.5242419305682624E-2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271.5823630336015</v>
      </c>
      <c r="H33" s="122">
        <f>G33/$G$51</f>
        <v>5.1490752311385399E-4</v>
      </c>
      <c r="I33" s="318">
        <f>(1-FRw.w3A)*I31</f>
        <v>176.98394999167749</v>
      </c>
      <c r="J33" s="122">
        <f>I33/$I$51</f>
        <v>6.775054471550374E-4</v>
      </c>
      <c r="K33" s="318">
        <f>(1-FRw.w3T)*K31</f>
        <v>1.8006443376499781</v>
      </c>
      <c r="L33" s="123">
        <f>K33/$K$51</f>
        <v>6.1071051759468921E-4</v>
      </c>
      <c r="M33" s="320"/>
      <c r="N33" s="320"/>
      <c r="O33" s="320">
        <f>O32*Kp.susp3M</f>
        <v>3.0490107061908452E-10</v>
      </c>
      <c r="P33" s="320">
        <f>P32*Kp.susp3A</f>
        <v>3.0221881054508332E-10</v>
      </c>
      <c r="Q33" s="320">
        <f>Q32*Kp.susp3T</f>
        <v>8.7851160670607356E-13</v>
      </c>
      <c r="R33" s="120" t="s">
        <v>1494</v>
      </c>
      <c r="S33" s="325"/>
      <c r="T33" s="325"/>
      <c r="U33" s="325">
        <f>U31*(1-FRw.w3M)</f>
        <v>1.2125245020611663E-18</v>
      </c>
      <c r="V33" s="325">
        <f>V31*(1-FRw.w3A)</f>
        <v>3.5129612843575929E-20</v>
      </c>
      <c r="W33" s="326">
        <f>W31*(1-FRw.w3T)</f>
        <v>2.2047764279658699E-20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4.9497469944606937E-2</v>
      </c>
      <c r="AE33" s="325">
        <f>(k.w2M.w2C+k.w2M.w2A+k.w2M.w2T+k.w2M.w3M)*M.w2M*Molweight</f>
        <v>4.0070491075423514E-2</v>
      </c>
      <c r="AF33" s="330"/>
      <c r="AG33" s="326">
        <f>KDEG.w2M*M.w2M*Molweight</f>
        <v>1.1838684703998702E-2</v>
      </c>
      <c r="AH33" s="325">
        <f>k.aM.w2M*M.aM*Molweight</f>
        <v>2.2588115483309812E-3</v>
      </c>
      <c r="AI33" s="325">
        <f>k.w2M.aM*M.w2M*Molweight</f>
        <v>2.5047010390051979E-7</v>
      </c>
      <c r="AJ33" s="325"/>
      <c r="AK33" s="325"/>
      <c r="AL33" s="325">
        <f>AL36</f>
        <v>1.531447565881998E-4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8.9690220467419594E-3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3.4425571324876635E-2</v>
      </c>
      <c r="AE34" s="325">
        <f>(k.w3M.w2M+k.w3M.w3A+k.w3M.w3T)*M.w3M*Molweight</f>
        <v>3.4252264056357945E-3</v>
      </c>
      <c r="AF34" s="330"/>
      <c r="AG34" s="326">
        <f>KDEG.w3M*M.w3M*Molweight</f>
        <v>3.0999296725143913E-2</v>
      </c>
      <c r="AH34" s="325"/>
      <c r="AI34" s="325"/>
      <c r="AJ34" s="325"/>
      <c r="AK34" s="325"/>
      <c r="AL34" s="325"/>
      <c r="AM34" s="325">
        <f>k.w3M.sdM*M.w3M*Molweight</f>
        <v>5.8873899527964961E-6</v>
      </c>
      <c r="AN34" s="326">
        <f>k.sdM.w3M*M.sdM*Molweight</f>
        <v>4.8391958558704332E-6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5.4592709147720651E-2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9421.5650418019832</v>
      </c>
      <c r="D35" s="122">
        <f>C35/$C$51</f>
        <v>8.0560627311150677E-4</v>
      </c>
      <c r="E35" s="318">
        <f>M.sd2C*Molweight</f>
        <v>6694.6990984358936</v>
      </c>
      <c r="F35" s="122">
        <f>E35/$E$51</f>
        <v>3.4695690876255019E-3</v>
      </c>
      <c r="G35" s="318">
        <f>M.sdM*Molweight</f>
        <v>108.54468072586776</v>
      </c>
      <c r="H35" s="122">
        <f>G35/$G$51</f>
        <v>2.0579566388420303E-4</v>
      </c>
      <c r="I35" s="318">
        <f>M.sdA*Molweight</f>
        <v>82.179485862592983</v>
      </c>
      <c r="J35" s="122">
        <f>I35/$I$51</f>
        <v>3.1458812688339987E-4</v>
      </c>
      <c r="K35" s="318">
        <f>M.sdT*Molweight</f>
        <v>0.57104800289773883</v>
      </c>
      <c r="L35" s="123">
        <f>K35/$K$51</f>
        <v>1.9367790414193562E-4</v>
      </c>
      <c r="M35" s="320">
        <f>C.sd2R*(Molweight*1000)/(FRACw.sdR*1000+FRACs.sdR*RHOsolid)</f>
        <v>2.4157859081543523E-4</v>
      </c>
      <c r="N35" s="320">
        <f>C.sd2C*(Molweight*1000)/(FRACw.sdC*1000+FRACs.sdC*RHOsolid)</f>
        <v>4.6226770338299831E-8</v>
      </c>
      <c r="O35" s="320">
        <f>C.sdM*(Molweight*1000)/(FRACw.sdM*1000+FRACs.sdM*RHOsolid)</f>
        <v>7.1758530466828449E-11</v>
      </c>
      <c r="P35" s="320">
        <f>C.sdA*(Molweight*1000)/(FRACw.sdA*1000+FRACs.sdA*RHOsolid)</f>
        <v>8.2633972712511804E-11</v>
      </c>
      <c r="Q35" s="320">
        <f>C.sdT*(Molweight*1000)/(FRACw.sdT*1000+FRACs.sdT*RHOsolid)</f>
        <v>1.6405889618551717E-13</v>
      </c>
      <c r="R35" s="120" t="s">
        <v>1495</v>
      </c>
      <c r="S35" s="325">
        <f>F.sd2R</f>
        <v>6.2196651530652381E-9</v>
      </c>
      <c r="T35" s="325">
        <f>F.sd2C</f>
        <v>1.1901511290441013E-12</v>
      </c>
      <c r="U35" s="325">
        <f>F.sdM</f>
        <v>1.8474900026247966E-15</v>
      </c>
      <c r="V35" s="325">
        <f>F.sdA</f>
        <v>6.2185265179432892E-17</v>
      </c>
      <c r="W35" s="326">
        <f>F.sdT</f>
        <v>2.6655929142538873E-17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3.2389019749131368E-10</v>
      </c>
      <c r="AG35" s="326">
        <f>KDEG.sdM*M.sdM*Molweight</f>
        <v>1.0478702067285712E-6</v>
      </c>
      <c r="AH35" s="325"/>
      <c r="AI35" s="325"/>
      <c r="AJ35" s="325"/>
      <c r="AK35" s="325"/>
      <c r="AL35" s="325"/>
      <c r="AM35" s="325">
        <f>k.w3M.sdM*M.w3M*Molweight</f>
        <v>5.8873899527964961E-6</v>
      </c>
      <c r="AN35" s="326">
        <f>k.sdM.w3M*M.sdM*Molweight</f>
        <v>4.8391958558704332E-6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7.1929754542685029E-3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7537.2520334415867</v>
      </c>
      <c r="D36" s="122">
        <f>C36/$C$51</f>
        <v>6.4448501848920537E-4</v>
      </c>
      <c r="E36" s="318">
        <f>E35*FRACw.sdC</f>
        <v>5355.7592787487156</v>
      </c>
      <c r="F36" s="122">
        <f>E36/$E$51</f>
        <v>2.7756552701004022E-3</v>
      </c>
      <c r="G36" s="318">
        <f>G35*FRACw.sdM</f>
        <v>86.835744580694211</v>
      </c>
      <c r="H36" s="122">
        <f>G36/$G$51</f>
        <v>1.6463653110736242E-4</v>
      </c>
      <c r="I36" s="318">
        <f>I35*FRACw.sdA</f>
        <v>65.74358869007439</v>
      </c>
      <c r="J36" s="122">
        <f>I36/$I$51</f>
        <v>2.5167050150671989E-4</v>
      </c>
      <c r="K36" s="318">
        <f>K35*FRACw.sdT</f>
        <v>0.45683840231819106</v>
      </c>
      <c r="L36" s="123">
        <f>K36/$K$51</f>
        <v>1.549423233135485E-4</v>
      </c>
      <c r="M36" s="320">
        <f>M37/Kp.sd2R</f>
        <v>1.1972542482985785E-5</v>
      </c>
      <c r="N36" s="320">
        <f>N37/Kp.sd2C</f>
        <v>2.2909810420632692E-9</v>
      </c>
      <c r="O36" s="320">
        <f>O37/Kp.sdM</f>
        <v>3.5563253003123352E-12</v>
      </c>
      <c r="P36" s="320">
        <f>P37/Kp.sdA</f>
        <v>4.0953080548196639E-12</v>
      </c>
      <c r="Q36" s="320">
        <f>Q37/Kp.sdT</f>
        <v>8.1306960921611587E-15</v>
      </c>
      <c r="R36" s="120" t="s">
        <v>1489</v>
      </c>
      <c r="S36" s="325">
        <f>S35*FRACw.sdR</f>
        <v>4.9757321224521907E-9</v>
      </c>
      <c r="T36" s="325">
        <f>T35*FRACw.sdC</f>
        <v>9.5212090323528119E-13</v>
      </c>
      <c r="U36" s="325">
        <f>U35*FRACw.sdM</f>
        <v>1.4779920020998373E-15</v>
      </c>
      <c r="V36" s="325">
        <f>V35*FRACw.sdA</f>
        <v>4.9748212143546318E-17</v>
      </c>
      <c r="W36" s="326">
        <f>W35*FRACw.sdT</f>
        <v>2.13247433140311E-17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1.0264343791630345E-6</v>
      </c>
      <c r="AG36" s="326">
        <f>KDEG.sM*M.sM*Molweight</f>
        <v>1.4525377967216744E-3</v>
      </c>
      <c r="AH36" s="325"/>
      <c r="AI36" s="325"/>
      <c r="AJ36" s="325">
        <f>k.aM.sM*M.aM*Molweight</f>
        <v>1.6081223461620769E-3</v>
      </c>
      <c r="AK36" s="325">
        <f>k.sM.aM*M.sM*Molweight</f>
        <v>1.4133584730394932E-6</v>
      </c>
      <c r="AL36" s="325">
        <f>k.sM.w2M*M.sM*Molweight</f>
        <v>1.531447565881998E-4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1884.3130083603962</v>
      </c>
      <c r="D37" s="122">
        <f>C37/$C$51</f>
        <v>1.6112125462230132E-4</v>
      </c>
      <c r="E37" s="318">
        <f>E35*FRACs.sdC</f>
        <v>1338.9398196871784</v>
      </c>
      <c r="F37" s="122">
        <f>E37/$E$51</f>
        <v>6.9391381752510024E-4</v>
      </c>
      <c r="G37" s="318">
        <f>G35*FRACs.sdM</f>
        <v>21.708936145173549</v>
      </c>
      <c r="H37" s="122">
        <f>G37/$G$51</f>
        <v>4.1159132776840599E-5</v>
      </c>
      <c r="I37" s="318">
        <f>I35*FRACs.sdA</f>
        <v>16.435897172518594</v>
      </c>
      <c r="J37" s="122">
        <f>I37/$I$51</f>
        <v>6.291762537667996E-5</v>
      </c>
      <c r="K37" s="318">
        <f>K35*FRACs.sdT</f>
        <v>0.11420960057954774</v>
      </c>
      <c r="L37" s="123">
        <f>K37/$K$51</f>
        <v>3.8735580828387117E-5</v>
      </c>
      <c r="M37" s="320">
        <f>C.sd2R*FRACs.sdR/(FRACw.sdR/(Kp.sd2R*RHOsolid/1000)+FRACs.sdR)*(Molweight*1000)/(FRACs.sdR*RHOsolid)</f>
        <v>6.0894826814735447E-4</v>
      </c>
      <c r="N37" s="320">
        <f>C.sd2C*FRACs.sdC/(FRACw.sdC/(Kp.sd2C*RHOsolid/1000)+FRACs.sdC)*(Molweight*1000)/(FRACs.sdC*RHOsolid)</f>
        <v>1.1652403321227836E-7</v>
      </c>
      <c r="O37" s="320">
        <f>C.sdM*FRACs.sdM/(FRACw.sdM/(Kp.sdM*RHOsolid/1000)+FRACs.sdM)*(Molweight*1000)/(FRACs.sdM*RHOsolid)</f>
        <v>1.8088205873325427E-10</v>
      </c>
      <c r="P37" s="320">
        <f>C.sdA*FRACs.sdA/(FRACw.sdA/(Kp.sdA*RHOsolid/1000)+FRACs.sdA)*(Molweight*1000)/(FRACs.sdA*RHOsolid)</f>
        <v>2.0829583616481925E-10</v>
      </c>
      <c r="Q37" s="320">
        <f>C.sdT*FRACs.sdT/(FRACw.sdT/(Kp.sdT*RHOsolid/1000)+FRACs.sdT)*(Molweight*1000)/(FRACs.sdT*RHOsolid)</f>
        <v>4.1354401633488683E-13</v>
      </c>
      <c r="R37" s="120" t="s">
        <v>1494</v>
      </c>
      <c r="S37" s="325">
        <f>S35*(1-FRACw.sdR)</f>
        <v>1.2439330306130472E-9</v>
      </c>
      <c r="T37" s="325">
        <f>T35*(1-FRACw.sdC)</f>
        <v>2.380302258088202E-13</v>
      </c>
      <c r="U37" s="325">
        <f>U35*(1-FRACw.sdM)</f>
        <v>3.6949800052495923E-16</v>
      </c>
      <c r="V37" s="325">
        <f>V35*(1-FRACw.sdA)</f>
        <v>1.2437053035886575E-17</v>
      </c>
      <c r="W37" s="326">
        <f>W35*(1-FRACw.sdT)</f>
        <v>5.3311858285077734E-18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8.8335216382840163E-3</v>
      </c>
      <c r="AW37" s="75"/>
      <c r="AX37" s="75"/>
      <c r="AY37" s="300">
        <f>IF(ISERROR(output!D23),0,output!D23)</f>
        <v>6.3710266239546481E-2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1.7942584085024404E-4</v>
      </c>
      <c r="AE38" s="325">
        <f>k.aA.aM*M.aA*Molweight</f>
        <v>7.4539165063978948E-6</v>
      </c>
      <c r="AF38" s="325">
        <f>kesc.aA*M.aA*Molweight</f>
        <v>3.943951284214583E-9</v>
      </c>
      <c r="AG38" s="326">
        <f>KDEG.aA*M.aA*Molweight</f>
        <v>8.0240947281689956E-5</v>
      </c>
      <c r="AH38" s="325">
        <f>AH39</f>
        <v>6.2062417372565725E-5</v>
      </c>
      <c r="AI38" s="325">
        <f>AI39</f>
        <v>1.4999212833854162E-9</v>
      </c>
      <c r="AJ38" s="325">
        <f>AJ42</f>
        <v>2.9669689728658929E-5</v>
      </c>
      <c r="AK38" s="325">
        <f>AK42</f>
        <v>3.57406906926489E-9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478300.91841814172</v>
      </c>
      <c r="D39" s="122">
        <f>C39/$C$51</f>
        <v>4.0897899510647824E-2</v>
      </c>
      <c r="E39" s="318">
        <f>M.s1C*Molweight</f>
        <v>115689.79968199001</v>
      </c>
      <c r="F39" s="122">
        <f>E39/$E$51</f>
        <v>5.9956952034483264E-2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9.1179938854111061E-5</v>
      </c>
      <c r="N39" s="320">
        <f>C.s1C*(Molweight*1000)/(FRACw.s1C*1000+(1-FRACa.s1C-FRACw.s1C)*RHOsolid)</f>
        <v>1.4461219898821781E-6</v>
      </c>
      <c r="O39" s="320"/>
      <c r="P39" s="320"/>
      <c r="Q39" s="320"/>
      <c r="R39" s="120" t="s">
        <v>1495</v>
      </c>
      <c r="S39" s="325">
        <f>F.s1R</f>
        <v>2.6013327521749906E-9</v>
      </c>
      <c r="T39" s="325">
        <f>F.s1C</f>
        <v>4.1257370241714837E-11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7.3621323422469994E-3</v>
      </c>
      <c r="AE39" s="325">
        <f>(k.w2A.w2M+k.w2A.w3A)*M.w2A*Molweight</f>
        <v>6.9414932549199315E-3</v>
      </c>
      <c r="AF39" s="330"/>
      <c r="AG39" s="326">
        <f>KDEG.w2A*M.w2A*Molweight</f>
        <v>4.8710667101559829E-4</v>
      </c>
      <c r="AH39" s="325">
        <f>k.aA.w2A*M.aA*Molweight</f>
        <v>6.2062417372565725E-5</v>
      </c>
      <c r="AI39" s="325">
        <f>k.w2A.aA*M.w2A*Molweight</f>
        <v>1.4999212833854162E-9</v>
      </c>
      <c r="AJ39" s="325"/>
      <c r="AK39" s="325"/>
      <c r="AL39" s="325">
        <f>AL42</f>
        <v>4.4066662372456615E-6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3090.2832212914154</v>
      </c>
      <c r="D40" s="122">
        <f>C40/$C$51</f>
        <v>2.6423970303424696E-4</v>
      </c>
      <c r="E40" s="318">
        <f>E39*FRw.s1C</f>
        <v>747.46719704031898</v>
      </c>
      <c r="F40" s="122">
        <f>E40/$E$51</f>
        <v>3.8737948378756468E-4</v>
      </c>
      <c r="G40" s="318"/>
      <c r="H40" s="122"/>
      <c r="I40" s="318"/>
      <c r="J40" s="122"/>
      <c r="K40" s="318"/>
      <c r="L40" s="123"/>
      <c r="M40" s="320">
        <f>M41/Kp.s1R</f>
        <v>5.0074346642999624E-6</v>
      </c>
      <c r="N40" s="320">
        <f>N41/Kp.s1C</f>
        <v>7.9418361889107194E-8</v>
      </c>
      <c r="O40" s="320"/>
      <c r="P40" s="320"/>
      <c r="Q40" s="320"/>
      <c r="R40" s="120" t="s">
        <v>1489</v>
      </c>
      <c r="S40" s="325">
        <f>S39*FRACw.s1R</f>
        <v>5.2026655043499809E-10</v>
      </c>
      <c r="T40" s="325">
        <f>T39*FRACw.s1C</f>
        <v>8.2514740483429683E-12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6.9414932549199315E-3</v>
      </c>
      <c r="AE40" s="325">
        <f>(k.w3A.w2A+k.w3A.w3M)*M.w3A*Molweight</f>
        <v>2.5447081091868181E-3</v>
      </c>
      <c r="AF40" s="330"/>
      <c r="AG40" s="326">
        <f>KDEG.w3A*M.w3A*Molweight</f>
        <v>4.3966123101621636E-3</v>
      </c>
      <c r="AH40" s="325"/>
      <c r="AI40" s="325"/>
      <c r="AJ40" s="325"/>
      <c r="AK40" s="325"/>
      <c r="AL40" s="325"/>
      <c r="AM40" s="325">
        <f>k.w3A.sdA*M.w3A*Molweight</f>
        <v>3.8366759805323642E-6</v>
      </c>
      <c r="AN40" s="326">
        <f>k.sdA.w3A*M.sdA*Molweight</f>
        <v>3.6638404095825489E-6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4.1145119162087343E-4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475210.63504494121</v>
      </c>
      <c r="D41" s="122">
        <f>C41/$C$51</f>
        <v>4.0633659794624341E-2</v>
      </c>
      <c r="E41" s="318">
        <f>E39*FRs.s1C</f>
        <v>114942.33244820643</v>
      </c>
      <c r="F41" s="122">
        <f>E41/$E$51</f>
        <v>5.9569572531653278E-2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1.0266960604659914E-4</v>
      </c>
      <c r="N41" s="320">
        <f>C.s1C*FRs.s1C*(Molweight*1000)/(FRACs.s1C*RHOsolid)</f>
        <v>1.6283491397607249E-6</v>
      </c>
      <c r="O41" s="320"/>
      <c r="P41" s="320"/>
      <c r="Q41" s="320"/>
      <c r="R41" s="120" t="s">
        <v>1494</v>
      </c>
      <c r="S41" s="325">
        <f>S39*(1-FRACw.s1R)</f>
        <v>2.0810662017399924E-9</v>
      </c>
      <c r="T41" s="325">
        <f>T39*(1-FRACw.s1C)</f>
        <v>3.3005896193371873E-11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1.7372629346903457E-10</v>
      </c>
      <c r="AG41" s="326">
        <f>KDEG.sdA*M.sdA*Molweight</f>
        <v>1.726618446563467E-7</v>
      </c>
      <c r="AH41" s="325"/>
      <c r="AI41" s="325"/>
      <c r="AJ41" s="325"/>
      <c r="AK41" s="325"/>
      <c r="AL41" s="325"/>
      <c r="AM41" s="325">
        <f>k.w3A.sdA*M.w3A*Molweight</f>
        <v>3.8366759805323642E-6</v>
      </c>
      <c r="AN41" s="326">
        <f>k.sdA.w3A*M.sdA*Molweight</f>
        <v>3.6638404095825489E-6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2.9257166742756159E-8</v>
      </c>
      <c r="AG42" s="326">
        <f>KDEG.sA*M.sA*Molweight</f>
        <v>2.5230192255601248E-5</v>
      </c>
      <c r="AH42" s="325"/>
      <c r="AI42" s="325"/>
      <c r="AJ42" s="325">
        <f>k.aA.sA*M.aA*Molweight</f>
        <v>2.9669689728658929E-5</v>
      </c>
      <c r="AK42" s="325">
        <f>k.sA.aA*M.sA*Molweight</f>
        <v>3.57406906926489E-9</v>
      </c>
      <c r="AL42" s="325">
        <f>k.sA.w2A*M.sA*Molweight</f>
        <v>4.4066662372456615E-6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5.1101930555962061E-4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8081838.6762575079</v>
      </c>
      <c r="D43" s="122">
        <f>C43/$C$51</f>
        <v>0.69105078688954014</v>
      </c>
      <c r="E43" s="318">
        <f>M.s2C*Molweight</f>
        <v>271387.79465273273</v>
      </c>
      <c r="F43" s="122">
        <f>E43/$E$51</f>
        <v>0.14064839796996523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1.7332482940090238E-4</v>
      </c>
      <c r="N43" s="320">
        <f>C.s2C*(Molweight*1000)/(FRACw.s2C*1000+(1-FRACa.s2C-FRACw.s2C)*RHOsolid)</f>
        <v>3.8163895265677186E-7</v>
      </c>
      <c r="O43" s="320"/>
      <c r="P43" s="320"/>
      <c r="Q43" s="320"/>
      <c r="R43" s="120" t="s">
        <v>1495</v>
      </c>
      <c r="S43" s="325">
        <f>F.s2R</f>
        <v>4.9486966132847856E-9</v>
      </c>
      <c r="T43" s="325">
        <f>F.s2C</f>
        <v>1.0896392623250358E-11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8.0560627311150677E-4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52256.543747974851</v>
      </c>
      <c r="D44" s="122">
        <f>C44/$C$51</f>
        <v>4.4682809350369522E-3</v>
      </c>
      <c r="E44" s="318">
        <f>E43*FRw.s2C</f>
        <v>1754.7724882952211</v>
      </c>
      <c r="F44" s="122">
        <f>E44/$E$51</f>
        <v>9.0942166207697288E-4</v>
      </c>
      <c r="G44" s="318"/>
      <c r="H44" s="122"/>
      <c r="I44" s="318"/>
      <c r="J44" s="122"/>
      <c r="K44" s="318"/>
      <c r="L44" s="123"/>
      <c r="M44" s="320">
        <f>M45/Kp.s2R</f>
        <v>9.5259919915078608E-6</v>
      </c>
      <c r="N44" s="320">
        <f>N45/Kp.s2C</f>
        <v>2.0975007557901165E-8</v>
      </c>
      <c r="O44" s="320"/>
      <c r="P44" s="320"/>
      <c r="Q44" s="320"/>
      <c r="R44" s="120" t="s">
        <v>1489</v>
      </c>
      <c r="S44" s="325">
        <f>S43*FRACw.s2R</f>
        <v>9.8973932265695707E-10</v>
      </c>
      <c r="T44" s="325">
        <f>T43*FRACw.s2C</f>
        <v>2.1792785246500718E-12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3.1077467254339005E-4</v>
      </c>
      <c r="AE44" s="325">
        <f>k.aT.aM*M.aT*Molweight</f>
        <v>6.514112394926172E-6</v>
      </c>
      <c r="AF44" s="325">
        <f>kesc.aT*M.aT*Molweight</f>
        <v>5.9698427700410743E-9</v>
      </c>
      <c r="AG44" s="326">
        <f>KDEG.aT*M.aT*Molweight</f>
        <v>1.6343261453863737E-4</v>
      </c>
      <c r="AH44" s="325">
        <f>AH45</f>
        <v>1.0804619035950451E-4</v>
      </c>
      <c r="AI44" s="325">
        <f>AI45</f>
        <v>3.1081588913500658E-9</v>
      </c>
      <c r="AJ44" s="325">
        <f>AJ48</f>
        <v>3.2851251397299856E-5</v>
      </c>
      <c r="AK44" s="325">
        <f>AK48</f>
        <v>7.2357830856508398E-8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9.0954040695860144E-5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8029582.1299493453</v>
      </c>
      <c r="D45" s="122">
        <f>C45/$C$51</f>
        <v>0.68658250573559021</v>
      </c>
      <c r="E45" s="318">
        <f>E43*FRs.s2C</f>
        <v>269633.02207846649</v>
      </c>
      <c r="F45" s="122">
        <f>E45/$E$51</f>
        <v>0.13973897626333326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1.9516467432659443E-4</v>
      </c>
      <c r="N45" s="320">
        <f>C.s2C*FRs.s2C*(Molweight*1000)/(FRACs.s2C*RHOsolid)</f>
        <v>4.2972747853293839E-7</v>
      </c>
      <c r="O45" s="320"/>
      <c r="P45" s="320"/>
      <c r="Q45" s="320"/>
      <c r="R45" s="120" t="s">
        <v>1494</v>
      </c>
      <c r="S45" s="325">
        <f>S43*(1-FRACw.s2R)</f>
        <v>3.9589572906278283E-9</v>
      </c>
      <c r="T45" s="325">
        <f>T43*(1-FRACw.s2C)</f>
        <v>8.7171140986002874E-12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1.7932432851506896E-5</v>
      </c>
      <c r="AE45" s="325">
        <f>(k.w2T.w2M+k.w2T.w3T)*M.w2T*Molweight</f>
        <v>6.843725945315946E-5</v>
      </c>
      <c r="AF45" s="330"/>
      <c r="AG45" s="326">
        <f>KDEG.w2T*M.w2T*Molweight</f>
        <v>5.9946211091789913E-5</v>
      </c>
      <c r="AH45" s="325">
        <f>k.aT.w2T*M.aT*Molweight</f>
        <v>1.0804619035950451E-4</v>
      </c>
      <c r="AI45" s="325">
        <f>k.w2T.aT*M.w2T*Molweight</f>
        <v>3.1081588913500658E-9</v>
      </c>
      <c r="AJ45" s="325"/>
      <c r="AK45" s="325"/>
      <c r="AL45" s="325">
        <f>AL48</f>
        <v>2.4079554928293596E-6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5.240237216852918E-4</v>
      </c>
      <c r="AE46" s="325">
        <f>(k.w3T.w2T+k.w3T.w3M)*M.w3T*Molweight</f>
        <v>1.7932432851506896E-5</v>
      </c>
      <c r="AF46" s="330"/>
      <c r="AG46" s="326">
        <f>KDEG.w3T*M.w3T*Molweight</f>
        <v>5.0607771354178345E-4</v>
      </c>
      <c r="AH46" s="325"/>
      <c r="AI46" s="325"/>
      <c r="AJ46" s="325"/>
      <c r="AK46" s="325"/>
      <c r="AL46" s="325"/>
      <c r="AM46" s="325">
        <f>k.w3T.sdT*M.w3T*Molweight</f>
        <v>3.9034550195473347E-8</v>
      </c>
      <c r="AN46" s="326">
        <f>k.sdT.w3T*M.sdT*Molweight</f>
        <v>2.5459258194027024E-8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177135.91461056762</v>
      </c>
      <c r="D47" s="122">
        <f>C47/$C$51</f>
        <v>1.5146295055064875E-2</v>
      </c>
      <c r="E47" s="318">
        <f>M.s3C*Molweight</f>
        <v>42844.935651318723</v>
      </c>
      <c r="F47" s="122">
        <f>E47/$E$51</f>
        <v>2.2204652085386436E-2</v>
      </c>
      <c r="G47" s="318">
        <f>M.sM*Molweight</f>
        <v>33436.128163161899</v>
      </c>
      <c r="H47" s="122">
        <f>G47/$G$51</f>
        <v>6.3393343156385146E-2</v>
      </c>
      <c r="I47" s="318">
        <f>M.sA*Molweight</f>
        <v>2668.5484333797535</v>
      </c>
      <c r="J47" s="122">
        <f>I47/$I$51</f>
        <v>1.0215367549977509E-2</v>
      </c>
      <c r="K47" s="318">
        <f>M.sT*Molweight</f>
        <v>283.7764444395545</v>
      </c>
      <c r="L47" s="123">
        <f>K47/$K$51</f>
        <v>9.6246246769110255E-2</v>
      </c>
      <c r="M47" s="320">
        <f>C.s3R*(Molweight*1000)/(FRACw.s3R*1000+(1-FRACa.s3R-FRACw.s3R)*RHOsolid)</f>
        <v>9.1173467060196565E-5</v>
      </c>
      <c r="N47" s="320">
        <f>C.s3C*(Molweight*1000)/(FRACw.s3C*1000+(1-FRACa.s3C-FRACw.s3C)*RHOsolid)</f>
        <v>1.4460160721263814E-6</v>
      </c>
      <c r="O47" s="320">
        <f>C.sM*(Molweight*1000)/(FRACw.sM*1000+(1-FRACa.sM-FRACw.sM)*RHOsolid)</f>
        <v>1.0142071157980519E-8</v>
      </c>
      <c r="P47" s="320">
        <f>C.sA*(Molweight*1000)/(FRACw.sA*1000+(1-FRACa.sA-FRACw.sA)*RHOsolid)</f>
        <v>1.8467463206780298E-9</v>
      </c>
      <c r="Q47" s="320">
        <f>C.sT*(Molweight*1000)/(FRACw.sT*1000+(1-FRACa.sT-FRACw.sT)*RHOsolid)</f>
        <v>8.7282258958724915E-11</v>
      </c>
      <c r="R47" s="120" t="s">
        <v>1495</v>
      </c>
      <c r="S47" s="325">
        <f>F.s3R</f>
        <v>2.6031459498432236E-9</v>
      </c>
      <c r="T47" s="325">
        <f>F.s3C</f>
        <v>4.1286034226149582E-11</v>
      </c>
      <c r="U47" s="325">
        <f>F.sM</f>
        <v>2.8934985271658274E-13</v>
      </c>
      <c r="V47" s="325">
        <f>F.sA</f>
        <v>1.5400121685605852E-15</v>
      </c>
      <c r="W47" s="326">
        <f>F.sT</f>
        <v>1.5714771434655388E-14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1.207187558975439E-12</v>
      </c>
      <c r="AG47" s="326">
        <f>KDEG.sdT*M.sdT*Molweight</f>
        <v>1.357408481388735E-8</v>
      </c>
      <c r="AH47" s="325"/>
      <c r="AI47" s="325"/>
      <c r="AJ47" s="325"/>
      <c r="AK47" s="325"/>
      <c r="AL47" s="325"/>
      <c r="AM47" s="325">
        <f>k.w3T.sdT*M.w3T*Molweight</f>
        <v>3.9034550195473347E-8</v>
      </c>
      <c r="AN47" s="326">
        <f>k.sdT.w3T*M.sdT*Molweight</f>
        <v>2.5459258194027024E-8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8.6140732428872166E-6</v>
      </c>
      <c r="AW47" s="75"/>
      <c r="AX47" s="290">
        <f>output!AF16</f>
        <v>2.1573143877695136E-3</v>
      </c>
      <c r="AY47" s="75"/>
      <c r="AZ47" s="75"/>
      <c r="BA47" s="75"/>
      <c r="BB47" s="75"/>
      <c r="BC47" s="2"/>
      <c r="BD47" s="295">
        <f>output!AF18</f>
        <v>1.4683054923522227E-5</v>
      </c>
      <c r="BE47" s="75"/>
      <c r="BF47" s="295">
        <f>output!AF20</f>
        <v>5.4419590373341605E-6</v>
      </c>
      <c r="BG47" s="75"/>
      <c r="BH47" s="299">
        <f>output!AF19</f>
        <v>1.1298530985847287E-4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1145.3471223544784</v>
      </c>
      <c r="D48" s="122">
        <f>C48/$C$51</f>
        <v>9.7934772255470564E-5</v>
      </c>
      <c r="E48" s="318">
        <f>E47*FRw.s3C</f>
        <v>277.03203985248246</v>
      </c>
      <c r="F48" s="122">
        <f>E48/$E$51</f>
        <v>1.4357356284744354E-4</v>
      </c>
      <c r="G48" s="318">
        <f>G47*FRw.sM</f>
        <v>216.02949496583994</v>
      </c>
      <c r="H48" s="122">
        <f>G48/$G$51</f>
        <v>4.0958187022857177E-4</v>
      </c>
      <c r="I48" s="318">
        <f>I47*FRw.sA</f>
        <v>17.241385357750382</v>
      </c>
      <c r="J48" s="122">
        <f>I48/$I$51</f>
        <v>6.6001083696709672E-5</v>
      </c>
      <c r="K48" s="318">
        <f>K47*FRw.sT</f>
        <v>1.8334683243910237</v>
      </c>
      <c r="L48" s="123">
        <f>K48/$K$51</f>
        <v>6.218431735628895E-4</v>
      </c>
      <c r="M48" s="320">
        <f>M49/Kp.s3R</f>
        <v>5.0109249785819577E-6</v>
      </c>
      <c r="N48" s="320">
        <f>N49/Kp.s3C</f>
        <v>7.9473538616942369E-8</v>
      </c>
      <c r="O48" s="320">
        <f>O49/Kp.sM</f>
        <v>5.5698390811082135E-10</v>
      </c>
      <c r="P48" s="320">
        <f>P49/Kp.sA</f>
        <v>1.0141991386911989E-10</v>
      </c>
      <c r="Q48" s="320">
        <f>Q49/Kp.sT</f>
        <v>4.7933812402379681E-12</v>
      </c>
      <c r="R48" s="120" t="s">
        <v>1489</v>
      </c>
      <c r="S48" s="325">
        <f>S47*FRACw.s3R</f>
        <v>5.2062918996864479E-10</v>
      </c>
      <c r="T48" s="325">
        <f>T47*FRACw.s3C</f>
        <v>8.2572068452299167E-12</v>
      </c>
      <c r="U48" s="325">
        <f>U47*FRACw.sM</f>
        <v>5.7869970543316554E-14</v>
      </c>
      <c r="V48" s="325">
        <f>V47*FRACw.sA</f>
        <v>3.0800243371211706E-16</v>
      </c>
      <c r="W48" s="326">
        <f>W47*FRACw.sT</f>
        <v>3.1429542869310778E-15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1.6178448212272827E-8</v>
      </c>
      <c r="AG48" s="326">
        <f>KDEG.sT*M.sT*Molweight</f>
        <v>3.0354759625401726E-5</v>
      </c>
      <c r="AH48" s="325"/>
      <c r="AI48" s="325"/>
      <c r="AJ48" s="325">
        <f>k.aT.sT*M.aT*Molweight</f>
        <v>3.2851251397299856E-5</v>
      </c>
      <c r="AK48" s="325">
        <f>k.sT.aT*M.sT*Molweight</f>
        <v>7.2357830856508398E-8</v>
      </c>
      <c r="AL48" s="333">
        <f>k.sT.w2T*M.sT*Molweight</f>
        <v>2.4079554928293596E-6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175990.56743209952</v>
      </c>
      <c r="D49" s="122">
        <f>C49/$C$51</f>
        <v>1.5048360278011317E-2</v>
      </c>
      <c r="E49" s="318">
        <f>E47*FRs.s3C</f>
        <v>42567.903597893703</v>
      </c>
      <c r="F49" s="122">
        <f>E49/$E$51</f>
        <v>2.2061078515504939E-2</v>
      </c>
      <c r="G49" s="318">
        <f>G47*FRs.sM</f>
        <v>33220.098657576695</v>
      </c>
      <c r="H49" s="122">
        <f>G49/$G$51</f>
        <v>6.2983761266022759E-2</v>
      </c>
      <c r="I49" s="318">
        <f>I47*FRs.sA</f>
        <v>2651.307047995158</v>
      </c>
      <c r="J49" s="122">
        <f>I49/$I$51</f>
        <v>1.0149366466178034E-2</v>
      </c>
      <c r="K49" s="318">
        <f>K47*FRs.sT</f>
        <v>281.94297557119609</v>
      </c>
      <c r="L49" s="123">
        <f>K49/$K$51</f>
        <v>9.5624403411054187E-2</v>
      </c>
      <c r="M49" s="320">
        <f>C.s3R*FRs.s3R*(Molweight*1000)/(FRACs.s3R*RHOsolid)</f>
        <v>1.0266180597167868E-4</v>
      </c>
      <c r="N49" s="320">
        <f>C.s3C*FRs.s3C*(Molweight*1000)/(FRACs.s3C*RHOsolid)</f>
        <v>1.6282217427418234E-6</v>
      </c>
      <c r="O49" s="320">
        <f>C.sM*FRs.sM*(Molweight*1000)/(FRACs.sM*RHOsolid)</f>
        <v>1.1420082787645855E-8</v>
      </c>
      <c r="P49" s="320">
        <f>C.sA*FRs.sA*(Molweight*1000)/(FRACs.sA*RHOsolid)</f>
        <v>2.0794565082314963E-9</v>
      </c>
      <c r="Q49" s="320">
        <f>C.sT*FRs.sT*(Molweight*1000)/(FRACs.sT*RHOsolid)</f>
        <v>9.8280775798238232E-11</v>
      </c>
      <c r="R49" s="120" t="s">
        <v>1494</v>
      </c>
      <c r="S49" s="325">
        <f>S47*(1-FRACw.s3R)</f>
        <v>2.0825167598745792E-9</v>
      </c>
      <c r="T49" s="325">
        <f>T47*(1-FRACw.s3C)</f>
        <v>3.3028827380919667E-11</v>
      </c>
      <c r="U49" s="325">
        <f>U47*(1-FRACw.sM)</f>
        <v>2.3147988217326621E-13</v>
      </c>
      <c r="V49" s="325">
        <f>V47*(1-FRACw.sA)</f>
        <v>1.2320097348484682E-15</v>
      </c>
      <c r="W49" s="326">
        <f>W47*(1-FRACw.sT)</f>
        <v>1.2571817147724311E-14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2.3284337602868434E-3</v>
      </c>
      <c r="AG49" s="336">
        <f>SUM(AG11:AG48)</f>
        <v>0.94896532575265147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11694999.600006729</v>
      </c>
      <c r="D51" s="130">
        <f>C51/SUM($C$51,$E$51,$G$51,$I$51,$K$51)</f>
        <v>0.81124214861835531</v>
      </c>
      <c r="E51" s="317">
        <f>SUM(E11,E15,E19,E23,E27,E31,E35,E39,E43,E47)</f>
        <v>1929547.7130901003</v>
      </c>
      <c r="F51" s="130">
        <f>E51/SUM($C$51,$E$51,$G$51,$I$51,$K$51)</f>
        <v>0.1338461296422743</v>
      </c>
      <c r="G51" s="317">
        <f>SUM(G11,G15,G19,G23,G27,G31,G35,G39,G43,G47)</f>
        <v>527439.10477600549</v>
      </c>
      <c r="H51" s="130">
        <f>G51/SUM($C$51,$E$51,$G$51,$I$51,$K$51)</f>
        <v>3.6586647905792344E-2</v>
      </c>
      <c r="I51" s="317">
        <f>SUM(I11,I15,I19,I23,I27,I31,I35,I39,I43,I47)</f>
        <v>261228.82219598931</v>
      </c>
      <c r="J51" s="130">
        <f>I51/SUM($C$51,$E$51,$G$51,$I$51,$K$51)</f>
        <v>1.8120550512818721E-2</v>
      </c>
      <c r="K51" s="317">
        <f>SUM(K11,K15,K19,K23,K27,K31,K35,K39,K43,K47)</f>
        <v>2948.4416687989865</v>
      </c>
      <c r="L51" s="130">
        <f>K51/SUM($C$51,$E$51,$G$51,$I$51,$K$51)</f>
        <v>2.0452332075932713E-4</v>
      </c>
      <c r="M51" s="199"/>
      <c r="N51" s="199"/>
      <c r="O51" s="199"/>
      <c r="P51" s="199"/>
      <c r="Q51" s="199"/>
      <c r="R51" s="199"/>
      <c r="S51" s="328">
        <f>SUM(S11,S15,S19,S23,S27,S35,S39,S43,S47)</f>
        <v>7.3703173676376688E-7</v>
      </c>
      <c r="T51" s="328">
        <f>SUM(T11,T15,T19,T23,T27,T35,T39,T43,T47)</f>
        <v>9.3578808910771897E-9</v>
      </c>
      <c r="U51" s="328">
        <f>SUM(U11,U15,U19,U23,U27,U35,U39,U43,U47)</f>
        <v>6.4749532060967706E-11</v>
      </c>
      <c r="V51" s="328">
        <f>SUM(V11,V15,V19,V23,V27,V35,V39,V43,V47)</f>
        <v>2.4721508728042089E-12</v>
      </c>
      <c r="W51" s="328">
        <f>SUM(W11,W15,W19,W23,W27,W35,W39,W43,W47)</f>
        <v>1.4281772198976171E-12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5.4928585316422298E-8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3.8318438872923894E-7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1.0952930731122526E-4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1.0330803202638226E-5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3.0394366930496862E-3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2.4157859081543523E-4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9.1179938854111061E-5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1.7332482940090238E-4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9.1173467060196565E-5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5.6591226907805922E-2</v>
      </c>
      <c r="AY72" s="75"/>
      <c r="AZ72" s="256">
        <f>output!AF22</f>
        <v>2.2982568086333542E-6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0.11884823931645108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1.0553642408313038E-2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3.2514376442651328E-3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4.890253973991221E-6</v>
      </c>
      <c r="BE84" s="2"/>
      <c r="BF84" s="304">
        <f>IF(output!AK30&lt;0,"",output!AK30)</f>
        <v>1.8110725181493844E-6</v>
      </c>
      <c r="BG84" s="75"/>
      <c r="BH84" s="311">
        <f>IF(output!AK29&lt;0,"",output!AK29)</f>
        <v>5.2202321491109944E-6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1.3483590190743879E-6</v>
      </c>
      <c r="AV85" s="87"/>
      <c r="AW85" s="75"/>
      <c r="AX85" s="304">
        <f>output!AL24</f>
        <v>1.184649665462517E-3</v>
      </c>
      <c r="AY85" s="87"/>
      <c r="AZ85" s="201"/>
      <c r="BA85" s="311">
        <f>IF(output!AI23&lt;0,"",output!AI23)</f>
        <v>3.8208245759943992E-9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5.5641416130410371E-3</v>
      </c>
      <c r="BE86" s="87"/>
      <c r="BF86" s="304">
        <f>IF(output!AJ30&lt;0,"",output!AJ30)</f>
        <v>2.060793190015198E-3</v>
      </c>
      <c r="BG86" s="75"/>
      <c r="BH86" s="311">
        <f>IF(output!AJ29&lt;0,"",output!AJ29)</f>
        <v>1.2364759140091192E-2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3.0856450968531981E-2</v>
      </c>
      <c r="AV87" s="200"/>
      <c r="AW87" s="84"/>
      <c r="AX87" s="304">
        <f>IF(output!AH24&lt;0,"",output!AH24)</f>
        <v>7.9655031459334045E-4</v>
      </c>
      <c r="AY87" s="291">
        <f>output!AL24</f>
        <v>1.184649665462517E-3</v>
      </c>
      <c r="AZ87" s="75"/>
      <c r="BA87" s="311">
        <f>IF(output!AH23&lt;0,"",output!AH23)</f>
        <v>7.2413664963030954E-5</v>
      </c>
      <c r="BB87" s="291">
        <f>output!AL23</f>
        <v>1.0769542413295611E-4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4.8374093829054469E-6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8.7996088560686611E-4</v>
      </c>
      <c r="AT89" s="83"/>
      <c r="AU89" s="302"/>
      <c r="AV89" s="75"/>
      <c r="AW89" s="81"/>
      <c r="AX89" s="265">
        <f>output!AD24</f>
        <v>4.8374093829054469E-6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4.65522017185169E-2</v>
      </c>
      <c r="AT90" s="81"/>
      <c r="AU90" s="278">
        <f>output!AD25</f>
        <v>0.14322442400745256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1.7526785888850559E-4</v>
      </c>
      <c r="BB91" s="309">
        <f>IF(ISERROR(output!F15),0,output!F15)</f>
        <v>1.0457843345699209E-3</v>
      </c>
      <c r="BC91" s="2"/>
      <c r="BD91" s="295">
        <f>output!AG28</f>
        <v>5.0258153669356714E-3</v>
      </c>
      <c r="BE91" s="2"/>
      <c r="BF91" s="312">
        <f>output!AG30</f>
        <v>1.8612767641025588E-3</v>
      </c>
      <c r="BG91" s="75"/>
      <c r="BH91" s="295">
        <f>output!AG29</f>
        <v>1.1789673355072965E-2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6.2777873030510538E-3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1.0505672119030926E-3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2.6543341529136275E-4</v>
      </c>
      <c r="AZ96" s="75"/>
      <c r="BA96" s="75"/>
      <c r="BB96" s="43"/>
      <c r="BC96" s="2"/>
      <c r="BD96" s="277">
        <f>IF(ISERROR(output!F39),0,output!F39)</f>
        <v>5.9956952034483264E-2</v>
      </c>
      <c r="BE96" s="43"/>
      <c r="BF96" s="277">
        <f>IF(ISERROR(output!F47),0,output!F47)</f>
        <v>2.2204652085386436E-2</v>
      </c>
      <c r="BG96" s="43"/>
      <c r="BH96" s="277">
        <f>IF(ISERROR(output!F43),0,output!F43)</f>
        <v>0.14064839796996523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0.12746269551558662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3.2017929799282174E-4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4.21858864925637E-5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0.76088070895195337</v>
      </c>
      <c r="AW101" s="56"/>
      <c r="AX101" s="307"/>
      <c r="AY101" s="276">
        <f>IF(ISERROR(output!F23),0,output!F23)</f>
        <v>2.2647105887000393E-3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2.9848656114884553E-4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3.6311594401082655E-4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3.4695690876255019E-3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6.4629382861981018E-5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1.2559996208895254E-5</v>
      </c>
      <c r="AY111" s="75"/>
      <c r="AZ111" s="75"/>
      <c r="BA111" s="75"/>
      <c r="BB111" s="76"/>
      <c r="BC111" s="2"/>
      <c r="BD111" s="295">
        <f>output!AF28</f>
        <v>3.5514873950898803E-6</v>
      </c>
      <c r="BE111" s="76"/>
      <c r="BF111" s="295">
        <f>output!AF30</f>
        <v>1.3162795658028825E-6</v>
      </c>
      <c r="BG111" s="43"/>
      <c r="BH111" s="294">
        <f>output!AF29</f>
        <v>3.7940418386136084E-6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8.7145245278978364E-10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2.3155288494650853E-9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4.2121198677622262E-8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1.9768294261778472E-9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1.1688626538303713E-6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4.6226770338299831E-8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1.4461219898821781E-6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3.8163895265677186E-7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1.4460160721263814E-6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5.5086067036727018E-4</v>
      </c>
      <c r="AT136" s="81">
        <f>output!AD32</f>
        <v>8.6830229019053476E-3</v>
      </c>
      <c r="AU136" s="268">
        <f>output!AF32</f>
        <v>1.7327801975262897E-7</v>
      </c>
      <c r="AV136" s="221"/>
      <c r="AW136" s="221"/>
      <c r="AX136" s="221"/>
      <c r="AY136" s="279">
        <f>output!AE38</f>
        <v>7.4539165063978948E-6</v>
      </c>
      <c r="AZ136" s="266">
        <f>output!AD38</f>
        <v>1.7942584085024404E-4</v>
      </c>
      <c r="BA136" s="268">
        <f>output!AF38</f>
        <v>3.943951284214583E-9</v>
      </c>
      <c r="BB136" s="75"/>
      <c r="BC136" s="75"/>
      <c r="BD136" s="75"/>
      <c r="BE136" s="279">
        <f>output!AE44</f>
        <v>6.514112394926172E-6</v>
      </c>
      <c r="BF136" s="266">
        <f>output!AD44</f>
        <v>3.1077467254339005E-4</v>
      </c>
      <c r="BG136" s="268">
        <f>output!AF44</f>
        <v>5.9698427700410743E-9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4.2667188876022071E-3</v>
      </c>
      <c r="AV141" s="223" t="s">
        <v>446</v>
      </c>
      <c r="AW141" s="221"/>
      <c r="AX141" s="221"/>
      <c r="AY141" s="2"/>
      <c r="AZ141" s="202"/>
      <c r="BA141" s="269">
        <f>output!AG38</f>
        <v>8.0240947281689956E-5</v>
      </c>
      <c r="BB141" s="47" t="s">
        <v>446</v>
      </c>
      <c r="BC141" s="75"/>
      <c r="BD141" s="75"/>
      <c r="BE141" s="2"/>
      <c r="BF141" s="202"/>
      <c r="BG141" s="269">
        <f>output!AG44</f>
        <v>1.6343261453863737E-4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8.9681641080072898E-4</v>
      </c>
      <c r="AW142" s="221"/>
      <c r="AX142" s="221"/>
      <c r="AY142" s="203"/>
      <c r="AZ142" s="202"/>
      <c r="BA142" s="75"/>
      <c r="BB142" s="277">
        <f>IF(ISERROR(output!J11),0,output!J11)</f>
        <v>4.1213817707472304E-5</v>
      </c>
      <c r="BC142" s="75"/>
      <c r="BD142" s="75"/>
      <c r="BE142" s="203"/>
      <c r="BF142" s="75"/>
      <c r="BG142" s="75"/>
      <c r="BH142" s="277">
        <f>IF(ISERROR(output!L11),0,output!L11)</f>
        <v>5.5271690671437126E-3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1.4133584730394932E-6</v>
      </c>
      <c r="AY144" s="2"/>
      <c r="AZ144" s="75"/>
      <c r="BA144" s="75"/>
      <c r="BB144" s="75"/>
      <c r="BC144" s="75"/>
      <c r="BD144" s="270">
        <f>k.sA.aA*M.sA*Molweight</f>
        <v>3.57406906926489E-9</v>
      </c>
      <c r="BE144" s="2"/>
      <c r="BF144" s="75"/>
      <c r="BG144" s="75"/>
      <c r="BH144" s="75"/>
      <c r="BI144" s="75"/>
      <c r="BJ144" s="270">
        <f>k.sT.aT*M.sT*Molweight</f>
        <v>7.2357830856508398E-8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2.5047010390051979E-7</v>
      </c>
      <c r="AV145" s="221"/>
      <c r="AW145" s="221"/>
      <c r="AX145" s="221"/>
      <c r="AY145" s="2"/>
      <c r="AZ145" s="75"/>
      <c r="BA145" s="270">
        <f>k.w2A.aA*M.w2A*Molweight</f>
        <v>1.4999212833854162E-9</v>
      </c>
      <c r="BB145" s="75"/>
      <c r="BC145" s="75"/>
      <c r="BD145" s="221"/>
      <c r="BE145" s="2"/>
      <c r="BF145" s="75"/>
      <c r="BG145" s="270">
        <f>k.w2T.aT*M.w2T*Molweight</f>
        <v>3.1081588913500658E-9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1.6081223461620769E-3</v>
      </c>
      <c r="AY146" s="2"/>
      <c r="AZ146" s="75"/>
      <c r="BA146" s="221"/>
      <c r="BB146" s="75"/>
      <c r="BC146" s="75"/>
      <c r="BD146" s="270">
        <f>IF(output!AJ42&lt;0,"",output!AJ42)</f>
        <v>2.9669689728658929E-5</v>
      </c>
      <c r="BE146" s="2"/>
      <c r="BF146" s="75"/>
      <c r="BG146" s="221"/>
      <c r="BH146" s="75"/>
      <c r="BI146" s="75"/>
      <c r="BJ146" s="270">
        <f>IF(output!AJ48&lt;0,"",output!AJ48)</f>
        <v>3.2851251397299856E-5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4.0070491075423514E-2</v>
      </c>
      <c r="AT147" s="81">
        <f>output!AD33</f>
        <v>4.9497469944606937E-2</v>
      </c>
      <c r="AU147" s="270">
        <f>IF(output!AH33&lt;0,"",output!AH33)</f>
        <v>2.2588115483309812E-3</v>
      </c>
      <c r="AV147" s="272">
        <f>output!AL33</f>
        <v>1.531447565881998E-4</v>
      </c>
      <c r="AW147" s="221"/>
      <c r="AX147" s="221"/>
      <c r="AY147" s="279">
        <f>output!AE39</f>
        <v>6.9414932549199315E-3</v>
      </c>
      <c r="AZ147" s="266">
        <f>output!AD39</f>
        <v>7.3621323422469994E-3</v>
      </c>
      <c r="BA147" s="270">
        <f>IF(output!AH39&lt;0,"",output!AH39)</f>
        <v>6.2062417372565725E-5</v>
      </c>
      <c r="BB147" s="272">
        <f>output!AL39</f>
        <v>4.4066662372456615E-6</v>
      </c>
      <c r="BC147" s="75"/>
      <c r="BD147" s="75"/>
      <c r="BE147" s="279">
        <f>output!AE45</f>
        <v>6.843725945315946E-5</v>
      </c>
      <c r="BF147" s="266">
        <f>output!AD45</f>
        <v>1.7932432851506896E-5</v>
      </c>
      <c r="BG147" s="270">
        <f>IF(output!AH45&lt;0,"",output!AH45)</f>
        <v>1.0804619035950451E-4</v>
      </c>
      <c r="BH147" s="272">
        <f>output!AL45</f>
        <v>2.4079554928293596E-6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0.25853546446052772</v>
      </c>
      <c r="AW150" s="221"/>
      <c r="AX150" s="221"/>
      <c r="AY150" s="2"/>
      <c r="AZ150" s="75"/>
      <c r="BA150" s="59"/>
      <c r="BB150" s="273">
        <f>IF(ISERROR(output!J27),0,output!J27)</f>
        <v>9.8686551313017651E-2</v>
      </c>
      <c r="BC150" s="78"/>
      <c r="BD150" s="75"/>
      <c r="BE150" s="2"/>
      <c r="BF150" s="75"/>
      <c r="BG150" s="59"/>
      <c r="BH150" s="273">
        <f>IF(ISERROR(output!L27),0,output!L27)</f>
        <v>9.5108471255631252E-2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1.4525377967216744E-3</v>
      </c>
      <c r="AY151" s="2"/>
      <c r="AZ151" s="75"/>
      <c r="BA151" s="59"/>
      <c r="BB151" s="49"/>
      <c r="BC151" s="75"/>
      <c r="BD151" s="274">
        <f>output!AJ42</f>
        <v>2.9669689728658929E-5</v>
      </c>
      <c r="BE151" s="2"/>
      <c r="BF151" s="75"/>
      <c r="BG151" s="59"/>
      <c r="BH151" s="59"/>
      <c r="BI151" s="75"/>
      <c r="BJ151" s="274">
        <f>output!AG48</f>
        <v>3.0354759625401726E-5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1.1838684703998702E-2</v>
      </c>
      <c r="AW152" s="221"/>
      <c r="AX152" s="221"/>
      <c r="AY152" s="2"/>
      <c r="AZ152" s="75"/>
      <c r="BA152" s="59"/>
      <c r="BB152" s="257">
        <f>output!AG39</f>
        <v>4.8710667101559829E-4</v>
      </c>
      <c r="BC152" s="2"/>
      <c r="BD152" s="75"/>
      <c r="BE152" s="2"/>
      <c r="BF152" s="75"/>
      <c r="BG152" s="59"/>
      <c r="BH152" s="257">
        <f>output!AG45</f>
        <v>5.9946211091789913E-5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2.9649269723161687E-3</v>
      </c>
      <c r="AU153" s="224"/>
      <c r="AV153" s="225"/>
      <c r="AW153" s="221"/>
      <c r="AX153" s="221"/>
      <c r="AY153" s="2"/>
      <c r="AZ153" s="275">
        <f>k.w3A.w2A*M.w3A*Molweight</f>
        <v>2.0884579984542582E-3</v>
      </c>
      <c r="BA153" s="59"/>
      <c r="BB153" s="49"/>
      <c r="BC153" s="2"/>
      <c r="BD153" s="75"/>
      <c r="BE153" s="2"/>
      <c r="BF153" s="275">
        <f>k.w3T.w2T*M.w3T*Molweight</f>
        <v>1.7932432851506896E-5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3.3969321214144074E-2</v>
      </c>
      <c r="AU155" s="221"/>
      <c r="AV155" s="223" t="s">
        <v>2166</v>
      </c>
      <c r="AW155" s="221"/>
      <c r="AX155" s="271">
        <f>IF(ISERROR(output!H47),0,output!H47)</f>
        <v>6.3393343156385146E-2</v>
      </c>
      <c r="AY155" s="2"/>
      <c r="AZ155" s="275">
        <f>k.w2A.w3A*M.w2A*Molweight</f>
        <v>6.9414932549199315E-3</v>
      </c>
      <c r="BA155" s="75"/>
      <c r="BB155" s="223" t="s">
        <v>2166</v>
      </c>
      <c r="BC155" s="47"/>
      <c r="BD155" s="271">
        <f>IF(ISERROR(output!J47),0,output!J47)</f>
        <v>1.0215367549977509E-2</v>
      </c>
      <c r="BE155" s="2"/>
      <c r="BF155" s="275">
        <f>k.w2T.w3T*M.w2T*Molweight</f>
        <v>6.372428836566578E-5</v>
      </c>
      <c r="BG155" s="75"/>
      <c r="BH155" s="223" t="s">
        <v>2166</v>
      </c>
      <c r="BI155" s="47"/>
      <c r="BJ155" s="271">
        <f>IF(ISERROR(output!L47),0,output!L47)</f>
        <v>9.6246246769110255E-2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0.67696858030840223</v>
      </c>
      <c r="AW156" s="221"/>
      <c r="AX156" s="221"/>
      <c r="AY156" s="203"/>
      <c r="AZ156" s="2"/>
      <c r="BA156" s="75"/>
      <c r="BB156" s="273">
        <f>IF(ISERROR(output!J31),0,output!J31)</f>
        <v>0.890742279192414</v>
      </c>
      <c r="BC156" s="75"/>
      <c r="BD156" s="75"/>
      <c r="BE156" s="203"/>
      <c r="BF156" s="2"/>
      <c r="BG156" s="75"/>
      <c r="BH156" s="273">
        <f>IF(ISERROR(output!L31),0,output!L31)</f>
        <v>0.80292443500397281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3.4252264056357945E-3</v>
      </c>
      <c r="AT157" s="266">
        <f>output!AD34</f>
        <v>3.4425571324876635E-2</v>
      </c>
      <c r="AU157" s="221"/>
      <c r="AV157" s="225"/>
      <c r="AW157" s="226"/>
      <c r="AX157" s="221"/>
      <c r="AY157" s="279">
        <f>output!AE40</f>
        <v>2.5447081091868181E-3</v>
      </c>
      <c r="AZ157" s="266">
        <f>output!AD40</f>
        <v>6.9414932549199315E-3</v>
      </c>
      <c r="BA157" s="75"/>
      <c r="BB157" s="2"/>
      <c r="BC157" s="76"/>
      <c r="BD157" s="75"/>
      <c r="BE157" s="279">
        <f>output!AE46</f>
        <v>1.7932432851506896E-5</v>
      </c>
      <c r="BF157" s="266">
        <f>output!AD46</f>
        <v>5.240237216852918E-4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3.0999296725143913E-2</v>
      </c>
      <c r="AW158" s="226"/>
      <c r="AX158" s="221"/>
      <c r="AY158" s="2"/>
      <c r="AZ158" s="75"/>
      <c r="BA158" s="75"/>
      <c r="BB158" s="274">
        <f>output!AG40</f>
        <v>4.3966123101621636E-3</v>
      </c>
      <c r="BC158" s="2"/>
      <c r="BD158" s="75"/>
      <c r="BE158" s="2"/>
      <c r="BF158" s="75"/>
      <c r="BG158" s="75"/>
      <c r="BH158" s="274">
        <f>output!AG46</f>
        <v>5.0607771354178345E-4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4.8391958558704332E-6</v>
      </c>
      <c r="AU159" s="221"/>
      <c r="AV159" s="221"/>
      <c r="AW159" s="226"/>
      <c r="AX159" s="221"/>
      <c r="AY159" s="2"/>
      <c r="AZ159" s="272">
        <f>k.sdA.w3A*M.sdA*Molweight</f>
        <v>3.6638404095825489E-6</v>
      </c>
      <c r="BA159" s="2"/>
      <c r="BB159" s="75"/>
      <c r="BC159" s="2"/>
      <c r="BD159" s="75"/>
      <c r="BE159" s="2"/>
      <c r="BF159" s="275">
        <f>k.sdT.w3T*M.sdT*Molweight</f>
        <v>2.5459258194027024E-8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5.8873899527964961E-6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3.8366759805323642E-6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3.9034550195473347E-8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2.0579566388420303E-4</v>
      </c>
      <c r="AW162" s="221"/>
      <c r="AX162" s="221"/>
      <c r="AY162" s="2"/>
      <c r="AZ162" s="75"/>
      <c r="BA162" s="47"/>
      <c r="BB162" s="276">
        <f>IF(ISERROR(output!J35),0,output!J35)</f>
        <v>3.1458812688339987E-4</v>
      </c>
      <c r="BC162" s="75"/>
      <c r="BD162" s="75"/>
      <c r="BE162" s="2"/>
      <c r="BF162" s="75"/>
      <c r="BG162" s="47"/>
      <c r="BH162" s="276">
        <f>IF(ISERROR(output!L35),0,output!L35)</f>
        <v>1.9367790414193562E-4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1.0478702067285712E-6</v>
      </c>
      <c r="AV164" s="269">
        <f>output!AF35</f>
        <v>3.2389019749131368E-10</v>
      </c>
      <c r="AW164" s="221"/>
      <c r="AX164" s="274">
        <f>output!AF36</f>
        <v>1.0264343791630345E-6</v>
      </c>
      <c r="AY164" s="2"/>
      <c r="AZ164" s="2"/>
      <c r="BA164" s="269">
        <f>output!AG41</f>
        <v>1.726618446563467E-7</v>
      </c>
      <c r="BB164" s="269">
        <f>output!AF41</f>
        <v>1.7372629346903457E-10</v>
      </c>
      <c r="BC164" s="75"/>
      <c r="BD164" s="274">
        <f>output!AF42</f>
        <v>2.9257166742756159E-8</v>
      </c>
      <c r="BE164" s="2"/>
      <c r="BF164" s="2"/>
      <c r="BG164" s="269">
        <f>output!AG47</f>
        <v>1.357408481388735E-8</v>
      </c>
      <c r="BH164" s="269">
        <f>output!AF47</f>
        <v>1.207187558975439E-12</v>
      </c>
      <c r="BI164" s="75"/>
      <c r="BJ164" s="274">
        <f>output!AF48</f>
        <v>1.6178448212272827E-8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473.0160448611669</v>
      </c>
      <c r="BA172" s="128">
        <f>output!I11</f>
        <v>10.766237057923199</v>
      </c>
      <c r="BB172" s="128">
        <f>output!K11</f>
        <v>16.296535588063346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136361.71392790953</v>
      </c>
      <c r="BA173" s="128">
        <f>output!I27</f>
        <v>25779.771566083662</v>
      </c>
      <c r="BB173" s="128">
        <f>output!K27</f>
        <v>280.42177970587386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357059.70195934706</v>
      </c>
      <c r="BA174" s="128">
        <f>output!I31</f>
        <v>232687.55647360539</v>
      </c>
      <c r="BB174" s="128">
        <f>output!K31</f>
        <v>2367.3758610625969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108.54468072586776</v>
      </c>
      <c r="BA175" s="128">
        <f>output!I35</f>
        <v>82.179485862592983</v>
      </c>
      <c r="BB175" s="128">
        <f>output!K35</f>
        <v>0.57104800289773883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33436.128163161899</v>
      </c>
      <c r="BA176" s="128">
        <f>output!I47</f>
        <v>2668.5484333797535</v>
      </c>
      <c r="BB176" s="128">
        <f>output!K47</f>
        <v>283.7764444395545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9" priority="40" operator="equal">
      <formula>0</formula>
    </cfRule>
  </conditionalFormatting>
  <conditionalFormatting sqref="M50">
    <cfRule type="cellIs" dxfId="168" priority="39" operator="equal">
      <formula>0</formula>
    </cfRule>
  </conditionalFormatting>
  <conditionalFormatting sqref="BN19 BN21 BN23 BN25 BN27 BN29 BN31 BO9:BO10">
    <cfRule type="cellIs" dxfId="167" priority="38" operator="equal">
      <formula>0</formula>
    </cfRule>
  </conditionalFormatting>
  <conditionalFormatting sqref="BN2:BQ2">
    <cfRule type="cellIs" dxfId="166" priority="37" operator="equal">
      <formula>0</formula>
    </cfRule>
  </conditionalFormatting>
  <conditionalFormatting sqref="BP281:BP291">
    <cfRule type="cellIs" dxfId="165" priority="28" operator="equal">
      <formula>0</formula>
    </cfRule>
  </conditionalFormatting>
  <conditionalFormatting sqref="BR2:BS2">
    <cfRule type="cellIs" dxfId="164" priority="21" operator="equal">
      <formula>0</formula>
    </cfRule>
  </conditionalFormatting>
  <conditionalFormatting sqref="BQ9:BQ10">
    <cfRule type="cellIs" dxfId="163" priority="13" operator="equal">
      <formula>0</formula>
    </cfRule>
  </conditionalFormatting>
  <conditionalFormatting sqref="BQ285">
    <cfRule type="cellIs" dxfId="162" priority="9" operator="equal">
      <formula>0</formula>
    </cfRule>
  </conditionalFormatting>
  <conditionalFormatting sqref="BN282:BN1047">
    <cfRule type="cellIs" dxfId="161" priority="6" operator="equal">
      <formula>0</formula>
    </cfRule>
  </conditionalFormatting>
  <conditionalFormatting sqref="BO282:BO1047">
    <cfRule type="cellIs" dxfId="160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0.48053878939125416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1.4416163681737624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1.4416163681737624</v>
      </c>
      <c r="G11" s="508">
        <f>2*Scale*(M.tot/Emis.tot)/(3600*24*365)</f>
        <v>2.8832327363475247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5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9" priority="12" operator="equal">
      <formula>0</formula>
    </cfRule>
  </conditionalFormatting>
  <conditionalFormatting sqref="E8:AB1041">
    <cfRule type="cellIs" dxfId="158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7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0.12462796418239608</v>
      </c>
      <c r="M220" s="452">
        <f t="shared" si="0"/>
        <v>0.12462796418239608</v>
      </c>
      <c r="N220" s="452">
        <f t="shared" si="0"/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0.87537203581760392</v>
      </c>
      <c r="M222" s="452">
        <f>(0.00015*0.172)/((IF(Tm&gt;298,EXP(-6.79*(1-Tm/298))*Pvap25*EXP((H0vap/8.314)*(1/298-1/TEMP.R)),Pvap25*EXP((H0vap/8.314)*(1/298-1/TEMP.R))))+(0.00015*0.172))</f>
        <v>0.87537203581760392</v>
      </c>
      <c r="N222" s="452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0.99978338121031318</v>
      </c>
      <c r="M226" s="452">
        <f t="shared" si="1"/>
        <v>0.99978338121031318</v>
      </c>
      <c r="N226" s="452">
        <f t="shared" si="1"/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0.99830430980414364</v>
      </c>
      <c r="M232" s="452">
        <f t="shared" si="2"/>
        <v>0.99830430980414364</v>
      </c>
      <c r="N232" s="452">
        <f t="shared" si="2"/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0.99933769729472144</v>
      </c>
      <c r="M238" s="452">
        <f t="shared" si="3"/>
        <v>0.99933769729472144</v>
      </c>
      <c r="N238" s="452">
        <f t="shared" si="3"/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1.8297591523602687E-5</v>
      </c>
      <c r="M268" s="451">
        <f>((DRYDEPaerosol.R+AerosolWashout.R+GasWashout.R+GASABS.aR.wR)/HEIGHT.aR)*AREAFRAC.w0R</f>
        <v>1.8297591523602687E-5</v>
      </c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2.0127350675962956E-4</v>
      </c>
      <c r="M269" s="451">
        <f>((DRYDEPaerosol.R+AerosolWashout.R+GasWashout.R+GASABS.aR.wR)/HEIGHT.aR)*AREAFRAC.w1R</f>
        <v>2.0127350675962956E-4</v>
      </c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3.2020985297462849E-5</v>
      </c>
      <c r="M270" s="451">
        <f>((DRYDEPaerosol.R+AerosolWashout.R+GasWashout.R+GASABS.aR.wR)/HEIGHT.aR)*AREAFRAC.w2R</f>
        <v>3.2020985297462849E-5</v>
      </c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1.9754002880121276E-3</v>
      </c>
      <c r="M271" s="451">
        <f>((DRYDEPaerosol.R+AerosolWashout.R+GasWashout.R+GASABS.aR.sR)/HEIGHT.aR)*AREAFRAC.s1R</f>
        <v>1.9754002880121276E-3</v>
      </c>
      <c r="N271" s="451">
        <f>((DRYDEPaerosol.R+AerosolWashout.R+GasWashout.R+GASABS.aR.sR)/HEIGHT.aR)*AREAFRAC.s1R</f>
        <v>1.9754002880121276E-3</v>
      </c>
      <c r="O271" s="451">
        <f>((DRYDEPaerosol.R+AerosolWashout.R+GasWashout.R+GASABS.aR.sR)/HEIGHT.aR)*AREAFRAC.s1R</f>
        <v>1.9754002880121276E-3</v>
      </c>
      <c r="P271" s="451">
        <f>((DRYDEPaerosol.R+AerosolWashout.R+GasWashout.R+GASABS.aR.sR)/HEIGHT.aR)*AREAFRAC.s1R</f>
        <v>1.9754002880121276E-3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4.389778417804727E-3</v>
      </c>
      <c r="M272" s="451">
        <f>((DRYDEPaerosol.R+AerosolWashout.R+GasWashout.R+GASABS.aR.sR)/HEIGHT.aR)*AREAFRAC.s2R</f>
        <v>4.389778417804727E-3</v>
      </c>
      <c r="N272" s="451">
        <f>((DRYDEPaerosol.R+AerosolWashout.R+GasWashout.R+GASABS.aR.sR)/HEIGHT.aR)*AREAFRAC.s2R</f>
        <v>4.389778417804727E-3</v>
      </c>
      <c r="O272" s="451">
        <f>((DRYDEPaerosol.R+AerosolWashout.R+GasWashout.R+GASABS.aR.sR)/HEIGHT.aR)*AREAFRAC.s2R</f>
        <v>4.389778417804727E-3</v>
      </c>
      <c r="P272" s="451">
        <f>((DRYDEPaerosol.R+AerosolWashout.R+GasWashout.R+GASABS.aR.sR)/HEIGHT.aR)*AREAFRAC.s2R</f>
        <v>4.389778417804727E-3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7.3162973630078783E-4</v>
      </c>
      <c r="M273" s="451">
        <f>((DRYDEPaerosol.R+AerosolWashout.R+GasWashout.R+GASABS.aR.sR)/HEIGHT.aR)*AREAFRAC.s3R</f>
        <v>7.3162973630078783E-4</v>
      </c>
      <c r="N273" s="451">
        <f>((DRYDEPaerosol.R+AerosolWashout.R+GasWashout.R+GASABS.aR.sR)/HEIGHT.aR)*AREAFRAC.s3R</f>
        <v>7.3162973630078783E-4</v>
      </c>
      <c r="O273" s="451">
        <f>((DRYDEPaerosol.R+AerosolWashout.R+GasWashout.R+GASABS.aR.sR)/HEIGHT.aR)*AREAFRAC.s3R</f>
        <v>7.3162973630078783E-4</v>
      </c>
      <c r="P273" s="451">
        <f>((DRYDEPaerosol.R+AerosolWashout.R+GasWashout.R+GASABS.aR.sR)/HEIGHT.aR)*AREAFRAC.s3R</f>
        <v>7.3162973630078783E-4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2.352999540191509E-5</v>
      </c>
      <c r="M286" s="451">
        <f>AEROSOLdeprate.R*FRaers.aR</f>
        <v>2.352999540191509E-5</v>
      </c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1.0622130094040873E-4</v>
      </c>
      <c r="M287" s="452">
        <f t="shared" si="4"/>
        <v>1.0622130094040873E-4</v>
      </c>
      <c r="N287" s="452">
        <f t="shared" si="4"/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0.44073100068471405</v>
      </c>
      <c r="M288" s="452">
        <f t="shared" si="5"/>
        <v>0.44073100068471405</v>
      </c>
      <c r="N288" s="452">
        <f t="shared" si="5"/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2.8900000000000001E-5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0.12462796418239608</v>
      </c>
      <c r="M445" s="452">
        <f t="shared" si="6"/>
        <v>0.12462796418239608</v>
      </c>
      <c r="N445" s="452">
        <f t="shared" si="6"/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0.87537203581760392</v>
      </c>
      <c r="M447" s="452">
        <f t="shared" si="7"/>
        <v>0.87537203581760392</v>
      </c>
      <c r="N447" s="452">
        <f t="shared" si="7"/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0.99978338121031318</v>
      </c>
      <c r="M451" s="452">
        <f t="shared" si="8"/>
        <v>0.99978338121031318</v>
      </c>
      <c r="N451" s="452">
        <f t="shared" si="8"/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0.99830430980414364</v>
      </c>
      <c r="M457" s="452">
        <f t="shared" si="9"/>
        <v>0.99830430980414364</v>
      </c>
      <c r="N457" s="452">
        <f t="shared" si="9"/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0.99933769729472144</v>
      </c>
      <c r="M463" s="452">
        <f t="shared" si="10"/>
        <v>0.99933769729472144</v>
      </c>
      <c r="N463" s="452">
        <f t="shared" si="10"/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8.8983611508293877E-6</v>
      </c>
      <c r="M493" s="451">
        <f>((DRYDEPaerosol.C+AerosolWashout.C+GasWashout.C+GASABS.aC.wC)/HEIGHT.aC)*AREAFRAC.w0C</f>
        <v>8.8983611508293877E-6</v>
      </c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9.7881972659123254E-5</v>
      </c>
      <c r="M494" s="451">
        <f>((DRYDEPaerosol.C+AerosolWashout.C+GasWashout.C+GASABS.aC.wC)/HEIGHT.aC)*AREAFRAC.w1C</f>
        <v>9.7881972659123254E-5</v>
      </c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3.7917131344067834E-3</v>
      </c>
      <c r="M495" s="451">
        <f>((DRYDEPaerosol.C+AerosolWashout.C+GasWashout.C+GASABS.aC.wC)/HEIGHT.aC)*AREAFRAC.w2C</f>
        <v>3.7917131344067834E-3</v>
      </c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9.6066332869602325E-4</v>
      </c>
      <c r="M496" s="451">
        <f>((DRYDEPaerosol.C+AerosolWashout.C+GasWashout.C+GASABS.aC.sC)/HEIGHT.aC)*AREAFRAC.s1C</f>
        <v>9.6066332869602325E-4</v>
      </c>
      <c r="N496" s="451">
        <f>((DRYDEPaerosol.C+AerosolWashout.C+GasWashout.C+GASABS.aC.sC)/HEIGHT.aC)*AREAFRAC.s1C</f>
        <v>9.6066332869602325E-4</v>
      </c>
      <c r="O496" s="451">
        <f>((DRYDEPaerosol.C+AerosolWashout.C+GasWashout.C+GASABS.aC.sC)/HEIGHT.aC)*AREAFRAC.s1C</f>
        <v>9.6066332869602325E-4</v>
      </c>
      <c r="P496" s="451">
        <f>((DRYDEPaerosol.C+AerosolWashout.C+GasWashout.C+GASABS.aC.sC)/HEIGHT.aC)*AREAFRAC.s1C</f>
        <v>9.6066332869602325E-4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2.1348073971022737E-3</v>
      </c>
      <c r="M497" s="451">
        <f>((DRYDEPaerosol.C+AerosolWashout.C+GasWashout.C+GASABS.aC.sC)/HEIGHT.aC)*AREAFRAC.s2C</f>
        <v>2.1348073971022737E-3</v>
      </c>
      <c r="N497" s="451">
        <f>((DRYDEPaerosol.C+AerosolWashout.C+GasWashout.C+GASABS.aC.sC)/HEIGHT.aC)*AREAFRAC.s2C</f>
        <v>2.1348073971022737E-3</v>
      </c>
      <c r="O497" s="451">
        <f>((DRYDEPaerosol.C+AerosolWashout.C+GasWashout.C+GASABS.aC.sC)/HEIGHT.aC)*AREAFRAC.s2C</f>
        <v>2.1348073971022737E-3</v>
      </c>
      <c r="P497" s="451">
        <f>((DRYDEPaerosol.C+AerosolWashout.C+GasWashout.C+GASABS.aC.sC)/HEIGHT.aC)*AREAFRAC.s2C</f>
        <v>2.1348073971022737E-3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3.5580123285037889E-4</v>
      </c>
      <c r="M498" s="451">
        <f>((DRYDEPaerosol.C+AerosolWashout.C+GasWashout.C+GASABS.aC.sC)/HEIGHT.aC)*AREAFRAC.s3C</f>
        <v>3.5580123285037889E-4</v>
      </c>
      <c r="N498" s="451">
        <f>((DRYDEPaerosol.C+AerosolWashout.C+GasWashout.C+GASABS.aC.sC)/HEIGHT.aC)*AREAFRAC.s3C</f>
        <v>3.5580123285037889E-4</v>
      </c>
      <c r="O498" s="451">
        <f>((DRYDEPaerosol.C+AerosolWashout.C+GasWashout.C+GASABS.aC.sC)/HEIGHT.aC)*AREAFRAC.s3C</f>
        <v>3.5580123285037889E-4</v>
      </c>
      <c r="P498" s="451">
        <f>((DRYDEPaerosol.C+AerosolWashout.C+GasWashout.C+GASABS.aC.sC)/HEIGHT.aC)*AREAFRAC.s3C</f>
        <v>3.5580123285037889E-4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2.352999540191509E-5</v>
      </c>
      <c r="M511" s="452">
        <f>AEROSOLdeprate.C*FRaers.aC</f>
        <v>2.352999540191509E-5</v>
      </c>
      <c r="N511" s="452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1.0622130094040873E-4</v>
      </c>
      <c r="M512" s="452">
        <f t="shared" si="11"/>
        <v>1.0622130094040873E-4</v>
      </c>
      <c r="N512" s="452">
        <f t="shared" si="11"/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0.44073100068471405</v>
      </c>
      <c r="M513" s="452">
        <f t="shared" si="12"/>
        <v>0.44073100068471405</v>
      </c>
      <c r="N513" s="452">
        <f t="shared" si="12"/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2.8900000000000001E-5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0.12462796418239608</v>
      </c>
      <c r="M650" s="452">
        <f t="shared" si="13"/>
        <v>0.12462796418239608</v>
      </c>
      <c r="N650" s="452">
        <f t="shared" si="13"/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0.87537203581760392</v>
      </c>
      <c r="M652" s="452">
        <f t="shared" si="14"/>
        <v>0.87537203581760392</v>
      </c>
      <c r="N652" s="452">
        <f t="shared" si="14"/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0.99933769729472144</v>
      </c>
      <c r="M657" s="452">
        <f t="shared" si="15"/>
        <v>0.99933769729472144</v>
      </c>
      <c r="N657" s="452">
        <f t="shared" si="15"/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0.99933769729472144</v>
      </c>
      <c r="M658" s="452">
        <f t="shared" si="16"/>
        <v>0.99933769729472144</v>
      </c>
      <c r="N658" s="452">
        <f t="shared" si="16"/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3.6755287996258572E-3</v>
      </c>
      <c r="M680" s="451">
        <f>((DRYDEPaerosol.M+AerosolWashout.M+GasWashout.M+GASABS.aM.wM)/HEIGHT.aC)*AREAFRAC.wM</f>
        <v>3.6755287996258572E-3</v>
      </c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3.6741531820136471E-3</v>
      </c>
      <c r="M681" s="452">
        <f>((DRYDEPaerosol.M+AerosolWashout.M+GasWashout.M+GASABS.aM.sM)/HEIGHT.aC)*AREAFRAC.sM</f>
        <v>3.6741531820136471E-3</v>
      </c>
      <c r="N681" s="452">
        <f>((DRYDEPaerosol.M+AerosolWashout.M+GasWashout.M+GASABS.aM.sM)/HEIGHT.aC)*AREAFRAC.sM</f>
        <v>3.6741531820136471E-3</v>
      </c>
      <c r="O681" s="452">
        <f>((DRYDEPaerosol.M+AerosolWashout.M+GasWashout.M+GASABS.aM.sM)/HEIGHT.aC)*AREAFRAC.sM</f>
        <v>3.6741531820136471E-3</v>
      </c>
      <c r="P681" s="452">
        <f>((DRYDEPaerosol.M+AerosolWashout.M+GasWashout.M+GASABS.aM.sM)/HEIGHT.aC)*AREAFRAC.sM</f>
        <v>3.6741531820136471E-3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2.352999540191509E-5</v>
      </c>
      <c r="M690" s="452">
        <f>AEROSOLdeprate.M*FRaers.aM</f>
        <v>2.352999540191509E-5</v>
      </c>
      <c r="N690" s="452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1.0622130094040873E-4</v>
      </c>
      <c r="M691" s="452">
        <f t="shared" si="17"/>
        <v>1.0622130094040873E-4</v>
      </c>
      <c r="N691" s="452">
        <f t="shared" si="17"/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0.44073100068471405</v>
      </c>
      <c r="M692" s="452">
        <f t="shared" si="18"/>
        <v>0.44073100068471405</v>
      </c>
      <c r="N692" s="452">
        <f t="shared" si="18"/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2.8900000000000001E-5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2.9151179054053289E-3</v>
      </c>
      <c r="M786" s="452">
        <f t="shared" si="19"/>
        <v>2.9151179054053289E-3</v>
      </c>
      <c r="N786" s="452">
        <f t="shared" si="19"/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0.99708488209459467</v>
      </c>
      <c r="M788" s="452">
        <f t="shared" si="20"/>
        <v>0.99708488209459467</v>
      </c>
      <c r="N788" s="452">
        <f t="shared" si="20"/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0.99933769729472144</v>
      </c>
      <c r="M793" s="452">
        <f t="shared" si="21"/>
        <v>0.99933769729472144</v>
      </c>
      <c r="N793" s="452">
        <f t="shared" si="21"/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0.99933769729472144</v>
      </c>
      <c r="M794" s="452">
        <f t="shared" si="22"/>
        <v>0.99933769729472144</v>
      </c>
      <c r="N794" s="452">
        <f t="shared" si="22"/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4.9100836054391223E-2</v>
      </c>
      <c r="M816" s="451">
        <f>((DRYDEPaerosol.A+AerosolWashout.A+GasWashout.A+GASABS.aA.wA)/HEIGHT.aC)*AREAFRAC.wA</f>
        <v>4.9100836054391223E-2</v>
      </c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3.2732803484141253E-2</v>
      </c>
      <c r="M817" s="451">
        <f>((DRYDEPaerosol.A+AerosolWashout.A+GasWashout.A+GASABS.aA.sA)/HEIGHT.aC)*AREAFRAC.sA</f>
        <v>3.2732803484141253E-2</v>
      </c>
      <c r="N817" s="451">
        <f>((DRYDEPaerosol.A+AerosolWashout.A+GasWashout.A+GASABS.aA.sA)/HEIGHT.aC)*AREAFRAC.sA</f>
        <v>3.2732803484141253E-2</v>
      </c>
      <c r="O817" s="451">
        <f>((DRYDEPaerosol.A+AerosolWashout.A+GasWashout.A+GASABS.aA.sA)/HEIGHT.aC)*AREAFRAC.sA</f>
        <v>3.2732803484141253E-2</v>
      </c>
      <c r="P817" s="451">
        <f>((DRYDEPaerosol.A+AerosolWashout.A+GasWashout.A+GASABS.aA.sA)/HEIGHT.aC)*AREAFRAC.sA</f>
        <v>3.2732803484141253E-2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2.3247763912725882E-5</v>
      </c>
      <c r="M826" s="451">
        <f>AEROSOLdeprate.A*FRaers.aA</f>
        <v>2.3247763912725882E-5</v>
      </c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5.6498371502115854E-5</v>
      </c>
      <c r="M827" s="452">
        <f t="shared" si="23"/>
        <v>5.6498371502115854E-5</v>
      </c>
      <c r="N827" s="452">
        <f t="shared" si="23"/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4.9098192398628093</v>
      </c>
      <c r="M828" s="452">
        <f t="shared" si="24"/>
        <v>4.9098192398628093</v>
      </c>
      <c r="N828" s="452">
        <f t="shared" si="24"/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2.8900000000000001E-5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0.5192546583226858</v>
      </c>
      <c r="M922" s="452">
        <f t="shared" si="25"/>
        <v>0.5192546583226858</v>
      </c>
      <c r="N922" s="452">
        <f t="shared" si="25"/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0.48074534167731414</v>
      </c>
      <c r="M924" s="452">
        <f t="shared" si="26"/>
        <v>0.48074534167731414</v>
      </c>
      <c r="N924" s="452">
        <f t="shared" si="26"/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0.99933769729472144</v>
      </c>
      <c r="M929" s="452">
        <f t="shared" si="27"/>
        <v>0.99933769729472144</v>
      </c>
      <c r="N929" s="452">
        <f t="shared" si="27"/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0.99933769729472144</v>
      </c>
      <c r="M930" s="452">
        <f t="shared" si="28"/>
        <v>0.99933769729472144</v>
      </c>
      <c r="N930" s="452">
        <f t="shared" si="28"/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1.5876117326674712E-3</v>
      </c>
      <c r="M952" s="451">
        <f>((DRYDEPaerosol.T+AerosolWashout.T+GasWashout.T+GASABS.aT.wT)/HEIGHT.aT)*AREAFRAC.wT</f>
        <v>1.5876117326674712E-3</v>
      </c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6.7957943816697724E-4</v>
      </c>
      <c r="M953" s="451">
        <f>((DRYDEPaerosol.T+AerosolWashout.T+GasWashout.T+GASABS.aT.sT)/HEIGHT.aT)*AREAFRAC.sT</f>
        <v>6.7957943816697724E-4</v>
      </c>
      <c r="N953" s="451">
        <f>((DRYDEPaerosol.T+AerosolWashout.T+GasWashout.T+GASABS.aT.sT)/HEIGHT.aT)*AREAFRAC.sT</f>
        <v>6.7957943816697724E-4</v>
      </c>
      <c r="O953" s="451">
        <f>((DRYDEPaerosol.T+AerosolWashout.T+GasWashout.T+GASABS.aT.sT)/HEIGHT.aT)*AREAFRAC.sT</f>
        <v>6.7957943816697724E-4</v>
      </c>
      <c r="P953" s="451">
        <f>((DRYDEPaerosol.T+AerosolWashout.T+GasWashout.T+GASABS.aT.sT)/HEIGHT.aT)*AREAFRAC.sT</f>
        <v>6.7957943816697724E-4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2.3537793839004767E-5</v>
      </c>
      <c r="M962" s="451">
        <f>AEROSOLdeprate.T*FRaers.aT</f>
        <v>2.3537793839004767E-5</v>
      </c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1.9460105841749811E-4</v>
      </c>
      <c r="M963" s="452">
        <f t="shared" si="29"/>
        <v>1.9460105841749811E-4</v>
      </c>
      <c r="N963" s="452">
        <f t="shared" si="29"/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0.13565904295464432</v>
      </c>
      <c r="M964" s="452">
        <f t="shared" si="30"/>
        <v>0.13565904295464432</v>
      </c>
      <c r="N964" s="452">
        <f t="shared" si="30"/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2.8900000000000001E-5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6" priority="73" operator="equal">
      <formula>0</formula>
    </cfRule>
  </conditionalFormatting>
  <conditionalFormatting sqref="J343:Q343">
    <cfRule type="cellIs" dxfId="155" priority="72" operator="equal">
      <formula>0</formula>
    </cfRule>
  </conditionalFormatting>
  <conditionalFormatting sqref="J517:Q520">
    <cfRule type="cellIs" dxfId="154" priority="68" operator="equal">
      <formula>0</formula>
    </cfRule>
  </conditionalFormatting>
  <conditionalFormatting sqref="J532:Q532">
    <cfRule type="cellIs" dxfId="153" priority="67" operator="equal">
      <formula>0</formula>
    </cfRule>
  </conditionalFormatting>
  <conditionalFormatting sqref="J535:Q535">
    <cfRule type="cellIs" dxfId="152" priority="66" operator="equal">
      <formula>0</formula>
    </cfRule>
  </conditionalFormatting>
  <conditionalFormatting sqref="J538:Q538">
    <cfRule type="cellIs" dxfId="151" priority="65" operator="equal">
      <formula>0</formula>
    </cfRule>
  </conditionalFormatting>
  <conditionalFormatting sqref="L703:O703 Q703">
    <cfRule type="cellIs" dxfId="150" priority="58" operator="equal">
      <formula>0</formula>
    </cfRule>
  </conditionalFormatting>
  <conditionalFormatting sqref="L839:Q839">
    <cfRule type="cellIs" dxfId="149" priority="55" operator="equal">
      <formula>0</formula>
    </cfRule>
  </conditionalFormatting>
  <conditionalFormatting sqref="L975:Q975">
    <cfRule type="cellIs" dxfId="148" priority="52" operator="equal">
      <formula>0</formula>
    </cfRule>
  </conditionalFormatting>
  <conditionalFormatting sqref="L493:P498">
    <cfRule type="cellIs" dxfId="147" priority="49" operator="equal">
      <formula>0</formula>
    </cfRule>
  </conditionalFormatting>
  <conditionalFormatting sqref="M493:P498">
    <cfRule type="cellIs" dxfId="146" priority="48" operator="equal">
      <formula>0</formula>
    </cfRule>
  </conditionalFormatting>
  <conditionalFormatting sqref="M493:P498">
    <cfRule type="cellIs" dxfId="145" priority="47" operator="equal">
      <formula>0</formula>
    </cfRule>
  </conditionalFormatting>
  <conditionalFormatting sqref="I1:I1048576">
    <cfRule type="cellIs" dxfId="144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E1" transitionEvaluation="1" transitionEntry="1" codeName="Sheet2"/>
  <dimension ref="A1:O219"/>
  <sheetViews>
    <sheetView topLeftCell="E1" zoomScaleNormal="100" workbookViewId="0">
      <selection activeCell="I157" sqref="I157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f>3</f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64">
        <f t="shared" ref="L60:L65" si="2">IF(ISBLANK(I60),IF(ISNUMBER(J60)=FALSE,K60,J60),I60)</f>
        <v>0.97607289323959479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64">
        <f t="shared" si="2"/>
        <v>3.9711135849005027E-4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64">
        <f t="shared" si="2"/>
        <v>2.3529995401915089E-2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64">
        <f t="shared" si="2"/>
        <v>4.9158665603902462E-8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64">
        <f t="shared" si="2"/>
        <v>20342300.315913603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64">
        <f t="shared" si="2"/>
        <v>1205340070.6487617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64">
        <f>IF(ISBLANK(I66),IF(ISNUMBER(J66)=FALSE,K66,J66),I66)</f>
        <v>0.99968498850414056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102.20032562438601</v>
      </c>
      <c r="L67" s="664">
        <f>IF(ISBLANK(I67),IF(ISNUMBER(J67)=FALSE,K67,J67),I67)</f>
        <v>102.20032562438601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264.01059655875667</v>
      </c>
      <c r="L70" s="664">
        <f>IF(ISBLANK(I70),IF(ISNUMBER(J70)=FALSE,K70,J70),I70)</f>
        <v>264.01059655875667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64">
        <f t="shared" ref="L72:L104" si="3">IF(ISBLANK(I72),IF(ISNUMBER(J72)=FALSE,K72,J72),I72)</f>
        <v>0.99820620799108495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3"/>
        <v>102.20032562438601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 t="shared" si="3"/>
        <v>264.01059655875667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0.99923939228777903</v>
      </c>
      <c r="L78" s="664">
        <f t="shared" si="3"/>
        <v>0.99923939228777903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99.435216023782488</v>
      </c>
      <c r="L79" s="664">
        <f t="shared" si="3"/>
        <v>99.435216023782488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3"/>
        <v>264.01059655875667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26.409494856359572</v>
      </c>
      <c r="L84" s="664">
        <f t="shared" si="3"/>
        <v>26.409494856359572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51.21898971271915</v>
      </c>
      <c r="L85" s="664">
        <f t="shared" si="3"/>
        <v>51.21898971271915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26.231033926700718</v>
      </c>
      <c r="L87" s="664">
        <f t="shared" si="3"/>
        <v>26.231033926700718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50.862067853401449</v>
      </c>
      <c r="L88" s="664">
        <f t="shared" si="3"/>
        <v>50.862067853401449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30.955150979220729</v>
      </c>
      <c r="L90" s="664">
        <f t="shared" si="3"/>
        <v>30.955150979220729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64">
        <f t="shared" si="3"/>
        <v>6.4609602496933077E-3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64">
        <f t="shared" si="3"/>
        <v>0.99353903943270516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20.503433979592884</v>
      </c>
      <c r="L93" s="664">
        <f t="shared" si="3"/>
        <v>20.503433979592884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30.931393837430026</v>
      </c>
      <c r="L95" s="664">
        <f t="shared" si="3"/>
        <v>30.931393837430026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64">
        <f t="shared" si="3"/>
        <v>6.4659226496925713E-3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64">
        <f t="shared" si="3"/>
        <v>0.99353407703352459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20.487595885087657</v>
      </c>
      <c r="L98" s="664">
        <f t="shared" si="3"/>
        <v>20.487595885087657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30.931393837430026</v>
      </c>
      <c r="L100" s="664">
        <f t="shared" si="3"/>
        <v>30.931393837430026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64">
        <f t="shared" si="3"/>
        <v>6.4659226496925713E-3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64">
        <f t="shared" si="3"/>
        <v>0.99353407703352459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20.487595885087657</v>
      </c>
      <c r="L103" s="664">
        <f t="shared" si="3"/>
        <v>20.487595885087657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2.3739569380188086E-8</v>
      </c>
      <c r="L108" s="664">
        <f>IF(ISBLANK(I108),IF(ISNUMBER(J108)=FALSE,K108,J108),I108)</f>
        <v>2.3739569380188086E-8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2.6113526318206898E-7</v>
      </c>
      <c r="L109" s="664">
        <f t="shared" ref="L109:L137" si="4">IF(ISBLANK(I109),IF(ISNUMBER(J109)=FALSE,K109,J109),I109)</f>
        <v>2.6113526318206898E-7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4.1544506068492124E-8</v>
      </c>
      <c r="L110" s="664">
        <f t="shared" si="4"/>
        <v>4.1544506068492124E-8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1.8242769560973718E-6</v>
      </c>
      <c r="L111" s="664">
        <f t="shared" si="4"/>
        <v>1.8242769560973718E-6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4.0539487913274925E-6</v>
      </c>
      <c r="L112" s="664">
        <f t="shared" si="4"/>
        <v>4.0539487913274925E-6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6.7565813188791542E-7</v>
      </c>
      <c r="L113" s="664">
        <f t="shared" si="4"/>
        <v>6.7565813188791542E-7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1.893474429147487E-12</v>
      </c>
      <c r="L114" s="664">
        <f>IF(ISBLANK(I114),IF(ISNUMBER(J114)=FALSE,K114,J114),I114)</f>
        <v>1.893474429147487E-12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6.3022450457971401E-11</v>
      </c>
      <c r="L115" s="664">
        <f t="shared" si="4"/>
        <v>6.3022450457971401E-11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1.83680665698391E-11</v>
      </c>
      <c r="L116" s="664">
        <f t="shared" si="4"/>
        <v>1.83680665698391E-11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4.2270398837526125E-11</v>
      </c>
      <c r="L117" s="664">
        <f t="shared" si="4"/>
        <v>4.2270398837526125E-11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1.9185759281117113E-11</v>
      </c>
      <c r="L118" s="664">
        <f t="shared" si="4"/>
        <v>1.9185759281117113E-11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4.2161478458732919E-11</v>
      </c>
      <c r="L119" s="664">
        <f t="shared" si="4"/>
        <v>4.2161478458732919E-11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5.7638446293405443E-6</v>
      </c>
      <c r="L120" s="664">
        <f t="shared" si="4"/>
        <v>5.7638446293405443E-6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2.5320687308717479E-5</v>
      </c>
      <c r="L121" s="664">
        <f t="shared" si="4"/>
        <v>2.5320687308717479E-5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1.9580769786137339E-5</v>
      </c>
      <c r="L122" s="664">
        <f t="shared" si="4"/>
        <v>1.9580769786137339E-5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7.3668169826823521E-3</v>
      </c>
      <c r="L123" s="664">
        <f t="shared" si="4"/>
        <v>7.3668169826823521E-3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2.3927106760405139E-5</v>
      </c>
      <c r="L126" s="664">
        <f t="shared" si="4"/>
        <v>2.3927106760405139E-5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1.7409729390052177E-3</v>
      </c>
      <c r="L127" s="664">
        <f t="shared" si="4"/>
        <v>1.7409729390052177E-3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7.3455191670639692</v>
      </c>
      <c r="L128" s="664">
        <f t="shared" si="4"/>
        <v>7.3455191670639692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3.7735276288031836E-3</v>
      </c>
      <c r="L131" s="664">
        <f t="shared" ref="L131:L134" si="5">IF(ISBLANK(I131),IF(ISNUMBER(J131)=FALSE,K131,J131),I131)</f>
        <v>3.7735276288031836E-3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1.0222969175601312E-3</v>
      </c>
      <c r="L132" s="664">
        <f t="shared" si="5"/>
        <v>1.0222969175601312E-3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1.893474429147487E-10</v>
      </c>
      <c r="L133" s="664">
        <f t="shared" si="5"/>
        <v>1.893474429147487E-10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1.890673513739142E-10</v>
      </c>
      <c r="L134" s="664">
        <f t="shared" si="5"/>
        <v>1.890673513739142E-10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1.8368066569839099E-10</v>
      </c>
      <c r="L135" s="664">
        <f t="shared" si="4"/>
        <v>1.8368066569839099E-10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3.8661873187415758E-3</v>
      </c>
      <c r="L136" s="664">
        <f t="shared" si="4"/>
        <v>3.8661873187415758E-3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4.6712434275245704E-6</v>
      </c>
      <c r="L137" s="664">
        <f t="shared" si="4"/>
        <v>4.6712434275245704E-6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2.1135199418763065E-12</v>
      </c>
      <c r="L138" s="664">
        <f t="shared" ref="L138:L145" si="6">IF(ISBLANK(I138),IF(ISNUMBER(J138)=FALSE,K138,J138),I138)</f>
        <v>2.1135199418763065E-12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3.8371518562234229E-12</v>
      </c>
      <c r="L139" s="664">
        <f t="shared" si="6"/>
        <v>3.8371518562234229E-12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2.1080739229366462E-12</v>
      </c>
      <c r="L140" s="664">
        <f t="shared" si="6"/>
        <v>2.1080739229366462E-12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2.6432067130763626E-8</v>
      </c>
      <c r="L147" s="664">
        <f t="shared" ref="L147:L167" si="7">IF(ISBLANK(I147),IF(ISNUMBER(J147)=FALSE,K147,J147),I147)</f>
        <v>2.6432067130763626E-8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4.9465592900764843E-9</v>
      </c>
      <c r="L148" s="664">
        <f t="shared" si="7"/>
        <v>4.9465592900764843E-9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6.0720618859421514E-8</v>
      </c>
      <c r="L149" s="664">
        <f t="shared" si="7"/>
        <v>6.0720618859421514E-8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4.3671214898515269E-8</v>
      </c>
      <c r="L150" s="664">
        <f t="shared" si="7"/>
        <v>4.3671214898515269E-8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94">
        <f>L157*(1-L72)</f>
        <v>5.1840589057644991E-8</v>
      </c>
      <c r="L151" s="664">
        <f t="shared" si="7"/>
        <v>5.1840589057644991E-8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7.8013895230847304E-10</v>
      </c>
      <c r="L152" s="664">
        <f t="shared" si="7"/>
        <v>7.8013895230847304E-10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94">
        <f>L157*(1-L78)</f>
        <v>2.1981562883186124E-8</v>
      </c>
      <c r="L153" s="664">
        <f t="shared" si="7"/>
        <v>2.1981562883186124E-8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2.61571202752405E-10</v>
      </c>
      <c r="L154" s="664">
        <f t="shared" si="7"/>
        <v>2.61571202752405E-10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8.6700000000000021E-10</v>
      </c>
      <c r="L155" s="664">
        <f t="shared" si="7"/>
        <v>8.6700000000000021E-10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2.8900000000000009E-10</v>
      </c>
      <c r="L156" s="664">
        <f t="shared" si="7"/>
        <v>2.8900000000000009E-10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92">
        <f>0.0000289</f>
        <v>2.8900000000000001E-5</v>
      </c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93">
        <f t="shared" si="7"/>
        <v>2.8900000000000001E-5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2.7455612334645886E-8</v>
      </c>
      <c r="L162" s="664">
        <f t="shared" si="7"/>
        <v>2.7455612334645886E-8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1.0414796134741724E-9</v>
      </c>
      <c r="L163" s="664">
        <f t="shared" si="7"/>
        <v>1.0414796134741724E-9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2.7484030017578719E-8</v>
      </c>
      <c r="L164" s="664">
        <f t="shared" si="7"/>
        <v>2.7484030017578719E-8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1.0485652442030531E-9</v>
      </c>
      <c r="L165" s="664">
        <f t="shared" si="7"/>
        <v>1.0485652442030531E-9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4.1985331810591978E-9</v>
      </c>
      <c r="L169" s="664">
        <f t="shared" ref="L169:L183" si="8">IF(ISBLANK(I169),IF(ISNUMBER(J169)=FALSE,K169,J169),I169)</f>
        <v>4.1985331810591978E-9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1.9120199778154223E-9</v>
      </c>
      <c r="L170" s="664">
        <f t="shared" si="8"/>
        <v>1.9120199778154223E-9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4.2017408811478692E-9</v>
      </c>
      <c r="L171" s="664">
        <f t="shared" si="8"/>
        <v>4.2017408811478692E-9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3.8168483464174523E-10</v>
      </c>
      <c r="L172" s="664">
        <f t="shared" si="8"/>
        <v>3.8168483464174523E-10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1.7381999798322019E-10</v>
      </c>
      <c r="L173" s="664">
        <f t="shared" si="8"/>
        <v>1.7381999798322019E-10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3.8197644374071532E-10</v>
      </c>
      <c r="L174" s="664">
        <f t="shared" si="8"/>
        <v>3.8197644374071532E-10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9.0206076770066419E-6</v>
      </c>
      <c r="L187" s="664">
        <f t="shared" ref="L187:L211" si="9">IF(ISBLANK(I187),IF(ISNUMBER(J187)=FALSE,K187,J187),I187)</f>
        <v>9.0206076770066419E-6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8.685696044300724E-8</v>
      </c>
      <c r="L188" s="664">
        <f>IF(ISBLANK(I188),IF(ISNUMBER(J188)=FALSE,K188,J188),I188)</f>
        <v>8.685696044300724E-8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8.6728477588904822E-8</v>
      </c>
      <c r="L189" s="664">
        <f t="shared" si="9"/>
        <v>8.6728477588904822E-8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8.6818245114295561E-8</v>
      </c>
      <c r="L190" s="664">
        <f t="shared" si="9"/>
        <v>8.6818245114295561E-8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4.3472863365271319E-8</v>
      </c>
      <c r="L193" s="664">
        <f t="shared" si="9"/>
        <v>4.3472863365271319E-8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4.3456145152004627E-8</v>
      </c>
      <c r="L194" s="664">
        <f t="shared" si="9"/>
        <v>4.3456145152004627E-8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4.3472886943431158E-8</v>
      </c>
      <c r="L195" s="664">
        <f t="shared" si="9"/>
        <v>4.3472886943431158E-8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9.0202413511248139E-6</v>
      </c>
      <c r="L197" s="664">
        <f t="shared" si="9"/>
        <v>9.0202413511248139E-6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8.685696044300724E-8</v>
      </c>
      <c r="L200" s="664">
        <f>IF(ISBLANK(I200),IF(ISNUMBER(J200)=FALSE,K200,J200),I200)</f>
        <v>8.685696044300724E-8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8.6728477588904822E-8</v>
      </c>
      <c r="L201" s="664">
        <f t="shared" si="9"/>
        <v>8.6728477588904822E-8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8.6818245114295561E-8</v>
      </c>
      <c r="L202" s="664">
        <f t="shared" si="9"/>
        <v>8.6818245114295561E-8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61 I63:I65 I67:I71 I73:I77 I32:I59 L124:L125 K1:L123 I79:I1048576 K196:L1048576 L187:L195 K126:L186 I1:I29">
    <cfRule type="cellIs" dxfId="143" priority="85" operator="equal">
      <formula>0</formula>
    </cfRule>
  </conditionalFormatting>
  <conditionalFormatting sqref="J1:J1048576">
    <cfRule type="expression" dxfId="142" priority="82">
      <formula>"HLOOKUP(CaseName,CaseData,ROW()+157,FALSE)&lt;&gt;"""""</formula>
    </cfRule>
  </conditionalFormatting>
  <conditionalFormatting sqref="I30:I31">
    <cfRule type="cellIs" dxfId="141" priority="81" operator="equal">
      <formula>0</formula>
    </cfRule>
  </conditionalFormatting>
  <conditionalFormatting sqref="I60">
    <cfRule type="cellIs" dxfId="140" priority="73" operator="equal">
      <formula>0</formula>
    </cfRule>
  </conditionalFormatting>
  <conditionalFormatting sqref="I62">
    <cfRule type="cellIs" dxfId="139" priority="72" operator="equal">
      <formula>0</formula>
    </cfRule>
  </conditionalFormatting>
  <conditionalFormatting sqref="I66">
    <cfRule type="cellIs" dxfId="138" priority="71" operator="equal">
      <formula>0</formula>
    </cfRule>
  </conditionalFormatting>
  <conditionalFormatting sqref="I72">
    <cfRule type="cellIs" dxfId="137" priority="70" operator="equal">
      <formula>0</formula>
    </cfRule>
  </conditionalFormatting>
  <conditionalFormatting sqref="I78">
    <cfRule type="cellIs" dxfId="136" priority="69" operator="equal">
      <formula>0</formula>
    </cfRule>
  </conditionalFormatting>
  <conditionalFormatting sqref="I121">
    <cfRule type="cellIs" dxfId="135" priority="68" operator="equal">
      <formula>0</formula>
    </cfRule>
  </conditionalFormatting>
  <conditionalFormatting sqref="I127:I128">
    <cfRule type="cellIs" dxfId="134" priority="67" operator="equal">
      <formula>0</formula>
    </cfRule>
  </conditionalFormatting>
  <conditionalFormatting sqref="K191:K195">
    <cfRule type="cellIs" dxfId="133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49" transitionEvaluation="1" transitionEntry="1" codeName="Sheet3"/>
  <dimension ref="A1:O225"/>
  <sheetViews>
    <sheetView tabSelected="1" topLeftCell="A49" zoomScaleNormal="100" workbookViewId="0">
      <selection activeCell="N86" sqref="N86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64">
        <f t="shared" ref="L66:L110" si="2">IF(ISBLANK(I66),IF(ISNUMBER(J66)=FALSE,K66,J66),I66)</f>
        <v>0.97607289323959479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64">
        <f t="shared" si="2"/>
        <v>3.9711135849005027E-4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64">
        <f t="shared" si="2"/>
        <v>2.3529995401915089E-2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64">
        <f t="shared" ref="L69:L71" si="3">IF(ISBLANK(I69),IF(ISNUMBER(J69)=FALSE,K69,J69),I69)</f>
        <v>4.9158665603902462E-8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64">
        <f t="shared" si="3"/>
        <v>20342300.315913603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64">
        <f t="shared" si="3"/>
        <v>1205340070.6487617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64">
        <f t="shared" si="2"/>
        <v>0.99968498850414056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2"/>
        <v>102.20032562438601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>IF(ISBLANK(I76),IF(ISNUMBER(J76)=FALSE,K76,J76),I76)</f>
        <v>264.01059655875667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0.99820620799108495</v>
      </c>
      <c r="L78" s="677">
        <f t="shared" si="2"/>
        <v>0.99820620799108495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102.20032562438601</v>
      </c>
      <c r="L79" s="664">
        <f t="shared" si="2"/>
        <v>102.20032562438601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2"/>
        <v>264.01059655875667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0.99923939228777903</v>
      </c>
      <c r="L84" s="664">
        <f t="shared" si="2"/>
        <v>0.99923939228777903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99.435216023782488</v>
      </c>
      <c r="L85" s="664">
        <f t="shared" si="2"/>
        <v>99.435216023782488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264.01059655875667</v>
      </c>
      <c r="L88" s="664">
        <f t="shared" si="2"/>
        <v>264.01059655875667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26.409494856359572</v>
      </c>
      <c r="L90" s="664">
        <f t="shared" si="2"/>
        <v>26.409494856359572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51.21898971271915</v>
      </c>
      <c r="L91" s="664">
        <f t="shared" si="2"/>
        <v>51.21898971271915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26.231033926700718</v>
      </c>
      <c r="L93" s="664">
        <f t="shared" si="2"/>
        <v>26.231033926700718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50.862067853401449</v>
      </c>
      <c r="L94" s="664">
        <f t="shared" si="2"/>
        <v>50.862067853401449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30.955150979220729</v>
      </c>
      <c r="L96" s="664">
        <f t="shared" si="2"/>
        <v>30.955150979220729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6.4609602496933077E-3</v>
      </c>
      <c r="L97" s="664">
        <f t="shared" si="2"/>
        <v>6.4609602496933077E-3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0.99353903943270516</v>
      </c>
      <c r="L98" s="664">
        <f t="shared" si="2"/>
        <v>0.99353903943270516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20.503433979592884</v>
      </c>
      <c r="L99" s="664">
        <f t="shared" si="2"/>
        <v>20.503433979592884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30.931393837430026</v>
      </c>
      <c r="L101" s="664">
        <f t="shared" si="2"/>
        <v>30.931393837430026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6.4659226496925713E-3</v>
      </c>
      <c r="L102" s="664">
        <f t="shared" si="2"/>
        <v>6.4659226496925713E-3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0.99353407703352459</v>
      </c>
      <c r="L103" s="664">
        <f t="shared" si="2"/>
        <v>0.99353407703352459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20.487595885087657</v>
      </c>
      <c r="L104" s="664">
        <f t="shared" si="2"/>
        <v>20.487595885087657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30.931393837430026</v>
      </c>
      <c r="L106" s="664">
        <f t="shared" si="2"/>
        <v>30.931393837430026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6.4659226496925713E-3</v>
      </c>
      <c r="L107" s="664">
        <f t="shared" si="2"/>
        <v>6.4659226496925713E-3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0.99353407703352459</v>
      </c>
      <c r="L108" s="664">
        <f t="shared" si="2"/>
        <v>0.99353407703352459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20.487595885087657</v>
      </c>
      <c r="L109" s="664">
        <f t="shared" si="2"/>
        <v>20.487595885087657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1.1542226079497355E-8</v>
      </c>
      <c r="L114" s="664">
        <f>IF(ISBLANK(I114),IF(ISNUMBER(J114)=FALSE,K114,J114),I114)</f>
        <v>1.1542226079497355E-8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1.2696448687447087E-7</v>
      </c>
      <c r="L115" s="664">
        <f t="shared" ref="L115:L136" si="4">IF(ISBLANK(I115),IF(ISNUMBER(J115)=FALSE,K115,J115),I115)</f>
        <v>1.2696448687447087E-7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4.9183000649331315E-6</v>
      </c>
      <c r="L116" s="664">
        <f t="shared" si="4"/>
        <v>4.9183000649331315E-6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8.8688482303507228E-7</v>
      </c>
      <c r="L117" s="664">
        <f t="shared" si="4"/>
        <v>8.8688482303507228E-7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1.9708551623001603E-6</v>
      </c>
      <c r="L118" s="664">
        <f t="shared" si="4"/>
        <v>1.9708551623001603E-6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3.2847586038336002E-7</v>
      </c>
      <c r="L119" s="664">
        <f t="shared" si="4"/>
        <v>3.2847586038336002E-7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1.893474429147487E-12</v>
      </c>
      <c r="L120" s="664">
        <f>IF(ISBLANK(I120),IF(ISNUMBER(J120)=FALSE,K120,J120),I120)</f>
        <v>1.893474429147487E-12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6.3022450457971401E-11</v>
      </c>
      <c r="L121" s="664">
        <f t="shared" si="4"/>
        <v>6.3022450457971401E-11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9.1840332849195498E-13</v>
      </c>
      <c r="L122" s="664">
        <f t="shared" si="4"/>
        <v>9.1840332849195498E-13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4.2270398837526125E-11</v>
      </c>
      <c r="L123" s="664">
        <f t="shared" si="4"/>
        <v>4.2270398837526125E-11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1.9235323960647504E-11</v>
      </c>
      <c r="L124" s="664">
        <f t="shared" si="4"/>
        <v>1.9235323960647504E-11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4.2270398837526125E-11</v>
      </c>
      <c r="L125" s="664">
        <f t="shared" si="4"/>
        <v>4.2270398837526125E-11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5.7616628679288897E-6</v>
      </c>
      <c r="L126" s="664">
        <f t="shared" si="4"/>
        <v>5.7616628679288897E-6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1.8945439938357102E-5</v>
      </c>
      <c r="L127" s="664">
        <f t="shared" si="4"/>
        <v>1.8945439938357102E-5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1.3207704177188618E-5</v>
      </c>
      <c r="L128" s="664">
        <f t="shared" si="4"/>
        <v>1.3207704177188618E-5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7.3604439170734028E-3</v>
      </c>
      <c r="L129" s="664">
        <f t="shared" si="4"/>
        <v>7.3604439170734028E-3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2.3927106760405139E-5</v>
      </c>
      <c r="L132" s="664">
        <f t="shared" si="4"/>
        <v>2.3927106760405139E-5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1.7409729390052175E-3</v>
      </c>
      <c r="L133" s="664">
        <f t="shared" si="4"/>
        <v>1.7409729390052175E-3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7.3455191670639692</v>
      </c>
      <c r="L134" s="664">
        <f t="shared" si="4"/>
        <v>7.3455191670639692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3.7735276288031836E-3</v>
      </c>
      <c r="L137" s="664">
        <f t="shared" ref="L137:L151" si="5">IF(ISBLANK(I137),IF(ISNUMBER(J137)=FALSE,K137,J137),I137)</f>
        <v>3.7735276288031836E-3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1.0222969175601312E-3</v>
      </c>
      <c r="L138" s="664">
        <f t="shared" si="5"/>
        <v>1.0222969175601312E-3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1.893474429147487E-10</v>
      </c>
      <c r="L139" s="664">
        <f t="shared" si="5"/>
        <v>1.893474429147487E-10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1.890673513739142E-10</v>
      </c>
      <c r="L140" s="664">
        <f t="shared" si="5"/>
        <v>1.890673513739142E-10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1.8368066569839099E-10</v>
      </c>
      <c r="L141" s="664">
        <f t="shared" si="5"/>
        <v>1.8368066569839099E-10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3.8661873187415758E-3</v>
      </c>
      <c r="L142" s="664">
        <f t="shared" si="5"/>
        <v>3.8661873187415758E-3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4.6712434275245704E-6</v>
      </c>
      <c r="L143" s="664">
        <f t="shared" si="5"/>
        <v>4.6712434275245704E-6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2.1135199418763065E-12</v>
      </c>
      <c r="L144" s="664">
        <f t="shared" si="5"/>
        <v>2.1135199418763065E-12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3.8470647921295012E-12</v>
      </c>
      <c r="L145" s="664">
        <f t="shared" si="5"/>
        <v>3.8470647921295012E-12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2.1135199418763065E-12</v>
      </c>
      <c r="L146" s="664">
        <f t="shared" si="5"/>
        <v>2.1135199418763065E-12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2.6432067130763626E-8</v>
      </c>
      <c r="L153" s="664">
        <f t="shared" ref="L153:L173" si="6">IF(ISBLANK(I153),IF(ISNUMBER(J153)=FALSE,K153,J153),I153)</f>
        <v>2.6432067130763626E-8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2.4732796450382424E-10</v>
      </c>
      <c r="L154" s="664">
        <f t="shared" si="6"/>
        <v>2.4732796450382424E-10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6.0741758720652188E-8</v>
      </c>
      <c r="L155" s="664">
        <f t="shared" si="6"/>
        <v>6.0741758720652188E-8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4.4585508140101766E-8</v>
      </c>
      <c r="L156" s="664">
        <f t="shared" si="6"/>
        <v>4.4585508140101766E-8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5.1840589057644991E-8</v>
      </c>
      <c r="L157" s="664">
        <f t="shared" si="6"/>
        <v>5.1840589057644991E-8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7.807731481453934E-10</v>
      </c>
      <c r="L158" s="664">
        <f t="shared" si="6"/>
        <v>7.807731481453934E-10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2.1981562883186124E-8</v>
      </c>
      <c r="L159" s="664">
        <f t="shared" si="6"/>
        <v>2.1981562883186124E-8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2.8900000000000009E-10</v>
      </c>
      <c r="L160" s="664">
        <f t="shared" si="6"/>
        <v>2.8900000000000009E-10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8.6700000000000021E-10</v>
      </c>
      <c r="L161" s="664">
        <f t="shared" si="6"/>
        <v>8.6700000000000021E-10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2.8900000000000009E-10</v>
      </c>
      <c r="L162" s="664">
        <f t="shared" si="6"/>
        <v>2.8900000000000009E-10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92">
        <f>0.0000289</f>
        <v>2.8900000000000001E-5</v>
      </c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2.8900000000000001E-5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2.7455612334645883E-8</v>
      </c>
      <c r="L168" s="664">
        <f t="shared" si="6"/>
        <v>2.7455612334645883E-8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1.0414796134741721E-9</v>
      </c>
      <c r="L169" s="664">
        <f t="shared" si="6"/>
        <v>1.0414796134741721E-9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2.7484030017578716E-8</v>
      </c>
      <c r="L170" s="664">
        <f t="shared" si="6"/>
        <v>2.7484030017578716E-8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1.0485652442030529E-9</v>
      </c>
      <c r="L171" s="664">
        <f t="shared" si="6"/>
        <v>1.0485652442030529E-9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4.1985331810591978E-9</v>
      </c>
      <c r="L175" s="664">
        <f t="shared" ref="L175:L177" si="7">IF(ISBLANK(I175),IF(ISNUMBER(J175)=FALSE,K175,J175),I175)</f>
        <v>4.1985331810591978E-9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1.9120199778154223E-9</v>
      </c>
      <c r="L176" s="664">
        <f t="shared" si="7"/>
        <v>1.9120199778154223E-9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4.2017408811478684E-9</v>
      </c>
      <c r="L177" s="664">
        <f t="shared" si="7"/>
        <v>4.2017408811478684E-9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3.8168483464174528E-10</v>
      </c>
      <c r="L178" s="664">
        <f t="shared" ref="L178:L180" si="8">IF(ISBLANK(I178),IF(ISNUMBER(J178)=FALSE,K178,J178),I178)</f>
        <v>3.8168483464174528E-10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1.7381999798322021E-10</v>
      </c>
      <c r="L179" s="664">
        <f t="shared" si="8"/>
        <v>1.7381999798322021E-10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3.8197644374071538E-10</v>
      </c>
      <c r="L180" s="664">
        <f t="shared" si="8"/>
        <v>3.8197644374071538E-10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9.0206076770066419E-6</v>
      </c>
      <c r="L193" s="664">
        <f t="shared" ref="L193:L217" si="11">IF(ISBLANK(I193),IF(ISNUMBER(J193)=FALSE,K193,J193),I193)</f>
        <v>9.0206076770066419E-6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8.685696044300724E-8</v>
      </c>
      <c r="L194" s="664">
        <f>IF(ISBLANK(I194),IF(ISNUMBER(J194)=FALSE,K194,J194),I194)</f>
        <v>8.685696044300724E-8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8.6728477588904822E-8</v>
      </c>
      <c r="L195" s="664">
        <f t="shared" si="11"/>
        <v>8.6728477588904822E-8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8.6818245114295561E-8</v>
      </c>
      <c r="L196" s="664">
        <f t="shared" si="11"/>
        <v>8.6818245114295561E-8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9.6538144450854565E-9</v>
      </c>
      <c r="L198" s="664">
        <f t="shared" si="11"/>
        <v>9.6538144450854565E-9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4.3472863365271319E-8</v>
      </c>
      <c r="L199" s="664">
        <f t="shared" si="11"/>
        <v>4.3472863365271319E-8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4.3456145152004627E-8</v>
      </c>
      <c r="L200" s="664">
        <f t="shared" si="11"/>
        <v>4.3456145152004627E-8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4.3472886943431158E-8</v>
      </c>
      <c r="L201" s="664">
        <f t="shared" si="11"/>
        <v>4.3472886943431158E-8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9.0202413511248139E-6</v>
      </c>
      <c r="L203" s="664">
        <f t="shared" si="11"/>
        <v>9.0202413511248139E-6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8.685696044300724E-8</v>
      </c>
      <c r="L206" s="664">
        <f>IF(ISBLANK(I206),IF(ISNUMBER(J206)=FALSE,K206,J206),I206)</f>
        <v>8.685696044300724E-8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8.6728477588904822E-8</v>
      </c>
      <c r="L207" s="664">
        <f t="shared" si="11"/>
        <v>8.6728477588904822E-8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8.6818245114295561E-8</v>
      </c>
      <c r="L208" s="664">
        <f t="shared" si="11"/>
        <v>8.6818245114295561E-8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32" priority="74" operator="equal">
      <formula>0</formula>
    </cfRule>
  </conditionalFormatting>
  <conditionalFormatting sqref="I68">
    <cfRule type="cellIs" dxfId="131" priority="65" operator="equal">
      <formula>0</formula>
    </cfRule>
  </conditionalFormatting>
  <conditionalFormatting sqref="I72">
    <cfRule type="cellIs" dxfId="130" priority="64" operator="equal">
      <formula>0</formula>
    </cfRule>
  </conditionalFormatting>
  <conditionalFormatting sqref="I188">
    <cfRule type="cellIs" dxfId="129" priority="72" operator="equal">
      <formula>0</formula>
    </cfRule>
  </conditionalFormatting>
  <conditionalFormatting sqref="I189">
    <cfRule type="cellIs" dxfId="128" priority="71" operator="equal">
      <formula>0</formula>
    </cfRule>
  </conditionalFormatting>
  <conditionalFormatting sqref="I221">
    <cfRule type="cellIs" dxfId="127" priority="70" operator="equal">
      <formula>0</formula>
    </cfRule>
  </conditionalFormatting>
  <conditionalFormatting sqref="I222">
    <cfRule type="cellIs" dxfId="126" priority="69" operator="equal">
      <formula>0</formula>
    </cfRule>
  </conditionalFormatting>
  <conditionalFormatting sqref="I223">
    <cfRule type="cellIs" dxfId="125" priority="68" operator="equal">
      <formula>0</formula>
    </cfRule>
  </conditionalFormatting>
  <conditionalFormatting sqref="I30:I31">
    <cfRule type="cellIs" dxfId="124" priority="67" operator="equal">
      <formula>0</formula>
    </cfRule>
  </conditionalFormatting>
  <conditionalFormatting sqref="I66">
    <cfRule type="cellIs" dxfId="123" priority="66" operator="equal">
      <formula>0</formula>
    </cfRule>
  </conditionalFormatting>
  <conditionalFormatting sqref="I78">
    <cfRule type="cellIs" dxfId="122" priority="63" operator="equal">
      <formula>0</formula>
    </cfRule>
  </conditionalFormatting>
  <conditionalFormatting sqref="K44:K45">
    <cfRule type="cellIs" dxfId="121" priority="52" operator="equal">
      <formula>0</formula>
    </cfRule>
  </conditionalFormatting>
  <conditionalFormatting sqref="I137">
    <cfRule type="cellIs" dxfId="120" priority="46" operator="equal">
      <formula>0</formula>
    </cfRule>
  </conditionalFormatting>
  <conditionalFormatting sqref="I149">
    <cfRule type="cellIs" dxfId="119" priority="45" operator="equal">
      <formula>0</formula>
    </cfRule>
  </conditionalFormatting>
  <conditionalFormatting sqref="I150">
    <cfRule type="cellIs" dxfId="118" priority="44" operator="equal">
      <formula>0</formula>
    </cfRule>
  </conditionalFormatting>
  <conditionalFormatting sqref="I114:I120">
    <cfRule type="cellIs" dxfId="117" priority="43" operator="equal">
      <formula>0</formula>
    </cfRule>
  </conditionalFormatting>
  <conditionalFormatting sqref="K114:K119">
    <cfRule type="cellIs" dxfId="116" priority="42" operator="equal">
      <formula>0</formula>
    </cfRule>
  </conditionalFormatting>
  <conditionalFormatting sqref="K137">
    <cfRule type="cellIs" dxfId="115" priority="41" operator="equal">
      <formula>0</formula>
    </cfRule>
  </conditionalFormatting>
  <conditionalFormatting sqref="I197:I201">
    <cfRule type="cellIs" dxfId="114" priority="37" operator="equal">
      <formula>0</formula>
    </cfRule>
  </conditionalFormatting>
  <conditionalFormatting sqref="J1:J2 J152 J224:J1048576 J4 J43 J47 J174">
    <cfRule type="cellIs" dxfId="113" priority="33" operator="notEqual">
      <formula>""""""</formula>
    </cfRule>
  </conditionalFormatting>
  <conditionalFormatting sqref="J63 J65">
    <cfRule type="cellIs" dxfId="112" priority="32" operator="notEqual">
      <formula>""""""</formula>
    </cfRule>
  </conditionalFormatting>
  <conditionalFormatting sqref="J111 J113">
    <cfRule type="cellIs" dxfId="111" priority="31" operator="notEqual">
      <formula>""""""</formula>
    </cfRule>
  </conditionalFormatting>
  <conditionalFormatting sqref="J190 J192">
    <cfRule type="cellIs" dxfId="110" priority="30" operator="notEqual">
      <formula>""""""</formula>
    </cfRule>
  </conditionalFormatting>
  <conditionalFormatting sqref="K197:K201">
    <cfRule type="cellIs" dxfId="109" priority="13" operator="equal">
      <formula>0</formula>
    </cfRule>
  </conditionalFormatting>
  <conditionalFormatting sqref="K157">
    <cfRule type="cellIs" dxfId="108" priority="12" operator="equal">
      <formula>0</formula>
    </cfRule>
  </conditionalFormatting>
  <conditionalFormatting sqref="K159">
    <cfRule type="cellIs" dxfId="107" priority="11" operator="equal">
      <formula>0</formula>
    </cfRule>
  </conditionalFormatting>
  <conditionalFormatting sqref="J5:J42">
    <cfRule type="expression" dxfId="106" priority="10">
      <formula>"HLOOKUP(CaseName,CaseData,ROW()+157,FALSE)&lt;&gt;"""""</formula>
    </cfRule>
  </conditionalFormatting>
  <conditionalFormatting sqref="J44:J46">
    <cfRule type="expression" dxfId="105" priority="9">
      <formula>"HLOOKUP(CaseName,CaseData,ROW()+157,FALSE)&lt;&gt;"""""</formula>
    </cfRule>
  </conditionalFormatting>
  <conditionalFormatting sqref="J48:J62">
    <cfRule type="expression" dxfId="104" priority="8">
      <formula>"HLOOKUP(CaseName,CaseData,ROW()+157,FALSE)&lt;&gt;"""""</formula>
    </cfRule>
  </conditionalFormatting>
  <conditionalFormatting sqref="J66:J110">
    <cfRule type="expression" dxfId="103" priority="7">
      <formula>"HLOOKUP(CaseName,CaseData,ROW()+157,FALSE)&lt;&gt;"""""</formula>
    </cfRule>
  </conditionalFormatting>
  <conditionalFormatting sqref="J114:J151">
    <cfRule type="expression" dxfId="102" priority="6">
      <formula>"HLOOKUP(CaseName,CaseData,ROW()+157,FALSE)&lt;&gt;"""""</formula>
    </cfRule>
  </conditionalFormatting>
  <conditionalFormatting sqref="J153:J173">
    <cfRule type="expression" dxfId="101" priority="5">
      <formula>"HLOOKUP(CaseName,CaseData,ROW()+157,FALSE)&lt;&gt;"""""</formula>
    </cfRule>
  </conditionalFormatting>
  <conditionalFormatting sqref="J175:J189">
    <cfRule type="expression" dxfId="100" priority="4">
      <formula>"HLOOKUP(CaseName,CaseData,ROW()+157,FALSE)&lt;&gt;"""""</formula>
    </cfRule>
  </conditionalFormatting>
  <conditionalFormatting sqref="J193:J223">
    <cfRule type="expression" dxfId="99" priority="3">
      <formula>"HLOOKUP(CaseName,CaseData,ROW()+157,FALSE)&lt;&gt;"""""</formula>
    </cfRule>
  </conditionalFormatting>
  <conditionalFormatting sqref="I21:I29">
    <cfRule type="cellIs" dxfId="98" priority="2" operator="equal">
      <formula>0</formula>
    </cfRule>
  </conditionalFormatting>
  <conditionalFormatting sqref="I163">
    <cfRule type="cellIs" dxfId="9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3" transitionEvaluation="1" transitionEntry="1" codeName="Sheet4"/>
  <dimension ref="A1:O414"/>
  <sheetViews>
    <sheetView topLeftCell="A83" zoomScaleNormal="100" workbookViewId="0">
      <selection activeCell="I108" sqref="I10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64">
        <f>IF(ISBLANK(I46),IF(ISNUMBER(J46)=FALSE,K46,J46),I46)</f>
        <v>0.97607289323959479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64">
        <f>IF(ISBLANK(I47),IF(ISNUMBER(J47)=FALSE,K47,J47),I47)</f>
        <v>3.9711135849005027E-4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64">
        <f>IF(ISBLANK(I48),IF(ISNUMBER(J48)=FALSE,K48,J48),I48)</f>
        <v>2.3529995401915089E-2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4.9158665603902462E-8</v>
      </c>
      <c r="L49" s="664">
        <f>IF(ISBLANK(I49),IF(ISNUMBER(J49)=FALSE,K49,J49),I49)</f>
        <v>4.9158665603902462E-8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64">
        <f t="shared" ref="L51:L58" si="2">IF(ISBLANK(I51),IF(ISNUMBER(J51)=FALSE,K51,J51),I51)</f>
        <v>20342300.315913603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64">
        <f t="shared" si="2"/>
        <v>1205340070.6487617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0.99923939228777903</v>
      </c>
      <c r="L53" s="664">
        <f t="shared" si="2"/>
        <v>0.99923939228777903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0.99923939228777903</v>
      </c>
      <c r="L54" s="664">
        <f t="shared" si="2"/>
        <v>0.99923939228777903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99.435216023782488</v>
      </c>
      <c r="L55" s="664">
        <f t="shared" si="2"/>
        <v>99.435216023782488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99.435216023782488</v>
      </c>
      <c r="L56" s="664">
        <f t="shared" si="2"/>
        <v>99.435216023782488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264.01059655875667</v>
      </c>
      <c r="L61" s="664">
        <f>IF(ISBLANK(I61),IF(ISNUMBER(J61)=FALSE,K61,J61),I61)</f>
        <v>264.01059655875667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264.01059655875667</v>
      </c>
      <c r="L62" s="664">
        <f>IF(ISBLANK(I62),IF(ISNUMBER(J62)=FALSE,K62,J62),I62)</f>
        <v>264.01059655875667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26.231033926700718</v>
      </c>
      <c r="L65" s="664">
        <f t="shared" ref="L65:L72" si="3">IF(ISBLANK(I65),IF(ISNUMBER(J65)=FALSE,K65,J65),I65)</f>
        <v>26.231033926700718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50.862067853401449</v>
      </c>
      <c r="L66" s="664">
        <f t="shared" si="3"/>
        <v>50.862067853401449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30.955150979220729</v>
      </c>
      <c r="L68" s="664">
        <f t="shared" si="3"/>
        <v>30.955150979220729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6.4609602496933077E-3</v>
      </c>
      <c r="L69" s="664">
        <f t="shared" si="3"/>
        <v>6.4609602496933077E-3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0.99353903943270516</v>
      </c>
      <c r="L70" s="664">
        <f t="shared" si="3"/>
        <v>0.99353903943270516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20.503433979592884</v>
      </c>
      <c r="L71" s="664">
        <f t="shared" si="3"/>
        <v>20.503433979592884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4.7753381156319045E-6</v>
      </c>
      <c r="L76" s="664">
        <f t="shared" ref="L76:L89" si="4">IF(ISBLANK(I76),IF(ISNUMBER(J76)=FALSE,K76,J76),I76)</f>
        <v>4.7753381156319045E-6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3.3997205034219729E-6</v>
      </c>
      <c r="L77" s="664">
        <f t="shared" si="4"/>
        <v>3.3997205034219729E-6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1.83680665698391E-12</v>
      </c>
      <c r="L78" s="664">
        <f t="shared" si="4"/>
        <v>1.83680665698391E-12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4.2270398837526125E-11</v>
      </c>
      <c r="L79" s="664">
        <f t="shared" si="4"/>
        <v>4.2270398837526125E-11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5.7771440892838148E-6</v>
      </c>
      <c r="L80" s="664">
        <f t="shared" si="4"/>
        <v>5.7771440892838148E-6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1.8359870762970617E-5</v>
      </c>
      <c r="L81" s="664">
        <f t="shared" si="4"/>
        <v>1.8359870762970617E-5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1.2606653780447208E-5</v>
      </c>
      <c r="L82" s="664">
        <f t="shared" si="4"/>
        <v>1.2606653780447208E-5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7.359842866676662E-3</v>
      </c>
      <c r="L83" s="664">
        <f t="shared" si="4"/>
        <v>7.359842866676662E-3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2.3927106760405139E-5</v>
      </c>
      <c r="L86" s="664">
        <f t="shared" si="4"/>
        <v>2.3927106760405139E-5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1.7409729390052175E-3</v>
      </c>
      <c r="L87" s="664">
        <f t="shared" si="4"/>
        <v>1.7409729390052175E-3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7.3455191670639692</v>
      </c>
      <c r="L88" s="664">
        <f t="shared" si="4"/>
        <v>7.3455191670639692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3.7735321419799942E-3</v>
      </c>
      <c r="L92" s="664">
        <f t="shared" si="5"/>
        <v>3.7735321419799942E-3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1.0222969175601312E-3</v>
      </c>
      <c r="L93" s="664">
        <f>IF(ISBLANK(I93),IF(ISNUMBER(J93)=FALSE,K93,J93),I93)</f>
        <v>1.0222969175601312E-3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1.8368066569839099E-10</v>
      </c>
      <c r="L94" s="664">
        <f>IF(ISBLANK(I94),IF(ISNUMBER(J94)=FALSE,K94,J94),I94)</f>
        <v>1.8368066569839099E-10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2.1135199418763065E-12</v>
      </c>
      <c r="L95" s="664">
        <f>IF(ISBLANK(I95),IF(ISNUMBER(J95)=FALSE,K95,J95),I95)</f>
        <v>2.1135199418763065E-12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3.8661873187415758E-3</v>
      </c>
      <c r="L96" s="664">
        <f t="shared" si="5"/>
        <v>3.8661873187415758E-3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4.6712434275245704E-6</v>
      </c>
      <c r="L97" s="664">
        <f t="shared" si="5"/>
        <v>4.6712434275245704E-6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1.6488530966921614E-11</v>
      </c>
      <c r="L103" s="664">
        <f t="shared" ref="L103:L109" si="6">IF(ISBLANK(I103),IF(ISNUMBER(J103)=FALSE,K103,J103),I103)</f>
        <v>1.6488530966921614E-11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4.4582524205787108E-8</v>
      </c>
      <c r="L104" s="664">
        <f t="shared" si="6"/>
        <v>4.4582524205787108E-8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2.1981562883186124E-8</v>
      </c>
      <c r="L105" s="664">
        <f t="shared" si="6"/>
        <v>2.1981562883186124E-8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2.8891048197056038E-10</v>
      </c>
      <c r="L106" s="664">
        <f t="shared" si="6"/>
        <v>2.8891048197056038E-10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2.8900000000000009E-10</v>
      </c>
      <c r="L107" s="664">
        <f t="shared" si="6"/>
        <v>2.8900000000000009E-10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92">
        <f>0.0000289</f>
        <v>2.8900000000000001E-5</v>
      </c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2.8900000000000001E-5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2.7484030017578716E-8</v>
      </c>
      <c r="L111" s="664">
        <f>IF(ISBLANK(I111),IF(ISNUMBER(J111)=FALSE,K111,J111),I111)</f>
        <v>2.7484030017578716E-8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1.0485652442030529E-9</v>
      </c>
      <c r="L112" s="664">
        <f>IF(ISBLANK(I112),IF(ISNUMBER(J112)=FALSE,K112,J112),I112)</f>
        <v>1.0485652442030529E-9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4.580218015700943E-9</v>
      </c>
      <c r="L116" s="664">
        <f>IF(ISBLANK(I116),IF(ISNUMBER(J116)=FALSE,K116,J116),I116)</f>
        <v>4.580218015700943E-9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9.0206076770066419E-6</v>
      </c>
      <c r="L123" s="664">
        <f t="shared" ref="L123:L138" si="7">IF(ISBLANK(I123),IF(ISNUMBER(J123)=FALSE,K123,J123),I123)</f>
        <v>9.0206076770066419E-6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8.6818245114295561E-8</v>
      </c>
      <c r="L124" s="664">
        <f t="shared" si="7"/>
        <v>8.6818245114295561E-8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8.6818245114295561E-8</v>
      </c>
      <c r="L125" s="664">
        <f t="shared" si="7"/>
        <v>8.6818245114295561E-8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4.3472863365271319E-8</v>
      </c>
      <c r="L127" s="664">
        <f t="shared" si="7"/>
        <v>4.3472863365271319E-8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9.0202413511248139E-6</v>
      </c>
      <c r="L129" s="664">
        <f t="shared" si="7"/>
        <v>9.0202413511248139E-6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8.6818245114295561E-8</v>
      </c>
      <c r="L132" s="664">
        <f t="shared" si="7"/>
        <v>8.6818245114295561E-8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8.6818245114295561E-8</v>
      </c>
      <c r="L133" s="664">
        <f t="shared" si="7"/>
        <v>8.6818245114295561E-8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64">
        <f>IF(ISBLANK(I182),IF(ISNUMBER(J182)=FALSE,K182,J182),I182)</f>
        <v>0.96436534712618549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64">
        <f>IF(ISBLANK(I183),IF(ISNUMBER(J183)=FALSE,K183,J183),I183)</f>
        <v>1.2386888961088596E-2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64">
        <f>IF(ISBLANK(I184),IF(ISNUMBER(J184)=FALSE,K184,J184),I184)</f>
        <v>2.3247763912725882E-2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64">
        <f>IF(ISBLANK(I185),IF(ISNUMBER(J185)=FALSE,K185,J185),I185)</f>
        <v>1.557074866700018E-9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64">
        <f t="shared" ref="L187:L194" si="10">IF(ISBLANK(I187),IF(ISNUMBER(J187)=FALSE,K187,J187),I187)</f>
        <v>642230094.53842366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64">
        <f t="shared" si="10"/>
        <v>1205340070.6487617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0.99923939228777903</v>
      </c>
      <c r="L189" s="664">
        <f t="shared" si="10"/>
        <v>0.99923939228777903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0.99923939228777903</v>
      </c>
      <c r="L190" s="664">
        <f t="shared" si="10"/>
        <v>0.99923939228777903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99.435216023782488</v>
      </c>
      <c r="L191" s="664">
        <f t="shared" si="10"/>
        <v>99.435216023782488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99.435216023782488</v>
      </c>
      <c r="L192" s="664">
        <f t="shared" si="10"/>
        <v>99.435216023782488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264.01059655875667</v>
      </c>
      <c r="L197" s="664">
        <f>IF(ISBLANK(I197),IF(ISNUMBER(J197)=FALSE,K197,J197),I197)</f>
        <v>264.01059655875667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264.01059655875667</v>
      </c>
      <c r="L198" s="664">
        <f>IF(ISBLANK(I198),IF(ISNUMBER(J198)=FALSE,K198,J198),I198)</f>
        <v>264.01059655875667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26.231033926700718</v>
      </c>
      <c r="L201" s="664">
        <f t="shared" ref="L201:L208" si="11">IF(ISBLANK(I201),IF(ISNUMBER(J201)=FALSE,K201,J201),I201)</f>
        <v>26.231033926700718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50.862067853401449</v>
      </c>
      <c r="L202" s="664">
        <f t="shared" si="11"/>
        <v>50.862067853401449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30.955150969700735</v>
      </c>
      <c r="L204" s="664">
        <f t="shared" si="11"/>
        <v>30.955150969700735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6.4609602516803215E-3</v>
      </c>
      <c r="L205" s="664">
        <f t="shared" si="11"/>
        <v>6.4609602516803215E-3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0.99353903973825985</v>
      </c>
      <c r="L206" s="664">
        <f t="shared" si="11"/>
        <v>0.99353903973825985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20.503433979592884</v>
      </c>
      <c r="L207" s="664">
        <f t="shared" si="11"/>
        <v>20.503433979592884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5.7645412263045167E-6</v>
      </c>
      <c r="L212" s="664">
        <f t="shared" ref="L212:L225" si="12">IF(ISBLANK(I212),IF(ISNUMBER(J212)=FALSE,K212,J212),I212)</f>
        <v>5.7645412263045167E-6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2.7558086979725298E-6</v>
      </c>
      <c r="L213" s="664">
        <f t="shared" si="12"/>
        <v>2.7558086979725298E-6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5.8182101402276973E-14</v>
      </c>
      <c r="L214" s="664">
        <f t="shared" si="12"/>
        <v>5.8182101402276973E-14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1.3393307854406381E-12</v>
      </c>
      <c r="L215" s="664">
        <f t="shared" si="12"/>
        <v>1.3393307854406381E-12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5.8791562822336185E-6</v>
      </c>
      <c r="L216" s="664">
        <f t="shared" si="12"/>
        <v>5.8791562822336185E-6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1.6665708726640642E-5</v>
      </c>
      <c r="L217" s="664">
        <f t="shared" si="12"/>
        <v>1.6665708726640642E-5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1.0822187097280837E-5</v>
      </c>
      <c r="L218" s="664">
        <f t="shared" si="12"/>
        <v>1.0822187097280837E-5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8.1841749262681965E-2</v>
      </c>
      <c r="L219" s="664">
        <f t="shared" si="12"/>
        <v>8.1841749262681965E-2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3.5634652873814484E-5</v>
      </c>
      <c r="L222" s="664">
        <f t="shared" si="12"/>
        <v>3.5634652873814484E-5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6.1431813146683902E-4</v>
      </c>
      <c r="L223" s="664">
        <f t="shared" si="12"/>
        <v>6.1431813146683902E-4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81.830348392106089</v>
      </c>
      <c r="L224" s="664">
        <f t="shared" si="12"/>
        <v>81.830348392106089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3.7284124282739089E-3</v>
      </c>
      <c r="L228" s="664">
        <f t="shared" si="13"/>
        <v>3.7284124282739089E-3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1.0103654626977051E-3</v>
      </c>
      <c r="L229" s="664">
        <f>IF(ISBLANK(I229),IF(ISNUMBER(J229)=FALSE,K229,J229),I229)</f>
        <v>1.0103654626977051E-3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5.8182101402276977E-12</v>
      </c>
      <c r="L230" s="664">
        <f t="shared" si="13"/>
        <v>5.8182101402276977E-12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6.6966539272031908E-14</v>
      </c>
      <c r="L231" s="664">
        <f>IF(ISBLANK(I231),IF(ISNUMBER(J231)=FALSE,K231,J231),I231)</f>
        <v>6.6966539272031908E-14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3.8661873187415758E-3</v>
      </c>
      <c r="L232" s="664">
        <f t="shared" si="13"/>
        <v>3.8661873187415758E-3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4.6712434275245704E-6</v>
      </c>
      <c r="L233" s="664">
        <f t="shared" si="13"/>
        <v>4.6712434275245704E-6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1.6488530966921614E-11</v>
      </c>
      <c r="L239" s="664">
        <f t="shared" ref="L239:L245" si="14">IF(ISBLANK(I239),IF(ISNUMBER(J239)=FALSE,K239,J239),I239)</f>
        <v>1.6488530966921614E-11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4.4583394153969523E-8</v>
      </c>
      <c r="L240" s="664">
        <f t="shared" si="14"/>
        <v>4.4583394153969523E-8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2.1981562883186124E-8</v>
      </c>
      <c r="L241" s="664">
        <f t="shared" si="14"/>
        <v>2.1981562883186124E-8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2.8893658041603256E-10</v>
      </c>
      <c r="L242" s="664">
        <f t="shared" si="14"/>
        <v>2.8893658041603256E-10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2.8900000000000009E-10</v>
      </c>
      <c r="L243" s="687">
        <f t="shared" si="14"/>
        <v>2.8900000000000009E-10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92">
        <f>0.0000289</f>
        <v>2.8900000000000001E-5</v>
      </c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2.8900000000000001E-5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2.7484030017578716E-8</v>
      </c>
      <c r="L247" s="664">
        <f>IF(ISBLANK(I247),IF(ISNUMBER(J247)=FALSE,K247,J247),I247)</f>
        <v>2.7484030017578716E-8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1.0485652442030529E-9</v>
      </c>
      <c r="L248" s="664">
        <f>IF(ISBLANK(I248),IF(ISNUMBER(J248)=FALSE,K248,J248),I248)</f>
        <v>1.0485652442030529E-9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1.6513345540686168E-9</v>
      </c>
      <c r="L252" s="664">
        <f>IF(ISBLANK(I252),IF(ISNUMBER(J252)=FALSE,K252,J252),I252)</f>
        <v>1.6513345540686168E-9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7.4533832759998107E-6</v>
      </c>
      <c r="L259" s="664">
        <f t="shared" ref="L259:L274" si="15">IF(ISBLANK(I259),IF(ISNUMBER(J259)=FALSE,K259,J259),I259)</f>
        <v>7.4533832759998107E-6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1.8894918047157747E-8</v>
      </c>
      <c r="L260" s="664">
        <f t="shared" si="15"/>
        <v>1.8894918047157747E-8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1.8894918047157747E-8</v>
      </c>
      <c r="L261" s="664">
        <f t="shared" si="15"/>
        <v>1.8894918047157747E-8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9.4656140043718675E-9</v>
      </c>
      <c r="L263" s="664">
        <f t="shared" si="15"/>
        <v>9.4656140043718675E-9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7.4530169501179827E-6</v>
      </c>
      <c r="L265" s="664">
        <f t="shared" si="15"/>
        <v>7.4530169501179827E-6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64">
        <f t="shared" si="15"/>
        <v>1.8894918047157747E-8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64">
        <f t="shared" si="15"/>
        <v>1.8894918047157747E-8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64">
        <f>IF(ISBLANK(I318),IF(ISNUMBER(J318)=FALSE,K318,J318),I318)</f>
        <v>0.97639638854517607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64">
        <f>IF(ISBLANK(I319),IF(ISNUMBER(J319)=FALSE,K319,J319),I319)</f>
        <v>6.581761581910175E-5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64">
        <f>IF(ISBLANK(I320),IF(ISNUMBER(J320)=FALSE,K320,J320),I320)</f>
        <v>2.3537793839004766E-2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64">
        <f>IF(ISBLANK(I321),IF(ISNUMBER(J321)=FALSE,K321,J321),I321)</f>
        <v>2.9669768715870563E-7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64">
        <f t="shared" ref="L323:L330" si="18">IF(ISBLANK(I323),IF(ISNUMBER(J323)=FALSE,K323,J323),I323)</f>
        <v>3370435.2346678358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64">
        <f t="shared" si="18"/>
        <v>1205340070.6487617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64">
        <f t="shared" si="18"/>
        <v>0.99923939228777903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64">
        <f t="shared" si="18"/>
        <v>0.99923939228777903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99.435216023782488</v>
      </c>
      <c r="L327" s="664">
        <f t="shared" si="18"/>
        <v>99.435216023782488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99.435216023782488</v>
      </c>
      <c r="L328" s="664">
        <f t="shared" si="18"/>
        <v>99.435216023782488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264.01059655875667</v>
      </c>
      <c r="L333" s="664">
        <f>IF(ISBLANK(I333),IF(ISNUMBER(J333)=FALSE,K333,J333),I333)</f>
        <v>264.01059655875667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264.01059655875667</v>
      </c>
      <c r="L334" s="664">
        <f>IF(ISBLANK(I334),IF(ISNUMBER(J334)=FALSE,K334,J334),I334)</f>
        <v>264.01059655875667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26.231033926700718</v>
      </c>
      <c r="L337" s="664">
        <f t="shared" ref="L337:L344" si="19">IF(ISBLANK(I337),IF(ISNUMBER(J337)=FALSE,K337,J337),I337)</f>
        <v>26.231033926700718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50.862067853401449</v>
      </c>
      <c r="L338" s="664">
        <f t="shared" si="19"/>
        <v>50.862067853401449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30.955151028726856</v>
      </c>
      <c r="L340" s="664">
        <f t="shared" si="19"/>
        <v>30.955151028726856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6.4609602393603874E-3</v>
      </c>
      <c r="L341" s="664">
        <f t="shared" si="19"/>
        <v>6.4609602393603874E-3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0.99353903784375253</v>
      </c>
      <c r="L342" s="664">
        <f t="shared" si="19"/>
        <v>0.99353903784375253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20.503433979592884</v>
      </c>
      <c r="L343" s="664">
        <f t="shared" si="19"/>
        <v>20.503433979592884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6.6300097818731875E-6</v>
      </c>
      <c r="L348" s="664">
        <f t="shared" ref="L348:L361" si="20">IF(ISBLANK(I348),IF(ISNUMBER(J348)=FALSE,K348,J348),I348)</f>
        <v>6.6300097818731875E-6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2.0158426445779233E-6</v>
      </c>
      <c r="L349" s="664">
        <f t="shared" si="20"/>
        <v>2.0158426445779233E-6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1.108387121217946E-11</v>
      </c>
      <c r="L350" s="664">
        <f t="shared" si="20"/>
        <v>1.108387121217946E-11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2.5498180794890081E-10</v>
      </c>
      <c r="L351" s="664">
        <f t="shared" si="20"/>
        <v>2.5498180794890081E-10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5.6974076031252021E-6</v>
      </c>
      <c r="L352" s="664">
        <f t="shared" si="20"/>
        <v>5.6974076031252021E-6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1.9074248450575631E-5</v>
      </c>
      <c r="L353" s="664">
        <f t="shared" si="20"/>
        <v>1.9074248450575631E-5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1.3400444458905253E-5</v>
      </c>
      <c r="L354" s="664">
        <f t="shared" si="20"/>
        <v>1.3400444458905253E-5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2.2775959632471187E-3</v>
      </c>
      <c r="L355" s="664">
        <f t="shared" si="20"/>
        <v>2.2775959632471187E-3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2.3603611454823871E-5</v>
      </c>
      <c r="L358" s="664">
        <f t="shared" si="20"/>
        <v>2.3603611454823871E-5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3.2343070343634995E-3</v>
      </c>
      <c r="L359" s="664">
        <f t="shared" si="20"/>
        <v>3.2343070343634995E-3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2.2609848153653043</v>
      </c>
      <c r="L360" s="664">
        <f t="shared" si="20"/>
        <v>2.2609848153653043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3.7740349424079233E-3</v>
      </c>
      <c r="L364" s="664">
        <f t="shared" si="21"/>
        <v>3.7740349424079233E-3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1.0220678788012071E-3</v>
      </c>
      <c r="L365" s="664">
        <f>IF(ISBLANK(I365),IF(ISNUMBER(J365)=FALSE,K365,J365),I365)</f>
        <v>1.0220678788012071E-3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1.108387121217946E-9</v>
      </c>
      <c r="L366" s="664">
        <f t="shared" si="21"/>
        <v>1.108387121217946E-9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1.2749090397445042E-11</v>
      </c>
      <c r="L367" s="664">
        <f>IF(ISBLANK(I367),IF(ISNUMBER(J367)=FALSE,K367,J367),I367)</f>
        <v>1.2749090397445042E-11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3.8661873187415758E-3</v>
      </c>
      <c r="L368" s="664">
        <f t="shared" si="21"/>
        <v>3.8661873187415758E-3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4.6712434275245704E-6</v>
      </c>
      <c r="L369" s="664">
        <f t="shared" si="21"/>
        <v>4.6712434275245704E-6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1.6488530966921614E-11</v>
      </c>
      <c r="L375" s="664">
        <f t="shared" ref="L375:L381" si="22">IF(ISBLANK(I375),IF(ISNUMBER(J375)=FALSE,K375,J375),I375)</f>
        <v>1.6488530966921614E-11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4.4583394153969523E-8</v>
      </c>
      <c r="L376" s="664">
        <f t="shared" si="22"/>
        <v>4.4583394153969523E-8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2.1981562883186124E-8</v>
      </c>
      <c r="L377" s="664">
        <f t="shared" si="22"/>
        <v>2.1981562883186124E-8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2.8893658041603256E-10</v>
      </c>
      <c r="L378" s="664">
        <f t="shared" si="22"/>
        <v>2.8893658041603256E-10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2.8900000000000009E-10</v>
      </c>
      <c r="L379" s="687">
        <f t="shared" si="22"/>
        <v>2.8900000000000009E-10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92">
        <f>0.0000289</f>
        <v>2.8900000000000001E-5</v>
      </c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2.8900000000000001E-5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2.7484030017578716E-8</v>
      </c>
      <c r="L383" s="664">
        <f>IF(ISBLANK(I383),IF(ISNUMBER(J383)=FALSE,K383,J383),I383)</f>
        <v>2.7484030017578716E-8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1.0485652442030529E-9</v>
      </c>
      <c r="L384" s="664">
        <f>IF(ISBLANK(I384),IF(ISNUMBER(J384)=FALSE,K384,J384),I384)</f>
        <v>1.0485652442030529E-9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8.4853959516793628E-9</v>
      </c>
      <c r="L388" s="664">
        <f>IF(ISBLANK(I388),IF(ISNUMBER(J388)=FALSE,K388,J388),I388)</f>
        <v>8.4853959516793628E-9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1.00290385952411E-5</v>
      </c>
      <c r="L395" s="664">
        <f t="shared" ref="L395:L410" si="23">IF(ISBLANK(I395),IF(ISNUMBER(J395)=FALSE,K395,J395),I395)</f>
        <v>1.00290385952411E-5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2.1377159489774912E-7</v>
      </c>
      <c r="L396" s="664">
        <f t="shared" si="23"/>
        <v>2.1377159489774912E-7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2.1377159489774912E-7</v>
      </c>
      <c r="L397" s="664">
        <f t="shared" si="23"/>
        <v>2.1377159489774912E-7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1.070241687381601E-7</v>
      </c>
      <c r="L399" s="664">
        <f t="shared" si="23"/>
        <v>1.070241687381601E-7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1.0028672269359272E-5</v>
      </c>
      <c r="L401" s="664">
        <f t="shared" si="23"/>
        <v>1.0028672269359272E-5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2.1377159489774912E-7</v>
      </c>
      <c r="L404" s="664">
        <f t="shared" si="23"/>
        <v>2.1377159489774912E-7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2.1377159489774912E-7</v>
      </c>
      <c r="L405" s="664">
        <f t="shared" si="23"/>
        <v>2.1377159489774912E-7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07 I116:I118 K116:L118 I120:I139 K120:L139 I145:I160 I163:I167 K145:L167 I171:L171 I169:I170 K169:L170 I172:I181 I191:I237 I241:I243 K242:L250 I256:I275 K256:L275 I281:I296 I299:I303 K281:L303 I307:L307 I305:I306 K305:L306 I308:I317 K308:L347 I377:I379 K378:L386 I392:I411 K392:L411 K172:L211 I245:I250 I381:I386 I109:I114">
    <cfRule type="cellIs" dxfId="96" priority="198" operator="equal">
      <formula>0</formula>
    </cfRule>
  </conditionalFormatting>
  <conditionalFormatting sqref="J1 J416:J1048576 J102 J141:J144 J168 J238 J277:J280 J304 J374 J115 J171 J251 J307 J387">
    <cfRule type="expression" dxfId="95" priority="197">
      <formula>"HLOOKUP(CaseName,CaseData,ROW()+682,FALSE)&lt;&gt;"""""</formula>
    </cfRule>
  </conditionalFormatting>
  <conditionalFormatting sqref="I101">
    <cfRule type="cellIs" dxfId="94" priority="170" operator="equal">
      <formula>0</formula>
    </cfRule>
  </conditionalFormatting>
  <conditionalFormatting sqref="I119">
    <cfRule type="cellIs" dxfId="93" priority="169" operator="equal">
      <formula>0</formula>
    </cfRule>
  </conditionalFormatting>
  <conditionalFormatting sqref="I140">
    <cfRule type="cellIs" dxfId="92" priority="168" operator="equal">
      <formula>0</formula>
    </cfRule>
  </conditionalFormatting>
  <conditionalFormatting sqref="I373">
    <cfRule type="cellIs" dxfId="91" priority="164" operator="equal">
      <formula>0</formula>
    </cfRule>
  </conditionalFormatting>
  <conditionalFormatting sqref="I255">
    <cfRule type="cellIs" dxfId="90" priority="166" operator="equal">
      <formula>0</formula>
    </cfRule>
  </conditionalFormatting>
  <conditionalFormatting sqref="I276">
    <cfRule type="cellIs" dxfId="89" priority="165" operator="equal">
      <formula>0</formula>
    </cfRule>
  </conditionalFormatting>
  <conditionalFormatting sqref="I391">
    <cfRule type="cellIs" dxfId="88" priority="163" operator="equal">
      <formula>0</formula>
    </cfRule>
  </conditionalFormatting>
  <conditionalFormatting sqref="I412">
    <cfRule type="cellIs" dxfId="87" priority="162" operator="equal">
      <formula>0</formula>
    </cfRule>
  </conditionalFormatting>
  <conditionalFormatting sqref="I18:I19">
    <cfRule type="cellIs" dxfId="86" priority="161" operator="equal">
      <formula>0</formula>
    </cfRule>
  </conditionalFormatting>
  <conditionalFormatting sqref="I46">
    <cfRule type="cellIs" dxfId="85" priority="160" operator="equal">
      <formula>0</formula>
    </cfRule>
  </conditionalFormatting>
  <conditionalFormatting sqref="I48">
    <cfRule type="cellIs" dxfId="84" priority="159" operator="equal">
      <formula>0</formula>
    </cfRule>
  </conditionalFormatting>
  <conditionalFormatting sqref="I53:I54">
    <cfRule type="cellIs" dxfId="83" priority="158" operator="equal">
      <formula>0</formula>
    </cfRule>
  </conditionalFormatting>
  <conditionalFormatting sqref="I161:I162">
    <cfRule type="cellIs" dxfId="82" priority="155" operator="equal">
      <formula>0</formula>
    </cfRule>
  </conditionalFormatting>
  <conditionalFormatting sqref="I87:I88">
    <cfRule type="cellIs" dxfId="81" priority="156" operator="equal">
      <formula>0</formula>
    </cfRule>
  </conditionalFormatting>
  <conditionalFormatting sqref="I182:I184">
    <cfRule type="cellIs" dxfId="80" priority="154" operator="equal">
      <formula>0</formula>
    </cfRule>
  </conditionalFormatting>
  <conditionalFormatting sqref="I189:I190">
    <cfRule type="cellIs" dxfId="79" priority="152" operator="equal">
      <formula>0</formula>
    </cfRule>
  </conditionalFormatting>
  <conditionalFormatting sqref="I318">
    <cfRule type="cellIs" dxfId="78" priority="148" operator="equal">
      <formula>0</formula>
    </cfRule>
  </conditionalFormatting>
  <conditionalFormatting sqref="I320">
    <cfRule type="cellIs" dxfId="77" priority="147" operator="equal">
      <formula>0</formula>
    </cfRule>
  </conditionalFormatting>
  <conditionalFormatting sqref="I297:I298">
    <cfRule type="cellIs" dxfId="76" priority="149" operator="equal">
      <formula>0</formula>
    </cfRule>
  </conditionalFormatting>
  <conditionalFormatting sqref="I325:I326">
    <cfRule type="cellIs" dxfId="75" priority="146" operator="equal">
      <formula>0</formula>
    </cfRule>
  </conditionalFormatting>
  <conditionalFormatting sqref="K101">
    <cfRule type="cellIs" dxfId="74" priority="143" operator="equal">
      <formula>0</formula>
    </cfRule>
  </conditionalFormatting>
  <conditionalFormatting sqref="K119">
    <cfRule type="cellIs" dxfId="73" priority="142" operator="equal">
      <formula>0</formula>
    </cfRule>
  </conditionalFormatting>
  <conditionalFormatting sqref="K140">
    <cfRule type="cellIs" dxfId="72" priority="141" operator="equal">
      <formula>0</formula>
    </cfRule>
  </conditionalFormatting>
  <conditionalFormatting sqref="K237">
    <cfRule type="cellIs" dxfId="71" priority="140" operator="equal">
      <formula>0</formula>
    </cfRule>
  </conditionalFormatting>
  <conditionalFormatting sqref="K255">
    <cfRule type="cellIs" dxfId="70" priority="139" operator="equal">
      <formula>0</formula>
    </cfRule>
  </conditionalFormatting>
  <conditionalFormatting sqref="K276">
    <cfRule type="cellIs" dxfId="69" priority="138" operator="equal">
      <formula>0</formula>
    </cfRule>
  </conditionalFormatting>
  <conditionalFormatting sqref="K373">
    <cfRule type="cellIs" dxfId="68" priority="137" operator="equal">
      <formula>0</formula>
    </cfRule>
  </conditionalFormatting>
  <conditionalFormatting sqref="K391">
    <cfRule type="cellIs" dxfId="67" priority="136" operator="equal">
      <formula>0</formula>
    </cfRule>
  </conditionalFormatting>
  <conditionalFormatting sqref="K412">
    <cfRule type="cellIs" dxfId="66" priority="135" operator="equal">
      <formula>0</formula>
    </cfRule>
  </conditionalFormatting>
  <conditionalFormatting sqref="I239:I240">
    <cfRule type="cellIs" dxfId="65" priority="81" operator="equal">
      <formula>0</formula>
    </cfRule>
  </conditionalFormatting>
  <conditionalFormatting sqref="I348">
    <cfRule type="cellIs" dxfId="64" priority="80" operator="equal">
      <formula>0</formula>
    </cfRule>
  </conditionalFormatting>
  <conditionalFormatting sqref="I375:I376">
    <cfRule type="cellIs" dxfId="63" priority="79" operator="equal">
      <formula>0</formula>
    </cfRule>
  </conditionalFormatting>
  <conditionalFormatting sqref="K76:K79">
    <cfRule type="cellIs" dxfId="62" priority="78" operator="equal">
      <formula>0</formula>
    </cfRule>
  </conditionalFormatting>
  <conditionalFormatting sqref="K76:K79">
    <cfRule type="cellIs" dxfId="61" priority="77" operator="equal">
      <formula>0</formula>
    </cfRule>
  </conditionalFormatting>
  <conditionalFormatting sqref="K82:K83">
    <cfRule type="cellIs" dxfId="60" priority="74" operator="equal">
      <formula>0</formula>
    </cfRule>
  </conditionalFormatting>
  <conditionalFormatting sqref="K92:K95">
    <cfRule type="cellIs" dxfId="59" priority="73" operator="equal">
      <formula>0</formula>
    </cfRule>
  </conditionalFormatting>
  <conditionalFormatting sqref="K103:K105">
    <cfRule type="cellIs" dxfId="58" priority="71" operator="equal">
      <formula>0</formula>
    </cfRule>
  </conditionalFormatting>
  <conditionalFormatting sqref="K111:K112">
    <cfRule type="cellIs" dxfId="57" priority="69" operator="equal">
      <formula>0</formula>
    </cfRule>
  </conditionalFormatting>
  <conditionalFormatting sqref="K352">
    <cfRule type="cellIs" dxfId="56" priority="59" operator="equal">
      <formula>0</formula>
    </cfRule>
  </conditionalFormatting>
  <conditionalFormatting sqref="K354:K355">
    <cfRule type="cellIs" dxfId="55" priority="58" operator="equal">
      <formula>0</formula>
    </cfRule>
  </conditionalFormatting>
  <conditionalFormatting sqref="K364:K367">
    <cfRule type="cellIs" dxfId="54" priority="57" operator="equal">
      <formula>0</formula>
    </cfRule>
  </conditionalFormatting>
  <conditionalFormatting sqref="K228:K231 K218:K219 K212:K216">
    <cfRule type="cellIs" dxfId="53" priority="54" operator="equal">
      <formula>0</formula>
    </cfRule>
  </conditionalFormatting>
  <conditionalFormatting sqref="K239:K240">
    <cfRule type="cellIs" dxfId="52" priority="52" operator="equal">
      <formula>0</formula>
    </cfRule>
  </conditionalFormatting>
  <conditionalFormatting sqref="K348:K351">
    <cfRule type="cellIs" dxfId="51" priority="51" operator="equal">
      <formula>0</formula>
    </cfRule>
  </conditionalFormatting>
  <conditionalFormatting sqref="K375:K376">
    <cfRule type="cellIs" dxfId="50" priority="50" operator="equal">
      <formula>0</formula>
    </cfRule>
  </conditionalFormatting>
  <conditionalFormatting sqref="J414">
    <cfRule type="cellIs" dxfId="49" priority="42" operator="equal">
      <formula>0</formula>
    </cfRule>
  </conditionalFormatting>
  <conditionalFormatting sqref="J102 J141:J144 J168 J238 J277:J280 J304 J374 J115 J171 J251 J307 J387">
    <cfRule type="cellIs" dxfId="48" priority="43" operator="notEqual">
      <formula>""""""</formula>
    </cfRule>
  </conditionalFormatting>
  <conditionalFormatting sqref="I253:I254 K253:L254">
    <cfRule type="cellIs" dxfId="47" priority="41" operator="equal">
      <formula>0</formula>
    </cfRule>
  </conditionalFormatting>
  <conditionalFormatting sqref="I389:I390 K389:L390">
    <cfRule type="cellIs" dxfId="46" priority="38" operator="equal">
      <formula>0</formula>
    </cfRule>
  </conditionalFormatting>
  <conditionalFormatting sqref="L241">
    <cfRule type="cellIs" dxfId="45" priority="29" operator="equal">
      <formula>0</formula>
    </cfRule>
  </conditionalFormatting>
  <conditionalFormatting sqref="K241">
    <cfRule type="cellIs" dxfId="44" priority="28" operator="equal">
      <formula>0</formula>
    </cfRule>
  </conditionalFormatting>
  <conditionalFormatting sqref="L377">
    <cfRule type="cellIs" dxfId="43" priority="27" operator="equal">
      <formula>0</formula>
    </cfRule>
  </conditionalFormatting>
  <conditionalFormatting sqref="K377">
    <cfRule type="cellIs" dxfId="42" priority="26" operator="equal">
      <formula>0</formula>
    </cfRule>
  </conditionalFormatting>
  <conditionalFormatting sqref="J5:J42">
    <cfRule type="expression" dxfId="41" priority="25">
      <formula>"HLOOKUP(CaseName,CaseData,ROW()+157,FALSE)&lt;&gt;"""""</formula>
    </cfRule>
  </conditionalFormatting>
  <conditionalFormatting sqref="J46:J72">
    <cfRule type="expression" dxfId="40" priority="24">
      <formula>"HLOOKUP(CaseName,CaseData,ROW()+157,FALSE)&lt;&gt;"""""</formula>
    </cfRule>
  </conditionalFormatting>
  <conditionalFormatting sqref="J76:J101">
    <cfRule type="expression" dxfId="39" priority="23">
      <formula>"HLOOKUP(CaseName,CaseData,ROW()+157,FALSE)&lt;&gt;"""""</formula>
    </cfRule>
  </conditionalFormatting>
  <conditionalFormatting sqref="J103:J114">
    <cfRule type="expression" dxfId="38" priority="22">
      <formula>"HLOOKUP(CaseName,CaseData,ROW()+157,FALSE)&lt;&gt;"""""</formula>
    </cfRule>
  </conditionalFormatting>
  <conditionalFormatting sqref="J116:J119">
    <cfRule type="expression" dxfId="37" priority="21">
      <formula>"HLOOKUP(CaseName,CaseData,ROW()+157,FALSE)&lt;&gt;"""""</formula>
    </cfRule>
  </conditionalFormatting>
  <conditionalFormatting sqref="J123:J140">
    <cfRule type="expression" dxfId="36" priority="20">
      <formula>"HLOOKUP(CaseName,CaseData,ROW()+157,FALSE)&lt;&gt;"""""</formula>
    </cfRule>
  </conditionalFormatting>
  <conditionalFormatting sqref="J148:J167">
    <cfRule type="expression" dxfId="35" priority="19">
      <formula>"HLOOKUP(CaseName,CaseData,ROW()+157,FALSE)&lt;&gt;"""""</formula>
    </cfRule>
  </conditionalFormatting>
  <conditionalFormatting sqref="J169:J170">
    <cfRule type="expression" dxfId="34" priority="18">
      <formula>"HLOOKUP(CaseName,CaseData,ROW()+157,FALSE)&lt;&gt;"""""</formula>
    </cfRule>
  </conditionalFormatting>
  <conditionalFormatting sqref="J172:J178">
    <cfRule type="expression" dxfId="33" priority="17">
      <formula>"HLOOKUP(CaseName,CaseData,ROW()+157,FALSE)&lt;&gt;"""""</formula>
    </cfRule>
  </conditionalFormatting>
  <conditionalFormatting sqref="J182:J208">
    <cfRule type="expression" dxfId="32" priority="16">
      <formula>"HLOOKUP(CaseName,CaseData,ROW()+157,FALSE)&lt;&gt;"""""</formula>
    </cfRule>
  </conditionalFormatting>
  <conditionalFormatting sqref="J212:J237">
    <cfRule type="expression" dxfId="31" priority="15">
      <formula>"HLOOKUP(CaseName,CaseData,ROW()+157,FALSE)&lt;&gt;"""""</formula>
    </cfRule>
  </conditionalFormatting>
  <conditionalFormatting sqref="J239:J250">
    <cfRule type="expression" dxfId="30" priority="14">
      <formula>"HLOOKUP(CaseName,CaseData,ROW()+157,FALSE)&lt;&gt;"""""</formula>
    </cfRule>
  </conditionalFormatting>
  <conditionalFormatting sqref="J252:J255">
    <cfRule type="expression" dxfId="29" priority="13">
      <formula>"HLOOKUP(CaseName,CaseData,ROW()+157,FALSE)&lt;&gt;"""""</formula>
    </cfRule>
  </conditionalFormatting>
  <conditionalFormatting sqref="J259:J276">
    <cfRule type="expression" dxfId="28" priority="12">
      <formula>"HLOOKUP(CaseName,CaseData,ROW()+157,FALSE)&lt;&gt;"""""</formula>
    </cfRule>
  </conditionalFormatting>
  <conditionalFormatting sqref="J284:J303">
    <cfRule type="expression" dxfId="27" priority="11">
      <formula>"HLOOKUP(CaseName,CaseData,ROW()+157,FALSE)&lt;&gt;"""""</formula>
    </cfRule>
  </conditionalFormatting>
  <conditionalFormatting sqref="J305:J306">
    <cfRule type="expression" dxfId="26" priority="10">
      <formula>"HLOOKUP(CaseName,CaseData,ROW()+157,FALSE)&lt;&gt;"""""</formula>
    </cfRule>
  </conditionalFormatting>
  <conditionalFormatting sqref="J308:J314">
    <cfRule type="expression" dxfId="25" priority="9">
      <formula>"HLOOKUP(CaseName,CaseData,ROW()+157,FALSE)&lt;&gt;"""""</formula>
    </cfRule>
  </conditionalFormatting>
  <conditionalFormatting sqref="J318:J344">
    <cfRule type="expression" dxfId="24" priority="8">
      <formula>"HLOOKUP(CaseName,CaseData,ROW()+157,FALSE)&lt;&gt;"""""</formula>
    </cfRule>
  </conditionalFormatting>
  <conditionalFormatting sqref="J348:J373">
    <cfRule type="expression" dxfId="23" priority="7">
      <formula>"HLOOKUP(CaseName,CaseData,ROW()+157,FALSE)&lt;&gt;"""""</formula>
    </cfRule>
  </conditionalFormatting>
  <conditionalFormatting sqref="J375:J386">
    <cfRule type="expression" dxfId="22" priority="6">
      <formula>"HLOOKUP(CaseName,CaseData,ROW()+157,FALSE)&lt;&gt;"""""</formula>
    </cfRule>
  </conditionalFormatting>
  <conditionalFormatting sqref="J388:J391">
    <cfRule type="expression" dxfId="21" priority="5">
      <formula>"HLOOKUP(CaseName,CaseData,ROW()+157,FALSE)&lt;&gt;"""""</formula>
    </cfRule>
  </conditionalFormatting>
  <conditionalFormatting sqref="J395:J412">
    <cfRule type="expression" dxfId="20" priority="4">
      <formula>"HLOOKUP(CaseName,CaseData,ROW()+157,FALSE)&lt;&gt;"""""</formula>
    </cfRule>
  </conditionalFormatting>
  <conditionalFormatting sqref="I244">
    <cfRule type="cellIs" dxfId="19" priority="3" operator="equal">
      <formula>0</formula>
    </cfRule>
  </conditionalFormatting>
  <conditionalFormatting sqref="I380">
    <cfRule type="cellIs" dxfId="18" priority="2" operator="equal">
      <formula>0</formula>
    </cfRule>
  </conditionalFormatting>
  <conditionalFormatting sqref="I108">
    <cfRule type="cellIs" dxfId="1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-2.5321053634599309E-5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4.2270398837526125E-11</v>
      </c>
      <c r="K9" s="179">
        <f>k.s2R.aR</f>
        <v>1.9185759281117113E-11</v>
      </c>
      <c r="L9" s="179">
        <f>k.s3R.aR</f>
        <v>4.2161478458732919E-11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2.3739569380188086E-8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3.8168483464174523E-10</v>
      </c>
      <c r="K10" s="689">
        <f>k.s2R.w0R</f>
        <v>1.7381999798322019E-10</v>
      </c>
      <c r="L10" s="689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2.6113526318206898E-7</v>
      </c>
      <c r="E11" s="179">
        <f>k.w0R.w1R</f>
        <v>2.3972602739726025E-9</v>
      </c>
      <c r="F11" s="378">
        <f>-k.w1R-SUM(F9:F10,F12:F41)</f>
        <v>-1.8586781789656892E-7</v>
      </c>
      <c r="G11" s="376">
        <v>0</v>
      </c>
      <c r="H11" s="179">
        <f>k.sd1R.w1R</f>
        <v>6.0720618859421514E-8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4.1544506068492124E-8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-1.4616376245257347E-6</v>
      </c>
      <c r="H12" s="376">
        <v>0</v>
      </c>
      <c r="I12" s="179">
        <f>k.sd2R.w2R</f>
        <v>4.3671214898515269E-8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2.6432067130763626E-8</v>
      </c>
      <c r="G13" s="376">
        <v>0</v>
      </c>
      <c r="H13" s="378">
        <f>-k.sd1R-SUM(H9:H12,H14:H41)</f>
        <v>-7.3269801560891215E-8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4.9465592900764843E-9</v>
      </c>
      <c r="H14" s="376">
        <v>0</v>
      </c>
      <c r="I14" s="378">
        <f>-k.sd2R-SUM(I9:I13,I15:I41)</f>
        <v>-5.4239322585187227E-8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1.8242769560973718E-6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-4.809535177980979E-8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4.0539487913274925E-6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-4.5561170887084385E-8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6.7565813188791542E-7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-4.8098765746778479E-8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-1.8945806264238928E-5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691">
        <f>k.s1C.aC</f>
        <v>4.2270398837526125E-11</v>
      </c>
      <c r="T18" s="691">
        <f>k.s2C.aC</f>
        <v>1.9235323960647504E-11</v>
      </c>
      <c r="U18" s="691">
        <f>k.s3C.aC</f>
        <v>4.2270398837526125E-11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1.1542226079497355E-8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3.8168483464174528E-10</v>
      </c>
      <c r="T19" s="691">
        <f>k.s2C.w0C</f>
        <v>1.7381999798322021E-10</v>
      </c>
      <c r="U19" s="691">
        <f>k.s3C.w0C</f>
        <v>3.8197644374071538E-10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1.2696448687447087E-7</v>
      </c>
      <c r="N20" s="179">
        <f>k.w0C.w1C</f>
        <v>2.3972602739726029E-9</v>
      </c>
      <c r="O20" s="378">
        <f>-k.w1C-SUM(O9:O19,O21:O41)</f>
        <v>-1.8586781789656895E-7</v>
      </c>
      <c r="P20" s="376">
        <v>0</v>
      </c>
      <c r="Q20" s="179">
        <f>k.sd1C.w1C</f>
        <v>6.0741758720652188E-8</v>
      </c>
      <c r="R20" s="376">
        <v>0</v>
      </c>
      <c r="S20" s="691">
        <f>k.s1C.w1C</f>
        <v>4.1985331810591978E-9</v>
      </c>
      <c r="T20" s="691">
        <f>k.s2C.w1C</f>
        <v>1.9120199778154223E-9</v>
      </c>
      <c r="U20" s="691">
        <f>k.s3C.w1C</f>
        <v>4.2017408811478684E-9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4.9183000649331315E-6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-1.1877443899618395E-7</v>
      </c>
      <c r="Q21" s="376">
        <v>0</v>
      </c>
      <c r="R21" s="179">
        <f>k.sd2C.w2C</f>
        <v>4.4585508140101766E-8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2.6432067130763626E-8</v>
      </c>
      <c r="P22" s="376">
        <v>0</v>
      </c>
      <c r="Q22" s="378">
        <f>-k.sd1C-SUM(Q9:Q21,Q23:Q41)</f>
        <v>-7.3269801560891202E-8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2.4732796450382424E-10</v>
      </c>
      <c r="Q23" s="376">
        <v>0</v>
      </c>
      <c r="R23" s="378">
        <f>-k.sd2C-SUM(R9:R22,R24:R41)</f>
        <v>-5.4239322585187221E-8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8.8688482303507228E-7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-4.809535177980979E-8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1.9708551623001603E-6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-4.5561220451763915E-8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3.2847586038336002E-7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-4.8098874667157268E-8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-1.8360237088852444E-5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4.2270398837526125E-11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4.7753381156319045E-6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-9.6427601131680129E-8</v>
      </c>
      <c r="Y29" s="376">
        <f>k.sdM.w3M</f>
        <v>4.4582524205787108E-8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1.6488530966921614E-11</v>
      </c>
      <c r="Y30" s="378">
        <f>-k.sdM-SUM(Y9:Y29,Y31:Y41)</f>
        <v>-5.4239322585187221E-8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3.3997205034219729E-6</v>
      </c>
      <c r="W31" s="376">
        <v>0</v>
      </c>
      <c r="X31" s="376">
        <v>0</v>
      </c>
      <c r="Y31" s="376">
        <v>0</v>
      </c>
      <c r="Z31" s="378">
        <f>-k.sM-SUM(Z9:Z30,Z32:Z41)</f>
        <v>-4.809535177980979E-8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-1.6666075052522468E-5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1.3393307854406381E-12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5.7645412263045167E-6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-2.9847565553499331E-8</v>
      </c>
      <c r="AD34" s="376">
        <f>k.sdA.w3A</f>
        <v>4.4583394153969523E-8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1.6488530966921614E-11</v>
      </c>
      <c r="AD35" s="378">
        <f>-k.sdA-SUM(AD9:AD34,AD36:AD41)</f>
        <v>-4.6686541540883121E-8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2.7558086979725298E-6</v>
      </c>
      <c r="AB36" s="376">
        <v>0</v>
      </c>
      <c r="AC36" s="376">
        <v>0</v>
      </c>
      <c r="AD36" s="376">
        <v>0</v>
      </c>
      <c r="AE36" s="378">
        <f>-k.sA-SUM(AE9:AE35,AE37:AE41)</f>
        <v>-1.1118287889225924E-8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-1.9074614776457458E-5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2.5498180794890081E-10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6.6300097818731875E-6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-2.2136289786627557E-7</v>
      </c>
      <c r="AI39" s="376">
        <f>k.sdT.w3T</f>
        <v>4.4583394153969523E-8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1.6488530966921614E-11</v>
      </c>
      <c r="AI40" s="378">
        <f>-k.sdT-SUM(AI9:AI39,AI41)</f>
        <v>-6.8355987583172601E-8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2.0158426445779233E-6</v>
      </c>
      <c r="AG41" s="373">
        <v>0</v>
      </c>
      <c r="AH41" s="373">
        <v>0</v>
      </c>
      <c r="AI41" s="373">
        <v>0</v>
      </c>
      <c r="AJ41" s="381">
        <f>-k.sT-SUM(AJ9:AJ40)</f>
        <v>-1.1576454649778837E-7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64294726.972337998</v>
      </c>
      <c r="D45" s="370">
        <f t="array" ref="D45:AJ45">TRANSPOSE(MMULT(MINVERSE(D9:AJ41),-TRANSPOSE(D5:AJ5)))</f>
        <v>56239.208505445844</v>
      </c>
      <c r="E45" s="370">
        <v>97654.597863529285</v>
      </c>
      <c r="F45" s="370">
        <v>9211474.8291876614</v>
      </c>
      <c r="G45" s="370">
        <v>460744.05506369798</v>
      </c>
      <c r="H45" s="370">
        <v>3323037.811916057</v>
      </c>
      <c r="I45" s="370">
        <v>42019.289277504162</v>
      </c>
      <c r="J45" s="370">
        <v>2133176.8727952088</v>
      </c>
      <c r="K45" s="370">
        <v>36044236.358297691</v>
      </c>
      <c r="L45" s="370">
        <v>790009.43096319516</v>
      </c>
      <c r="M45" s="370">
        <v>27980.572967384043</v>
      </c>
      <c r="N45" s="370">
        <v>8999.602047787188</v>
      </c>
      <c r="O45" s="370">
        <v>54024.128685524171</v>
      </c>
      <c r="P45" s="370">
        <v>6547835.3041326189</v>
      </c>
      <c r="Q45" s="370">
        <v>19489.194261159108</v>
      </c>
      <c r="R45" s="370">
        <v>29857.724995254186</v>
      </c>
      <c r="S45" s="370">
        <v>515965.5681116315</v>
      </c>
      <c r="T45" s="370">
        <v>1210363.9044364139</v>
      </c>
      <c r="U45" s="370">
        <v>191084.36201640675</v>
      </c>
      <c r="V45" s="370">
        <v>2109.6068364158723</v>
      </c>
      <c r="W45" s="370">
        <v>608160.35111903283</v>
      </c>
      <c r="X45" s="370">
        <v>1592452.5107454602</v>
      </c>
      <c r="Y45" s="370">
        <v>484.0990131382917</v>
      </c>
      <c r="Z45" s="370">
        <v>149121.97022193336</v>
      </c>
      <c r="AA45" s="370">
        <v>48.016399330671653</v>
      </c>
      <c r="AB45" s="370">
        <v>114975.34370744653</v>
      </c>
      <c r="AC45" s="370">
        <v>1037764.5012648532</v>
      </c>
      <c r="AD45" s="370">
        <v>366.51273687714291</v>
      </c>
      <c r="AE45" s="370">
        <v>11901.473701631227</v>
      </c>
      <c r="AF45" s="370">
        <v>72.68100788539536</v>
      </c>
      <c r="AG45" s="370">
        <v>1250.6546236101769</v>
      </c>
      <c r="AH45" s="370">
        <v>10558.272504962077</v>
      </c>
      <c r="AI45" s="370">
        <v>2.5468201003377882</v>
      </c>
      <c r="AJ45" s="371">
        <v>1265.6161111388569</v>
      </c>
    </row>
    <row r="46" spans="1:36" ht="12.75" customHeight="1" x14ac:dyDescent="0.2">
      <c r="B46" s="255" t="s">
        <v>2410</v>
      </c>
      <c r="C46" s="531">
        <f>SUM(D46:AJ46)</f>
        <v>67553234.406392038</v>
      </c>
      <c r="D46" s="383">
        <f>D45</f>
        <v>56239.208505445844</v>
      </c>
      <c r="E46" s="383"/>
      <c r="F46" s="383">
        <f t="shared" ref="F46:AJ46" si="0">F45</f>
        <v>9211474.8291876614</v>
      </c>
      <c r="G46" s="383">
        <f t="shared" si="0"/>
        <v>460744.05506369798</v>
      </c>
      <c r="H46" s="383">
        <f t="shared" si="0"/>
        <v>3323037.811916057</v>
      </c>
      <c r="I46" s="383">
        <f t="shared" si="0"/>
        <v>42019.289277504162</v>
      </c>
      <c r="J46" s="383">
        <f t="shared" si="0"/>
        <v>2133176.8727952088</v>
      </c>
      <c r="K46" s="383">
        <f t="shared" si="0"/>
        <v>36044236.358297691</v>
      </c>
      <c r="L46" s="383">
        <f t="shared" si="0"/>
        <v>790009.43096319516</v>
      </c>
      <c r="M46" s="383">
        <f t="shared" si="0"/>
        <v>27980.572967384043</v>
      </c>
      <c r="N46" s="383"/>
      <c r="O46" s="383">
        <f t="shared" si="0"/>
        <v>54024.128685524171</v>
      </c>
      <c r="P46" s="383">
        <f t="shared" si="0"/>
        <v>6547835.3041326189</v>
      </c>
      <c r="Q46" s="383">
        <f t="shared" si="0"/>
        <v>19489.194261159108</v>
      </c>
      <c r="R46" s="383">
        <f t="shared" si="0"/>
        <v>29857.724995254186</v>
      </c>
      <c r="S46" s="383">
        <f t="shared" si="0"/>
        <v>515965.5681116315</v>
      </c>
      <c r="T46" s="383">
        <f t="shared" si="0"/>
        <v>1210363.9044364139</v>
      </c>
      <c r="U46" s="383">
        <f t="shared" si="0"/>
        <v>191084.36201640675</v>
      </c>
      <c r="V46" s="383">
        <f t="shared" si="0"/>
        <v>2109.6068364158723</v>
      </c>
      <c r="W46" s="383">
        <f>SUM(W45:X45)</f>
        <v>2200612.8618644932</v>
      </c>
      <c r="X46" s="383">
        <f>SUM(W45:X45)</f>
        <v>2200612.8618644932</v>
      </c>
      <c r="Y46" s="383">
        <f t="shared" si="0"/>
        <v>484.0990131382917</v>
      </c>
      <c r="Z46" s="383">
        <f t="shared" si="0"/>
        <v>149121.97022193336</v>
      </c>
      <c r="AA46" s="383">
        <f t="shared" si="0"/>
        <v>48.016399330671653</v>
      </c>
      <c r="AB46" s="383">
        <f>SUM(AB45:AC45)</f>
        <v>1152739.8449722996</v>
      </c>
      <c r="AC46" s="383">
        <f>SUM(AB45:AC45)</f>
        <v>1152739.8449722996</v>
      </c>
      <c r="AD46" s="383">
        <f t="shared" si="0"/>
        <v>366.51273687714291</v>
      </c>
      <c r="AE46" s="383">
        <f t="shared" si="0"/>
        <v>11901.473701631227</v>
      </c>
      <c r="AF46" s="383">
        <f t="shared" si="0"/>
        <v>72.68100788539536</v>
      </c>
      <c r="AG46" s="383">
        <f>SUM(AG45:AH45)</f>
        <v>11808.927128572253</v>
      </c>
      <c r="AH46" s="383">
        <f>SUM(AG45:AH45)</f>
        <v>11808.927128572253</v>
      </c>
      <c r="AI46" s="383">
        <f t="shared" si="0"/>
        <v>2.5468201003377882</v>
      </c>
      <c r="AJ46" s="384">
        <f t="shared" si="0"/>
        <v>1265.6161111388569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-1.0774615327306307</v>
      </c>
      <c r="E48" s="515" t="e">
        <f t="shared" ref="E48:AJ48" si="1">IF(E49&gt;0.0001,LOG(E46/E47),"")</f>
        <v>#DIV/0!</v>
      </c>
      <c r="F48" s="515">
        <f t="shared" si="1"/>
        <v>0.88790231168095524</v>
      </c>
      <c r="G48" s="515">
        <f t="shared" si="1"/>
        <v>1.0537984701009306</v>
      </c>
      <c r="H48" s="515">
        <f t="shared" si="1"/>
        <v>1.3123148643460509</v>
      </c>
      <c r="I48" s="515">
        <f t="shared" si="1"/>
        <v>1.4643631875283789</v>
      </c>
      <c r="J48" s="515">
        <f t="shared" si="1"/>
        <v>2.9729173080300848</v>
      </c>
      <c r="K48" s="515">
        <f t="shared" si="1"/>
        <v>0.24263706779188371</v>
      </c>
      <c r="L48" s="515">
        <f t="shared" si="1"/>
        <v>2.9728864814669924</v>
      </c>
      <c r="M48" s="515">
        <f t="shared" si="1"/>
        <v>-2.1206873887994568</v>
      </c>
      <c r="N48" s="515" t="e">
        <f t="shared" si="1"/>
        <v>#DIV/0!</v>
      </c>
      <c r="O48" s="515">
        <f t="shared" si="1"/>
        <v>1.2143040565509153</v>
      </c>
      <c r="P48" s="515">
        <f t="shared" si="1"/>
        <v>0.58598964370292783</v>
      </c>
      <c r="Q48" s="515">
        <f t="shared" si="1"/>
        <v>1.6390673391204993</v>
      </c>
      <c r="R48" s="515">
        <f t="shared" si="1"/>
        <v>0.99671106020152822</v>
      </c>
      <c r="S48" s="515">
        <f t="shared" si="1"/>
        <v>1.9019694120002726</v>
      </c>
      <c r="T48" s="515">
        <f t="shared" si="1"/>
        <v>1.4853675307276792</v>
      </c>
      <c r="U48" s="515">
        <f t="shared" si="1"/>
        <v>1.9019376019719043</v>
      </c>
      <c r="V48" s="515" t="str">
        <f t="shared" si="1"/>
        <v/>
      </c>
      <c r="W48" s="515">
        <f t="shared" si="1"/>
        <v>-0.30716029391147232</v>
      </c>
      <c r="X48" s="515">
        <f t="shared" si="1"/>
        <v>-0.30716029391147232</v>
      </c>
      <c r="Y48" s="515" t="str">
        <f t="shared" si="1"/>
        <v/>
      </c>
      <c r="Z48" s="515">
        <f t="shared" si="1"/>
        <v>0.56611270217676679</v>
      </c>
      <c r="AA48" s="515" t="str">
        <f t="shared" si="1"/>
        <v/>
      </c>
      <c r="AB48" s="515">
        <f t="shared" si="1"/>
        <v>-1.2441172791646899</v>
      </c>
      <c r="AC48" s="515">
        <f t="shared" si="1"/>
        <v>-1.2441172791646899</v>
      </c>
      <c r="AD48" s="515" t="str">
        <f t="shared" si="1"/>
        <v/>
      </c>
      <c r="AE48" s="515">
        <f t="shared" si="1"/>
        <v>-0.58993885432039472</v>
      </c>
      <c r="AF48" s="515" t="str">
        <f t="shared" si="1"/>
        <v/>
      </c>
      <c r="AG48" s="515" t="str">
        <f t="shared" si="1"/>
        <v/>
      </c>
      <c r="AH48" s="515">
        <f t="shared" si="1"/>
        <v>-1.9692666964041459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0.99999999999999956</v>
      </c>
      <c r="D49" s="151">
        <f t="shared" ref="D49:AJ49" si="2">D45/SUM($D45:$AJ45)</f>
        <v>8.7470950035517005E-4</v>
      </c>
      <c r="E49" s="151">
        <f t="shared" si="2"/>
        <v>1.5188585823771202E-3</v>
      </c>
      <c r="F49" s="151">
        <f t="shared" si="2"/>
        <v>0.1432695224470085</v>
      </c>
      <c r="G49" s="151">
        <f t="shared" si="2"/>
        <v>7.166125073708258E-3</v>
      </c>
      <c r="H49" s="151">
        <f t="shared" si="2"/>
        <v>5.1684453273217142E-2</v>
      </c>
      <c r="I49" s="151">
        <f t="shared" si="2"/>
        <v>6.5354176393940414E-4</v>
      </c>
      <c r="J49" s="151">
        <f t="shared" si="2"/>
        <v>3.3178099872995519E-2</v>
      </c>
      <c r="K49" s="151">
        <f t="shared" si="2"/>
        <v>0.56060952516067564</v>
      </c>
      <c r="L49" s="151">
        <f t="shared" si="2"/>
        <v>1.2287312944078397E-2</v>
      </c>
      <c r="M49" s="151">
        <f t="shared" si="2"/>
        <v>4.3519234445808184E-4</v>
      </c>
      <c r="N49" s="151">
        <f t="shared" si="2"/>
        <v>1.3997418562270518E-4</v>
      </c>
      <c r="O49" s="151">
        <f t="shared" si="2"/>
        <v>8.4025753323079477E-4</v>
      </c>
      <c r="P49" s="151">
        <f t="shared" si="2"/>
        <v>0.1018409380126887</v>
      </c>
      <c r="Q49" s="151">
        <f t="shared" si="2"/>
        <v>3.031227470573767E-4</v>
      </c>
      <c r="R49" s="151">
        <f t="shared" si="2"/>
        <v>4.6438839390515024E-4</v>
      </c>
      <c r="S49" s="151">
        <f t="shared" si="2"/>
        <v>8.0250059749630669E-3</v>
      </c>
      <c r="T49" s="151">
        <f t="shared" si="2"/>
        <v>1.8825243708666152E-2</v>
      </c>
      <c r="U49" s="151">
        <f t="shared" si="2"/>
        <v>2.9720067416822288E-3</v>
      </c>
      <c r="V49" s="151">
        <f t="shared" si="2"/>
        <v>3.2811506258102695E-5</v>
      </c>
      <c r="W49" s="151">
        <f t="shared" si="2"/>
        <v>9.4589460093778173E-3</v>
      </c>
      <c r="X49" s="151">
        <f t="shared" si="2"/>
        <v>2.4768011091027619E-2</v>
      </c>
      <c r="Y49" s="151">
        <f t="shared" si="2"/>
        <v>7.5293734950701203E-6</v>
      </c>
      <c r="Z49" s="151">
        <f t="shared" si="2"/>
        <v>2.3193499256337338E-3</v>
      </c>
      <c r="AA49" s="151">
        <f t="shared" si="2"/>
        <v>7.468170655943544E-7</v>
      </c>
      <c r="AB49" s="151">
        <f t="shared" si="2"/>
        <v>1.7882546380034127E-3</v>
      </c>
      <c r="AC49" s="151">
        <f t="shared" si="2"/>
        <v>1.6140740464009411E-2</v>
      </c>
      <c r="AD49" s="151">
        <f t="shared" si="2"/>
        <v>5.7005100439236708E-6</v>
      </c>
      <c r="AE49" s="151">
        <f t="shared" si="2"/>
        <v>1.8510808369637664E-4</v>
      </c>
      <c r="AF49" s="151">
        <f t="shared" si="2"/>
        <v>1.1304349720104645E-6</v>
      </c>
      <c r="AG49" s="151">
        <f t="shared" si="2"/>
        <v>1.9451900373544714E-5</v>
      </c>
      <c r="AH49" s="151">
        <f t="shared" si="2"/>
        <v>1.6421677176581902E-4</v>
      </c>
      <c r="AI49" s="151">
        <f t="shared" si="2"/>
        <v>3.961164811281531E-8</v>
      </c>
      <c r="AJ49" s="253">
        <f t="shared" si="2"/>
        <v>1.9684601999840087E-5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2.4497629701374675E-10</v>
      </c>
      <c r="E50" s="179">
        <f t="shared" si="3"/>
        <v>1.7089661436501602E-6</v>
      </c>
      <c r="F50" s="179">
        <f t="shared" si="3"/>
        <v>4.8849035461254685E-4</v>
      </c>
      <c r="G50" s="179">
        <f t="shared" si="3"/>
        <v>4.6074405506369748E-5</v>
      </c>
      <c r="H50" s="179">
        <f t="shared" si="3"/>
        <v>1.7622280353958575E-2</v>
      </c>
      <c r="I50" s="179">
        <f t="shared" si="3"/>
        <v>1.4006429759168041E-3</v>
      </c>
      <c r="J50" s="179">
        <f t="shared" si="3"/>
        <v>6.9131164058508976E-4</v>
      </c>
      <c r="K50" s="179">
        <f t="shared" si="3"/>
        <v>1.3141209971525023E-3</v>
      </c>
      <c r="L50" s="179">
        <f t="shared" si="3"/>
        <v>6.9126257248387378E-4</v>
      </c>
      <c r="M50" s="179">
        <f t="shared" si="3"/>
        <v>3.8865955436169104E-12</v>
      </c>
      <c r="N50" s="179">
        <f t="shared" si="3"/>
        <v>1.0327039735371891E-8</v>
      </c>
      <c r="O50" s="179">
        <f t="shared" si="3"/>
        <v>1.8785656354304816E-7</v>
      </c>
      <c r="P50" s="179">
        <f t="shared" si="3"/>
        <v>8.8164723315397691E-9</v>
      </c>
      <c r="Q50" s="179">
        <f t="shared" si="3"/>
        <v>6.776921996162173E-6</v>
      </c>
      <c r="R50" s="179">
        <f t="shared" si="3"/>
        <v>2.6801713245825431E-7</v>
      </c>
      <c r="S50" s="179">
        <f t="shared" si="3"/>
        <v>1.0964264484879597E-5</v>
      </c>
      <c r="T50" s="179">
        <f t="shared" si="3"/>
        <v>2.8935251963094828E-6</v>
      </c>
      <c r="U50" s="179">
        <f t="shared" si="3"/>
        <v>1.0963461433479835E-5</v>
      </c>
      <c r="V50" s="179">
        <f t="shared" si="3"/>
        <v>2.7195755387708068E-14</v>
      </c>
      <c r="W50" s="179">
        <f t="shared" si="3"/>
        <v>1.5680059298286626E-10</v>
      </c>
      <c r="X50" s="179">
        <f t="shared" si="3"/>
        <v>1.3685946341974431E-11</v>
      </c>
      <c r="Y50" s="179">
        <f t="shared" si="3"/>
        <v>4.1604713944731509E-10</v>
      </c>
      <c r="Z50" s="179">
        <f t="shared" si="3"/>
        <v>7.6895553334077612E-8</v>
      </c>
      <c r="AA50" s="179">
        <f t="shared" si="3"/>
        <v>1.1297976313099213E-15</v>
      </c>
      <c r="AB50" s="179">
        <f t="shared" si="3"/>
        <v>4.5088370081351584E-11</v>
      </c>
      <c r="AC50" s="179">
        <f t="shared" si="3"/>
        <v>1.3565549036141871E-11</v>
      </c>
      <c r="AD50" s="179">
        <f t="shared" si="3"/>
        <v>4.7910161683286658E-10</v>
      </c>
      <c r="AE50" s="179">
        <f t="shared" si="3"/>
        <v>1.4001733766624973E-8</v>
      </c>
      <c r="AF50" s="179">
        <f t="shared" si="3"/>
        <v>5.7004712066976755E-16</v>
      </c>
      <c r="AG50" s="179">
        <f t="shared" si="3"/>
        <v>1.4012936959217671E-13</v>
      </c>
      <c r="AH50" s="179">
        <f t="shared" si="3"/>
        <v>3.9433324014797677E-14</v>
      </c>
      <c r="AI50" s="179">
        <f t="shared" si="3"/>
        <v>9.5119331478535504E-13</v>
      </c>
      <c r="AJ50" s="380">
        <f t="shared" si="3"/>
        <v>6.6176005811182041E-10</v>
      </c>
    </row>
    <row r="51" spans="1:36" ht="12.75" customHeight="1" x14ac:dyDescent="0.2">
      <c r="B51" s="141" t="s">
        <v>703</v>
      </c>
      <c r="C51" s="254"/>
      <c r="D51" s="385">
        <f>D50*8.314*TEMP.R</f>
        <v>5.8046888601110279E-7</v>
      </c>
      <c r="E51" s="385">
        <f>E50*Kaw.R*8.314*TEMP.R</f>
        <v>1.9906202823374696E-10</v>
      </c>
      <c r="F51" s="385">
        <f>F50*Kaw.R*8.314*TEMP.R</f>
        <v>5.6899828661381422E-8</v>
      </c>
      <c r="G51" s="385">
        <f>G50*Kaw.R*8.314*TEMP.R</f>
        <v>5.3667912871418461E-9</v>
      </c>
      <c r="H51" s="385">
        <f>H50*Kaw.R/Ksdw1.R*8.314*TEMP.R</f>
        <v>7.7724328307538949E-8</v>
      </c>
      <c r="I51" s="385">
        <f>I50*Kaw.R/Ksdw2.R*8.314*TEMP.R</f>
        <v>6.2196651530652381E-9</v>
      </c>
      <c r="J51" s="385">
        <f>J50*Kaw.R/Ks1w.R*8.314*TEMP.R</f>
        <v>2.6013327521749906E-9</v>
      </c>
      <c r="K51" s="385">
        <f>K50*Kaw.R/Ks2w.R*8.314*TEMP.R</f>
        <v>4.9486966132847856E-9</v>
      </c>
      <c r="L51" s="385">
        <f>L50*Kaw.R/Ks3w.R*8.314*TEMP.R</f>
        <v>2.6031459498432236E-9</v>
      </c>
      <c r="M51" s="385">
        <f>M50*8.314*TEMP.C</f>
        <v>9.209249274644833E-9</v>
      </c>
      <c r="N51" s="385">
        <f>N50*Kaw.C*8.314*TEMP.C</f>
        <v>1.2029035700981387E-12</v>
      </c>
      <c r="O51" s="385">
        <f>O50*Kaw.C*8.314*TEMP.C</f>
        <v>2.1881714096470728E-11</v>
      </c>
      <c r="P51" s="385">
        <f>P50*Kaw.C*8.314*TEMP.C</f>
        <v>1.0269512188430381E-12</v>
      </c>
      <c r="Q51" s="385">
        <f>Q50*Kaw.C/Ksdw1.C*8.314*TEMP.C</f>
        <v>2.9890099326785971E-11</v>
      </c>
      <c r="R51" s="385">
        <f>R50*Kaw.C/Ksdw2.C*8.314*TEMP.C</f>
        <v>1.1901511290441013E-12</v>
      </c>
      <c r="S51" s="385">
        <f>S50*Kaw.C/Ks1w.C*8.314*TEMP.C</f>
        <v>4.1257370241714837E-11</v>
      </c>
      <c r="T51" s="385">
        <f>T50*Kaw.C/Ks2w.C*8.314*TEMP.C</f>
        <v>1.0896392623250358E-11</v>
      </c>
      <c r="U51" s="385">
        <f>U50*Kaw.C/Ks3w.C*8.314*TEMP.C</f>
        <v>4.1286034226149582E-11</v>
      </c>
      <c r="V51" s="385">
        <f>V50*8.314*TEMP.M</f>
        <v>6.4440070433620395E-11</v>
      </c>
      <c r="W51" s="385">
        <f>W50*Kaw.M*8.314*TEMP.M</f>
        <v>1.8264284628106222E-14</v>
      </c>
      <c r="X51" s="385">
        <f>X50*Kaw.M*8.314*TEMP.M</f>
        <v>1.5941522582259874E-15</v>
      </c>
      <c r="Y51" s="385">
        <f>Y50*Kaw.M/Ksdw.M*8.314*TEMP.M</f>
        <v>1.8474900026247966E-15</v>
      </c>
      <c r="Z51" s="372">
        <f>Z50*Kaw.M/Kslw.M*8.314*TEMP.M</f>
        <v>2.8934985271658274E-13</v>
      </c>
      <c r="AA51" s="385">
        <f>AA50*8.314*TEMP.A</f>
        <v>2.4703951642649103E-12</v>
      </c>
      <c r="AB51" s="385">
        <f>AB50*Kaw.A*8.314*TEMP.A</f>
        <v>1.5351110555871298E-16</v>
      </c>
      <c r="AC51" s="385">
        <f>AC50*Kaw.A*8.314*TEMP.A</f>
        <v>4.6186243288274748E-17</v>
      </c>
      <c r="AD51" s="385">
        <f>AD50*Kaw.A/Ksdw.A*8.314*TEMP.A</f>
        <v>6.2185265179432892E-17</v>
      </c>
      <c r="AE51" s="372">
        <f>AE50*Kaw.A/Kslw.A*8.314*TEMP.A</f>
        <v>1.5400121685605852E-15</v>
      </c>
      <c r="AF51" s="385">
        <f>AF50*8.314*TEMP.T</f>
        <v>1.4123327848520372E-12</v>
      </c>
      <c r="AG51" s="385">
        <f>AG50*Kaw.T*8.314*TEMP.T</f>
        <v>1.0300768178195306E-16</v>
      </c>
      <c r="AH51" s="385">
        <f>AH50*Kaw.T*8.314*TEMP.T</f>
        <v>2.8987037503576277E-17</v>
      </c>
      <c r="AI51" s="385">
        <f>AI50*Kaw.T/Ksdw.T*8.314*TEMP.T</f>
        <v>2.6655929142538873E-17</v>
      </c>
      <c r="AJ51" s="386">
        <f>AJ50*Kaw.T/Kslw.T*8.314*TEMP.T</f>
        <v>1.5714771434655388E-14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-0.90691490487599258</v>
      </c>
      <c r="E55" s="370">
        <f t="shared" ref="E55:AJ55" si="4">E9*E$45</f>
        <v>1.8490648394327353E-7</v>
      </c>
      <c r="F55" s="370">
        <f t="shared" si="4"/>
        <v>5.8052971606732998E-4</v>
      </c>
      <c r="G55" s="370">
        <f t="shared" si="4"/>
        <v>8.4629774750676159E-6</v>
      </c>
      <c r="H55" s="389">
        <f t="shared" si="4"/>
        <v>0</v>
      </c>
      <c r="I55" s="389">
        <f t="shared" si="4"/>
        <v>0</v>
      </c>
      <c r="J55" s="370">
        <f t="shared" si="4"/>
        <v>9.0170237204040209E-5</v>
      </c>
      <c r="K55" s="370">
        <f t="shared" si="4"/>
        <v>6.9153604224198885E-4</v>
      </c>
      <c r="L55" s="370">
        <f t="shared" si="4"/>
        <v>3.3307965605750602E-5</v>
      </c>
      <c r="M55" s="370">
        <f t="shared" si="4"/>
        <v>8.4050822197351462E-3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1.3350945922018956E-3</v>
      </c>
      <c r="E56" s="378">
        <f>SUM(D56,F56:AJ56)-SUM(E55,E57:E87)</f>
        <v>8.4819815437103437E-3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8.1420126195443445E-4</v>
      </c>
      <c r="K56" s="376">
        <f t="shared" si="6"/>
        <v>6.2652090911060167E-3</v>
      </c>
      <c r="L56" s="376">
        <f t="shared" si="6"/>
        <v>3.0176499296094745E-4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1.4686040514220853E-2</v>
      </c>
      <c r="E57" s="179">
        <f t="shared" ref="E57:E87" si="7">E11*E$45</f>
        <v>2.3410348802900853E-4</v>
      </c>
      <c r="F57" s="378">
        <f>SUM(D57:E57,G57:AJ57)-SUM(F55:F56,F58:F87)</f>
        <v>-0.61532955258503141</v>
      </c>
      <c r="G57" s="376">
        <f t="shared" ref="G57:AJ57" si="8">G11*G$45</f>
        <v>0</v>
      </c>
      <c r="H57" s="179">
        <f t="shared" si="8"/>
        <v>0.20177691243280094</v>
      </c>
      <c r="I57" s="376">
        <f t="shared" si="8"/>
        <v>0</v>
      </c>
      <c r="J57" s="179">
        <f t="shared" si="8"/>
        <v>8.9562138814987795E-3</v>
      </c>
      <c r="K57" s="179">
        <f t="shared" si="8"/>
        <v>6.8917300002166185E-2</v>
      </c>
      <c r="L57" s="179">
        <f t="shared" si="8"/>
        <v>3.3194149225704225E-3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2.3364301390416888E-3</v>
      </c>
      <c r="E58" s="179">
        <f t="shared" si="7"/>
        <v>0</v>
      </c>
      <c r="F58" s="179">
        <f t="shared" ref="F58:F87" si="9">F12*F$45</f>
        <v>0.66916068705182252</v>
      </c>
      <c r="G58" s="378">
        <f>SUM(D58:F58,H58:AJ58)-SUM(G55:G57,G59:G87)</f>
        <v>4.0000990307474948E-2</v>
      </c>
      <c r="H58" s="376">
        <f t="shared" ref="H58:N58" si="10">H12*H$45</f>
        <v>0</v>
      </c>
      <c r="I58" s="179">
        <f t="shared" si="10"/>
        <v>1.8350334119207627E-3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1.08695554872999E-4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0.24347832105842768</v>
      </c>
      <c r="G59" s="376">
        <f t="shared" ref="G59:G87" si="12">G13*G$45</f>
        <v>0</v>
      </c>
      <c r="H59" s="378">
        <f>SUM(D59:G59,I59:AJ59)-SUM(H55:H58,H60:H87)</f>
        <v>4.170140862562674E-2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2.2790977859228462E-3</v>
      </c>
      <c r="H60" s="376">
        <f t="shared" ref="H60:H87" si="15">H14*H$45</f>
        <v>0</v>
      </c>
      <c r="I60" s="378">
        <f>SUM(D60:H60,J60:AJ60)-SUM(I55:I59,I61:I87)</f>
        <v>4.4406437400208352E-4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0.10259589210564017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9.2735306724982924E-2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0.22799087134586701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0.15211682621035283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3.7998478557644502E-2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3.4343990676507383E-2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0.52978137168618966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0.25240177131662894</v>
      </c>
      <c r="N64" s="179">
        <f>N18*N$45</f>
        <v>1.70405163499884E-8</v>
      </c>
      <c r="O64" s="179">
        <f>O18*O$45</f>
        <v>3.4047329736185186E-6</v>
      </c>
      <c r="P64" s="179">
        <f t="shared" ref="P64:AJ64" si="25">P18*P$45</f>
        <v>6.0135537377325299E-6</v>
      </c>
      <c r="Q64" s="376">
        <f t="shared" si="25"/>
        <v>0</v>
      </c>
      <c r="R64" s="376">
        <f t="shared" si="25"/>
        <v>0</v>
      </c>
      <c r="S64" s="179">
        <f t="shared" si="25"/>
        <v>2.1810070350509414E-5</v>
      </c>
      <c r="T64" s="179">
        <f t="shared" si="25"/>
        <v>2.328174181210862E-5</v>
      </c>
      <c r="U64" s="179">
        <f t="shared" si="25"/>
        <v>8.0772121940477408E-6</v>
      </c>
      <c r="V64" s="179">
        <f t="shared" si="25"/>
        <v>2.7053856468484534E-4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3.2295809902341878E-4</v>
      </c>
      <c r="N65" s="378">
        <f>SUM(D65:M65,O65:AJ65)-SUM(N55:N64,N66:N87)</f>
        <v>7.816780790674588E-4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1.9693623254552224E-4</v>
      </c>
      <c r="T65" s="376">
        <f t="shared" si="27"/>
        <v>2.1038545142810001E-4</v>
      </c>
      <c r="U65" s="376">
        <f t="shared" si="27"/>
        <v>7.298972505749049E-5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3.552539089257606E-3</v>
      </c>
      <c r="N66" s="179">
        <f t="shared" ref="N66:N87" si="28">N20*N$45</f>
        <v>2.1574388470722713E-5</v>
      </c>
      <c r="O66" s="378">
        <f>SUM(D66:N66,P66:AJ66)-SUM(O55:O65,O67:O87)</f>
        <v>4.685430433962595E-3</v>
      </c>
      <c r="P66" s="376">
        <f t="shared" ref="P66:AJ66" si="29">P20*P$45</f>
        <v>0</v>
      </c>
      <c r="Q66" s="179">
        <f t="shared" si="29"/>
        <v>1.1838079354712459E-3</v>
      </c>
      <c r="R66" s="376">
        <f t="shared" si="29"/>
        <v>0</v>
      </c>
      <c r="S66" s="179">
        <f t="shared" si="29"/>
        <v>2.1662985580007442E-3</v>
      </c>
      <c r="T66" s="179">
        <f t="shared" si="29"/>
        <v>2.3142399657091E-3</v>
      </c>
      <c r="U66" s="179">
        <f t="shared" si="29"/>
        <v>8.0288697563239524E-4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0.63115229508678528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0.13761685384235117</v>
      </c>
      <c r="N67" s="179">
        <f t="shared" si="28"/>
        <v>0</v>
      </c>
      <c r="O67" s="179">
        <f t="shared" ref="O67:O87" si="30">O21*O$45</f>
        <v>3.924542349508813E-3</v>
      </c>
      <c r="P67" s="378">
        <f>SUM(D67:O67,Q67:AJ67)-SUM(P55:P66,P68:P87)</f>
        <v>0.56847157040222351</v>
      </c>
      <c r="Q67" s="376">
        <f t="shared" ref="Q67:AJ67" si="31">Q21*Q$45</f>
        <v>0</v>
      </c>
      <c r="R67" s="179">
        <f t="shared" si="31"/>
        <v>1.3312218408208256E-3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3.6905517682931915E-3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1.4279693960967878E-3</v>
      </c>
      <c r="P68" s="376">
        <f t="shared" ref="P68:P87" si="32">P22*P$45</f>
        <v>0</v>
      </c>
      <c r="Q68" s="378">
        <f>SUM(D68:P68,R68:AJ68)-SUM(Q55:Q67,Q69:Q87)</f>
        <v>2.4416146062554195E-4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1.6194627776773996E-3</v>
      </c>
      <c r="Q69" s="376">
        <f t="shared" ref="Q69:Q87" si="34">Q23*Q$45</f>
        <v>0</v>
      </c>
      <c r="R69" s="378">
        <f>SUM(D69:Q69,S69:AJ69)-SUM(R55:R68,R70:R87)</f>
        <v>2.8824093685657403E-4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2.4815545504598326E-2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2.2430500643701549E-2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5.514565667688516E-2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5.2597749517935853E-2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9.1909427794808589E-3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8.3069888665969257E-3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3.8663165074498365E-2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1.9029935624038707E-2</v>
      </c>
      <c r="W73" s="179">
        <f t="shared" ref="W73:AJ73" si="43">W27*W$45</f>
        <v>1.1170729814491115E-6</v>
      </c>
      <c r="X73" s="376">
        <f t="shared" si="43"/>
        <v>0</v>
      </c>
      <c r="Y73" s="376">
        <f t="shared" si="43"/>
        <v>0</v>
      </c>
      <c r="Z73" s="179">
        <f t="shared" si="43"/>
        <v>6.3034451567188171E-6</v>
      </c>
      <c r="AA73" s="179">
        <f t="shared" si="43"/>
        <v>3.3243762850762174E-5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2.905232537207284E-5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0.20750972259924749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1.0074085934934356E-2</v>
      </c>
      <c r="W74" s="378">
        <f>SUM(D74:V74,X74:AJ74)-SUM(W55:W73,W75:W87)</f>
        <v>5.2799414432248282E-2</v>
      </c>
      <c r="X74" s="376">
        <f t="shared" ref="X74:AJ74" si="45">X28*X$45</f>
        <v>1.3223293962698102E-2</v>
      </c>
      <c r="Y74" s="376">
        <f t="shared" si="45"/>
        <v>0</v>
      </c>
      <c r="Z74" s="179">
        <f t="shared" si="45"/>
        <v>6.8301113454731868E-4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2.1019405438826507E-5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0.15149996081591327</v>
      </c>
      <c r="X75" s="378">
        <f>SUM(D75:W75,Y75:AJ75)-SUM(X55:X74,X76:X87)</f>
        <v>0.13825393241077477</v>
      </c>
      <c r="Y75" s="376">
        <f t="shared" ref="Y75:AJ75" si="47">Y29*Y$45</f>
        <v>2.1582355971235542E-5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2.0348323554212808E-3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2.6257202536778594E-5</v>
      </c>
      <c r="Y76" s="378">
        <f>SUM(D76:X76,Z76:AJ76)-SUM(Y55:Y75,Y77:Y87)</f>
        <v>4.6748465655430522E-6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7.1720736159222049E-3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6.4827590362181676E-3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8.0022228547963631E-4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3.5788462774495659E-4</v>
      </c>
      <c r="AB78" s="179">
        <f t="shared" ref="AB78:AJ78" si="53">AB32*AB$45</f>
        <v>6.6895071063483017E-9</v>
      </c>
      <c r="AC78" s="376">
        <f t="shared" si="53"/>
        <v>0</v>
      </c>
      <c r="AD78" s="376">
        <f t="shared" si="53"/>
        <v>0</v>
      </c>
      <c r="AE78" s="179">
        <f t="shared" si="53"/>
        <v>1.5940010120706849E-8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2.3520088947429942E-2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2.7679251348035734E-4</v>
      </c>
      <c r="AB79" s="378">
        <f>SUM(D79:AA79,AC79:AJ79)-SUM(AB55:AB78,AB80:AB87)</f>
        <v>2.1724496967959889E-3</v>
      </c>
      <c r="AC79" s="376">
        <f t="shared" ref="AC79:AJ79" si="55">AC33*AC$45</f>
        <v>9.3143252094115524E-3</v>
      </c>
      <c r="AD79" s="376">
        <f t="shared" si="55"/>
        <v>0</v>
      </c>
      <c r="AE79" s="179">
        <f t="shared" si="55"/>
        <v>1.9653314767842572E-5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3.0958403598786599E-2</v>
      </c>
      <c r="AC80" s="378">
        <f>SUM(D80:AB80,AD80:AJ80)-SUM(AC55:AC79,AC81:AC87)</f>
        <v>1.9608475203648931E-2</v>
      </c>
      <c r="AD80" s="376">
        <f t="shared" ref="AD80:AJ80" si="57">AD34*AD$45</f>
        <v>1.6340381810643783E-5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1.7111212115477495E-5</v>
      </c>
      <c r="AD81" s="378">
        <f>SUM(D81:AC81,AE81:AJ81)-SUM(AD55:AD80,AD82:AD87)</f>
        <v>7.7083030483371178E-7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1.3232401092078729E-4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1.1265475614282401E-4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1.3860256557996166E-3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7.2892063322365242E-4</v>
      </c>
      <c r="AG83" s="179">
        <f>AG37*AG$45</f>
        <v>1.3862094779011979E-8</v>
      </c>
      <c r="AH83" s="376">
        <f>AH37*AH$45</f>
        <v>0</v>
      </c>
      <c r="AI83" s="376">
        <f>AI37*AI$45</f>
        <v>0</v>
      </c>
      <c r="AJ83" s="380">
        <f>AJ37*AJ$45</f>
        <v>3.227090841874427E-7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4.8187579323657353E-4</v>
      </c>
      <c r="AG84" s="378">
        <f>SUM(D84:AF84,AH84:AJ84)-SUM(AG55:AG83,AG85:AG87)</f>
        <v>2.6735443355539181E-4</v>
      </c>
      <c r="AH84" s="376">
        <f>AH38*AH$45</f>
        <v>7.9976955006274617E-5</v>
      </c>
      <c r="AI84" s="179">
        <f>AI38*AI$45</f>
        <v>0</v>
      </c>
      <c r="AJ84" s="380">
        <f>AJ38*AJ$45</f>
        <v>1.0739253825837835E-5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2.0528919512961645E-3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2.8420430097968863E-4</v>
      </c>
      <c r="AH85" s="378">
        <f>SUM(D85:AG85,AI85:AJ85)-SUM(AH55:AH84,AH86:AH87)</f>
        <v>2.2570587527507963E-3</v>
      </c>
      <c r="AI85" s="376">
        <f>AI39*AI$45</f>
        <v>1.1354588437261182E-7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1.7409040315526423E-7</v>
      </c>
      <c r="AI86" s="378">
        <f>SUM(D86:AH86,AJ86)-SUM(AI55:AI85,AI87)</f>
        <v>6.0544518782652411E-8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1.4651347514628427E-4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1.35451512236259E-4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3.5155700660610041</v>
      </c>
      <c r="D92" s="179">
        <f>SUM($D$55:$AJ$55)</f>
        <v>-0.89710563081117933</v>
      </c>
      <c r="E92" s="179">
        <f>SUM($D$56:$AJ$56)</f>
        <v>1.719825148193364E-2</v>
      </c>
      <c r="F92" s="179">
        <f>SUM($D$57:$AJ$57)</f>
        <v>-0.31743956734374529</v>
      </c>
      <c r="G92" s="179">
        <f>SUM($D$58:$AJ$58)</f>
        <v>0.71344183646513304</v>
      </c>
      <c r="H92" s="179">
        <f>SUM($D$59:$AJ$59)</f>
        <v>0.28517972968405442</v>
      </c>
      <c r="I92" s="179">
        <f>SUM($D$60:$AJ$60)</f>
        <v>2.7231621599249295E-3</v>
      </c>
      <c r="J92" s="179">
        <f>SUM($D$61:$AJ$61)</f>
        <v>0.19533119883062311</v>
      </c>
      <c r="K92" s="179">
        <f>SUM($D$62:$AJ$62)</f>
        <v>0.38010769755621987</v>
      </c>
      <c r="L92" s="179">
        <f>SUM($D$63:$AJ$63)</f>
        <v>7.2342469234151885E-2</v>
      </c>
      <c r="M92" s="179">
        <f>SUM($D$64:$AJ$64)</f>
        <v>0.78251628591908784</v>
      </c>
      <c r="N92" s="179">
        <f>SUM($D$65:$AJ$65)</f>
        <v>1.5849475871219903E-3</v>
      </c>
      <c r="O92" s="179">
        <f>SUM($D$66:$AJ$66)</f>
        <v>1.4726777346504408E-2</v>
      </c>
      <c r="P92" s="179">
        <f>SUM($D$67:$AJ$67)</f>
        <v>1.3461870352899827</v>
      </c>
      <c r="Q92" s="179">
        <f>SUM($D$68:$AJ$68)</f>
        <v>1.6721308567223298E-3</v>
      </c>
      <c r="R92" s="179">
        <f>SUM($D$69:$AJ$69)</f>
        <v>1.9077037145339736E-3</v>
      </c>
      <c r="S92" s="179">
        <f>SUM($D$70:$AJ$70)</f>
        <v>4.7246046148299872E-2</v>
      </c>
      <c r="T92" s="179">
        <f>SUM($D$71:$AJ$71)</f>
        <v>0.10774340619482101</v>
      </c>
      <c r="U92" s="179">
        <f>SUM($D$72:$AJ$72)</f>
        <v>1.7497931646077783E-2</v>
      </c>
      <c r="V92" s="179">
        <f>SUM($D$73:$AJ$73)</f>
        <v>5.7762817304898073E-2</v>
      </c>
      <c r="W92" s="179">
        <f>SUM($D$74:$AJ$74)</f>
        <v>0.28431054746911438</v>
      </c>
      <c r="X92" s="179">
        <f>SUM($D$75:$AJ$75)</f>
        <v>0.29181030793808055</v>
      </c>
      <c r="Y92" s="179">
        <f>SUM($D$76:$AJ$76)</f>
        <v>3.093204910232165E-5</v>
      </c>
      <c r="Z92" s="179">
        <f>SUM($D$77:$AJ$77)</f>
        <v>1.3654832652140372E-2</v>
      </c>
      <c r="AA92" s="179">
        <f>SUM($D$78:$AJ$78)</f>
        <v>1.1581295427418199E-3</v>
      </c>
      <c r="AB92" s="179">
        <f>SUM($D$79:$AJ$79)</f>
        <v>3.5303309681885685E-2</v>
      </c>
      <c r="AC92" s="179">
        <f>SUM($D$80:$AJ$80)</f>
        <v>5.0583219184246173E-2</v>
      </c>
      <c r="AD92" s="179">
        <f>SUM($D$81:$AJ$81)</f>
        <v>1.7882042420311207E-5</v>
      </c>
      <c r="AE92" s="179">
        <f>SUM($D$82:$AJ$82)</f>
        <v>2.4497876706361128E-4</v>
      </c>
      <c r="AF92" s="179">
        <f>SUM($D$83:$AJ$83)</f>
        <v>2.1152828602022354E-3</v>
      </c>
      <c r="AG92" s="179">
        <f>SUM($D$84:$AJ$84)</f>
        <v>8.3994643562407777E-4</v>
      </c>
      <c r="AH92" s="179">
        <f>SUM($D$85:$AJ$85)</f>
        <v>4.5942685509110228E-3</v>
      </c>
      <c r="AI92" s="179">
        <f>SUM($D$86:$AJ$86)</f>
        <v>2.3463492193791666E-7</v>
      </c>
      <c r="AJ92" s="380">
        <f>SUM($D$87:$AJ$87)</f>
        <v>2.8196498738254324E-4</v>
      </c>
    </row>
    <row r="93" spans="2:36" ht="12.75" customHeight="1" x14ac:dyDescent="0.2">
      <c r="B93" s="146" t="s">
        <v>1212</v>
      </c>
      <c r="C93" s="150">
        <f>SUM(D93:AJ93)</f>
        <v>3.5155700660610045</v>
      </c>
      <c r="D93" s="179">
        <f t="shared" ref="D93:AJ93" si="61">SUM(D55:D87)</f>
        <v>9.8092740648132448E-3</v>
      </c>
      <c r="E93" s="179">
        <f t="shared" si="61"/>
        <v>8.7162699382232964E-3</v>
      </c>
      <c r="F93" s="179">
        <f t="shared" si="61"/>
        <v>0.29788998524128618</v>
      </c>
      <c r="G93" s="179">
        <f t="shared" si="61"/>
        <v>0.67344084615765809</v>
      </c>
      <c r="H93" s="179">
        <f t="shared" si="61"/>
        <v>0.24347832105842768</v>
      </c>
      <c r="I93" s="179">
        <f t="shared" si="61"/>
        <v>2.2790977859228462E-3</v>
      </c>
      <c r="J93" s="179">
        <f t="shared" si="61"/>
        <v>0.10259589210564019</v>
      </c>
      <c r="K93" s="179">
        <f t="shared" si="61"/>
        <v>0.22799087134586701</v>
      </c>
      <c r="L93" s="179">
        <f t="shared" si="61"/>
        <v>3.7998478557644502E-2</v>
      </c>
      <c r="M93" s="179">
        <f t="shared" si="61"/>
        <v>0.53011451460245895</v>
      </c>
      <c r="N93" s="179">
        <f t="shared" si="61"/>
        <v>8.0326950805453151E-4</v>
      </c>
      <c r="O93" s="179">
        <f t="shared" si="61"/>
        <v>1.0041346912541816E-2</v>
      </c>
      <c r="P93" s="179">
        <f t="shared" si="61"/>
        <v>0.77771546488775922</v>
      </c>
      <c r="Q93" s="179">
        <f t="shared" si="61"/>
        <v>1.4279693960967878E-3</v>
      </c>
      <c r="R93" s="179">
        <f t="shared" si="61"/>
        <v>1.6194627776773996E-3</v>
      </c>
      <c r="S93" s="179">
        <f t="shared" si="61"/>
        <v>2.4815545504598326E-2</v>
      </c>
      <c r="T93" s="179">
        <f t="shared" si="61"/>
        <v>5.514565667688516E-2</v>
      </c>
      <c r="U93" s="179">
        <f t="shared" si="61"/>
        <v>9.1909427794808589E-3</v>
      </c>
      <c r="V93" s="179">
        <f t="shared" si="61"/>
        <v>3.8732881680859366E-2</v>
      </c>
      <c r="W93" s="179">
        <f t="shared" si="61"/>
        <v>0.23151113303686613</v>
      </c>
      <c r="X93" s="179">
        <f t="shared" si="61"/>
        <v>0.15355637552730581</v>
      </c>
      <c r="Y93" s="179">
        <f t="shared" si="61"/>
        <v>2.6257202536778594E-5</v>
      </c>
      <c r="Z93" s="179">
        <f t="shared" si="61"/>
        <v>7.1720736159222049E-3</v>
      </c>
      <c r="AA93" s="179">
        <f t="shared" si="61"/>
        <v>8.0024491499686352E-4</v>
      </c>
      <c r="AB93" s="179">
        <f t="shared" si="61"/>
        <v>3.3130859985089696E-2</v>
      </c>
      <c r="AC93" s="179">
        <f t="shared" si="61"/>
        <v>3.0974743980597241E-2</v>
      </c>
      <c r="AD93" s="179">
        <f t="shared" si="61"/>
        <v>1.7111212115477495E-5</v>
      </c>
      <c r="AE93" s="179">
        <f t="shared" si="61"/>
        <v>1.3232401092078729E-4</v>
      </c>
      <c r="AF93" s="179">
        <f t="shared" si="61"/>
        <v>1.386362226978583E-3</v>
      </c>
      <c r="AG93" s="179">
        <f t="shared" si="61"/>
        <v>5.7259200206868596E-4</v>
      </c>
      <c r="AH93" s="179">
        <f t="shared" si="61"/>
        <v>2.3372097981602261E-3</v>
      </c>
      <c r="AI93" s="179">
        <f t="shared" si="61"/>
        <v>1.7409040315526423E-7</v>
      </c>
      <c r="AJ93" s="380">
        <f t="shared" si="61"/>
        <v>1.4651347514628427E-4</v>
      </c>
    </row>
    <row r="94" spans="2:36" ht="12.75" customHeight="1" x14ac:dyDescent="0.2">
      <c r="B94" s="152" t="s">
        <v>1211</v>
      </c>
      <c r="C94" s="150">
        <f>SUM(D94:AJ94)</f>
        <v>4.2426802226069809</v>
      </c>
      <c r="D94" s="179">
        <f>k.aR*D45</f>
        <v>0.507311835993002</v>
      </c>
      <c r="E94" s="179">
        <f>k.w0R*E45</f>
        <v>8.4819815437103419E-3</v>
      </c>
      <c r="F94" s="179">
        <f>k.w1R*F45</f>
        <v>0.79889718828396294</v>
      </c>
      <c r="G94" s="179">
        <f>k.w2R*G45</f>
        <v>4.0000990307474622E-2</v>
      </c>
      <c r="H94" s="179">
        <f>k.sd1R*H45</f>
        <v>4.1701408625626692E-2</v>
      </c>
      <c r="I94" s="179">
        <f>k.sd2R*I45</f>
        <v>4.4406437400208438E-4</v>
      </c>
      <c r="J94" s="179">
        <f>k.s1R*J45</f>
        <v>9.2735306724982869E-2</v>
      </c>
      <c r="K94" s="179">
        <f>k.s2R*K45</f>
        <v>1.5663435670793471</v>
      </c>
      <c r="L94" s="179">
        <f>k.s3R*L45</f>
        <v>3.4343990676507369E-2</v>
      </c>
      <c r="M94" s="179">
        <f>k.aC*M45</f>
        <v>0.252401771316629</v>
      </c>
      <c r="N94" s="179">
        <f>k.w0C*N45</f>
        <v>7.816780790674587E-4</v>
      </c>
      <c r="O94" s="179">
        <f>k.w1C*O45</f>
        <v>4.6854304339625933E-3</v>
      </c>
      <c r="P94" s="179">
        <f>k.w2C*P45</f>
        <v>0.56847157040222374</v>
      </c>
      <c r="Q94" s="179">
        <f>k.sd1C*Q45</f>
        <v>2.4416146062554168E-4</v>
      </c>
      <c r="R94" s="179">
        <f>k.sd2C*R45</f>
        <v>2.8824093685657397E-4</v>
      </c>
      <c r="S94" s="179">
        <f>k.s1C*S45</f>
        <v>2.2430500643701549E-2</v>
      </c>
      <c r="T94" s="179">
        <f>k.s2C*T45</f>
        <v>5.259774951793586E-2</v>
      </c>
      <c r="U94" s="179">
        <f>k.s3C*U45</f>
        <v>8.3069888665969222E-3</v>
      </c>
      <c r="V94" s="179">
        <f>k.aM*V45</f>
        <v>1.9029935624038711E-2</v>
      </c>
      <c r="W94" s="179">
        <f>k.w2M*W45</f>
        <v>5.2799414432248247E-2</v>
      </c>
      <c r="X94" s="179">
        <f>k.w3M*X45</f>
        <v>0.13825393241077474</v>
      </c>
      <c r="Y94" s="179">
        <f>k.sdM*Y45</f>
        <v>4.6748465655430489E-6</v>
      </c>
      <c r="Z94" s="179">
        <f>k.sM*Z45</f>
        <v>6.4827590362181668E-3</v>
      </c>
      <c r="AA94" s="179">
        <f>k.aA*AA45</f>
        <v>3.5788462774495659E-4</v>
      </c>
      <c r="AB94" s="179">
        <f>k.w2A*AB45</f>
        <v>2.1724496967959962E-3</v>
      </c>
      <c r="AC94" s="179">
        <f>k.w3A*AC45</f>
        <v>1.9608475203648931E-2</v>
      </c>
      <c r="AD94" s="179">
        <f>k.sdA*AD45</f>
        <v>7.708303048337157E-7</v>
      </c>
      <c r="AE94" s="179">
        <f>k.sA*AE45</f>
        <v>1.1265475614282402E-4</v>
      </c>
      <c r="AF94" s="179">
        <f>k.aT*AF45</f>
        <v>7.2892063322365275E-4</v>
      </c>
      <c r="AG94" s="179">
        <f>k.w2T*AG45</f>
        <v>2.6735443355539165E-4</v>
      </c>
      <c r="AH94" s="179">
        <f>k.w3T*AH45</f>
        <v>2.2570587527507959E-3</v>
      </c>
      <c r="AI94" s="179">
        <f>k.sdT*AI45</f>
        <v>6.0544518782652424E-8</v>
      </c>
      <c r="AJ94" s="374">
        <f>k.sT*AJ45</f>
        <v>1.3545151223625903E-4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17176212865.860987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962162141.5191083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2138140202.4015963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356356700.40026605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39650389102.751045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63089929.127749585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140199846.50496897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23366641.084161498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39094096364.146179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8.6700000000000021E-10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8.6700000000000021E-10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2.8900000000000009E-10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2.8900000000000009E-10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2.8900000000000009E-10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2.8900000000000009E-10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2.8900000000000009E-10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7.4533832759998107E-6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9.0206076770066419E-6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9.0206076770066419E-6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9.0206076770066419E-6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1.00290385952411E-5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4.3472863365271319E-8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4.3472863365271319E-8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4.3456145152004627E-8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4.3456145152004627E-8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4.3472886943431158E-8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4.3472886943431158E-8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9.4656140043718675E-9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9.6538144450854565E-9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4.3472863365271319E-8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1.070241687381601E-7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7.4530169501179827E-6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9.0202413511248139E-6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9.0202413511248139E-6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9.0202413511248139E-6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1.0028672269359272E-5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7.807731481453934E-10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7.8013895230847304E-10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2.8900000000000009E-10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2.61571202752405E-10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2.8893658041603256E-10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2.8891048197056038E-10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2.8893658041603256E-10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4239.3745739881051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277.98001238624295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53315.135568928992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14.357460008167438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366115.23020826926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556862.55731817835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1281403.3057289424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1.9891959356313285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0.13043355834096021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8.0254184558987145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0.52623467986619266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0.73484084035294783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4.8184245656562923E-2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1.1384311676245422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81.974117922438239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487.65270770227301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2024-07-04T07:40:59Z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