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8_{ECB3CC7C-7AE4-4484-9DE3-2717E2BD5CA3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8" i="8" l="1"/>
  <c r="I380" i="8"/>
  <c r="I244" i="8"/>
  <c r="I163" i="7"/>
  <c r="K25" i="6"/>
  <c r="I157" i="6"/>
  <c r="K157" i="6"/>
  <c r="K163" i="7" l="1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202" i="7"/>
  <c r="K141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L130" i="6" s="1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L6" i="2" s="1"/>
  <c r="K6" i="2"/>
  <c r="E6" i="2"/>
  <c r="BQ12" i="23" s="1"/>
  <c r="D6" i="2"/>
  <c r="BP12" i="23"/>
  <c r="Z6" i="2"/>
  <c r="X6" i="2"/>
  <c r="C6" i="2"/>
  <c r="U6" i="2"/>
  <c r="F6" i="2"/>
  <c r="T6" i="2"/>
  <c r="O6" i="2"/>
  <c r="S6" i="2"/>
  <c r="B6" i="2"/>
  <c r="P6" i="2"/>
  <c r="M6" i="2"/>
  <c r="H6" i="2"/>
  <c r="C5" i="23"/>
  <c r="BO12" i="23"/>
  <c r="F5" i="20"/>
  <c r="K6" i="3"/>
  <c r="I17" i="18"/>
  <c r="AB5" i="23"/>
  <c r="BO5" i="23"/>
  <c r="AY132" i="23"/>
  <c r="P17" i="3"/>
  <c r="AY3" i="23"/>
  <c r="AY67" i="23"/>
  <c r="BN12" i="23"/>
  <c r="V6" i="2" l="1"/>
  <c r="J6" i="2"/>
  <c r="W6" i="2"/>
  <c r="Q6" i="2"/>
  <c r="G6" i="2"/>
  <c r="I6" i="2"/>
  <c r="R6" i="2"/>
  <c r="Y6" i="2"/>
  <c r="N6" i="2"/>
  <c r="J14" i="3"/>
  <c r="L14" i="3" s="1"/>
  <c r="J37" i="3"/>
  <c r="J17" i="3"/>
  <c r="J15" i="3"/>
  <c r="L15" i="3" s="1"/>
  <c r="J39" i="3"/>
  <c r="L39" i="3" s="1"/>
  <c r="J20" i="3"/>
  <c r="L20" i="3" s="1"/>
  <c r="J66" i="3"/>
  <c r="L66" i="3" s="1"/>
  <c r="J70" i="3"/>
  <c r="L70" i="3" s="1"/>
  <c r="J35" i="3"/>
  <c r="L35" i="3" s="1"/>
  <c r="J75" i="3"/>
  <c r="L75" i="3" s="1"/>
  <c r="J74" i="3"/>
  <c r="L74" i="3" s="1"/>
  <c r="J22" i="3"/>
  <c r="L22" i="3" s="1"/>
  <c r="J44" i="3" s="1"/>
  <c r="J19" i="3"/>
  <c r="K209" i="6" l="1"/>
  <c r="L209" i="6" s="1"/>
  <c r="K217" i="7"/>
  <c r="L217" i="7" s="1"/>
  <c r="K210" i="6"/>
  <c r="L210" i="6" s="1"/>
  <c r="K211" i="6"/>
  <c r="L211" i="6" s="1"/>
  <c r="K216" i="7"/>
  <c r="L216" i="7" s="1"/>
  <c r="K274" i="8"/>
  <c r="L274" i="8" s="1"/>
  <c r="K410" i="8"/>
  <c r="L410" i="8" s="1"/>
  <c r="K215" i="7"/>
  <c r="L215" i="7" s="1"/>
  <c r="K138" i="8"/>
  <c r="L138" i="8" s="1"/>
  <c r="B560" i="22"/>
  <c r="B556" i="22"/>
  <c r="B570" i="22"/>
  <c r="B558" i="22"/>
  <c r="B557" i="22"/>
  <c r="B555" i="22"/>
  <c r="B569" i="22"/>
  <c r="B561" i="22"/>
  <c r="B559" i="22"/>
  <c r="J43" i="3"/>
  <c r="K21" i="3"/>
  <c r="L21" i="3" s="1"/>
  <c r="I43" i="3"/>
  <c r="I52" i="3"/>
  <c r="I48" i="3"/>
  <c r="J59" i="3"/>
  <c r="I44" i="3"/>
  <c r="J54" i="3"/>
  <c r="J64" i="3"/>
  <c r="J63" i="3"/>
  <c r="J62" i="3"/>
  <c r="J42" i="3"/>
  <c r="J49" i="3"/>
  <c r="J46" i="3"/>
  <c r="I42" i="3"/>
  <c r="K37" i="3"/>
  <c r="L37" i="3" s="1"/>
  <c r="J58" i="3"/>
  <c r="J52" i="3"/>
  <c r="J61" i="3"/>
  <c r="I61" i="3"/>
  <c r="I51" i="3"/>
  <c r="I49" i="3"/>
  <c r="I57" i="3"/>
  <c r="J56" i="3"/>
  <c r="I64" i="3"/>
  <c r="J53" i="3"/>
  <c r="I53" i="3"/>
  <c r="J50" i="3"/>
  <c r="J47" i="3"/>
  <c r="I54" i="3"/>
  <c r="J60" i="3"/>
  <c r="I56" i="3"/>
  <c r="I47" i="3"/>
  <c r="I55" i="3"/>
  <c r="I62" i="3"/>
  <c r="I63" i="3"/>
  <c r="I46" i="3"/>
  <c r="J57" i="3"/>
  <c r="J48" i="3"/>
  <c r="I59" i="3"/>
  <c r="J51" i="3"/>
  <c r="I60" i="3"/>
  <c r="J55" i="3"/>
  <c r="I58" i="3"/>
  <c r="I50" i="3"/>
  <c r="K36" i="3"/>
  <c r="L36" i="3" s="1"/>
  <c r="N786" i="18" s="1"/>
  <c r="O222" i="18"/>
  <c r="P650" i="18"/>
  <c r="P652" i="18"/>
  <c r="P447" i="18"/>
  <c r="M788" i="18"/>
  <c r="O445" i="18"/>
  <c r="P222" i="18"/>
  <c r="L447" i="18"/>
  <c r="L924" i="18"/>
  <c r="N445" i="18"/>
  <c r="N447" i="18"/>
  <c r="M220" i="18"/>
  <c r="B401" i="22"/>
  <c r="L922" i="18"/>
  <c r="M222" i="18"/>
  <c r="P922" i="18"/>
  <c r="N650" i="18"/>
  <c r="L220" i="18"/>
  <c r="N924" i="18"/>
  <c r="O922" i="18"/>
  <c r="O786" i="18"/>
  <c r="M924" i="18"/>
  <c r="O924" i="18"/>
  <c r="P924" i="18"/>
  <c r="O447" i="18"/>
  <c r="L650" i="18"/>
  <c r="P786" i="18"/>
  <c r="M786" i="18"/>
  <c r="B721" i="22"/>
  <c r="L222" i="18"/>
  <c r="M650" i="18"/>
  <c r="M447" i="18"/>
  <c r="B725" i="22"/>
  <c r="P220" i="18"/>
  <c r="O652" i="18"/>
  <c r="K17" i="3"/>
  <c r="K30" i="3"/>
  <c r="L30" i="3" s="1"/>
  <c r="K27" i="3"/>
  <c r="L27" i="3" s="1"/>
  <c r="K34" i="3"/>
  <c r="L34" i="3" s="1"/>
  <c r="K25" i="3"/>
  <c r="L25" i="3" s="1"/>
  <c r="K23" i="3"/>
  <c r="L23" i="3" s="1"/>
  <c r="K24" i="3"/>
  <c r="L24" i="3" s="1"/>
  <c r="K31" i="3"/>
  <c r="L31" i="3" s="1"/>
  <c r="K26" i="3"/>
  <c r="L26" i="3" s="1"/>
  <c r="K28" i="3"/>
  <c r="L28" i="3" s="1"/>
  <c r="K29" i="3"/>
  <c r="L29" i="3" s="1"/>
  <c r="K33" i="3"/>
  <c r="L33" i="3" s="1"/>
  <c r="K18" i="3"/>
  <c r="L18" i="3" s="1"/>
  <c r="K32" i="3"/>
  <c r="L32" i="3" s="1"/>
  <c r="K19" i="3"/>
  <c r="L19" i="3" s="1"/>
  <c r="B339" i="22"/>
  <c r="B335" i="22"/>
  <c r="B338" i="22"/>
  <c r="B330" i="22"/>
  <c r="B332" i="22"/>
  <c r="B336" i="22"/>
  <c r="B337" i="22"/>
  <c r="B328" i="22"/>
  <c r="B334" i="22"/>
  <c r="B333" i="22"/>
  <c r="B331" i="22"/>
  <c r="B329" i="22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101" i="3"/>
  <c r="K136" i="6"/>
  <c r="L136" i="6" s="1"/>
  <c r="L96" i="3"/>
  <c r="K142" i="7"/>
  <c r="L142" i="7" s="1"/>
  <c r="L91" i="3"/>
  <c r="L85" i="3"/>
  <c r="K233" i="8"/>
  <c r="L233" i="8" s="1"/>
  <c r="K143" i="7"/>
  <c r="L143" i="7" s="1"/>
  <c r="K369" i="8"/>
  <c r="L369" i="8" s="1"/>
  <c r="K96" i="8"/>
  <c r="L96" i="8" s="1"/>
  <c r="K232" i="8"/>
  <c r="L232" i="8" s="1"/>
  <c r="L106" i="3"/>
  <c r="K97" i="8"/>
  <c r="L97" i="8" s="1"/>
  <c r="K368" i="8"/>
  <c r="L368" i="8" s="1"/>
  <c r="L81" i="3"/>
  <c r="L89" i="3"/>
  <c r="AC23" i="23" s="1"/>
  <c r="AS92" i="23" s="1"/>
  <c r="B700" i="22"/>
  <c r="B697" i="22"/>
  <c r="B209" i="22"/>
  <c r="B693" i="22"/>
  <c r="K155" i="3"/>
  <c r="L155" i="3" s="1"/>
  <c r="B698" i="22"/>
  <c r="B696" i="22"/>
  <c r="B702" i="22"/>
  <c r="B208" i="22"/>
  <c r="B694" i="22"/>
  <c r="B701" i="22"/>
  <c r="B699" i="22"/>
  <c r="K156" i="3"/>
  <c r="L156" i="3" s="1"/>
  <c r="B695" i="22"/>
  <c r="K208" i="6"/>
  <c r="L208" i="6" s="1"/>
  <c r="K192" i="6" s="1"/>
  <c r="L192" i="6" s="1"/>
  <c r="K214" i="7"/>
  <c r="L214" i="7" s="1"/>
  <c r="K198" i="7" s="1"/>
  <c r="L198" i="7" s="1"/>
  <c r="K137" i="8"/>
  <c r="L137" i="8" s="1"/>
  <c r="K126" i="8" s="1"/>
  <c r="L126" i="8" s="1"/>
  <c r="K213" i="7"/>
  <c r="L213" i="7" s="1"/>
  <c r="K197" i="7" s="1"/>
  <c r="L197" i="7" s="1"/>
  <c r="K273" i="8"/>
  <c r="L273" i="8" s="1"/>
  <c r="K262" i="8" s="1"/>
  <c r="L262" i="8" s="1"/>
  <c r="K207" i="6"/>
  <c r="L207" i="6" s="1"/>
  <c r="K191" i="6" s="1"/>
  <c r="L191" i="6" s="1"/>
  <c r="K409" i="8"/>
  <c r="L409" i="8" s="1"/>
  <c r="K398" i="8" s="1"/>
  <c r="L398" i="8" s="1"/>
  <c r="B568" i="22"/>
  <c r="B459" i="22"/>
  <c r="B564" i="22"/>
  <c r="B566" i="22"/>
  <c r="B562" i="22"/>
  <c r="B465" i="22"/>
  <c r="B565" i="22"/>
  <c r="B463" i="22"/>
  <c r="B461" i="22"/>
  <c r="B567" i="22"/>
  <c r="B563" i="22"/>
  <c r="B469" i="22"/>
  <c r="B467" i="22"/>
  <c r="B471" i="22"/>
  <c r="L17" i="3"/>
  <c r="L63" i="3" l="1"/>
  <c r="K64" i="3"/>
  <c r="L57" i="3"/>
  <c r="K58" i="3"/>
  <c r="K46" i="3"/>
  <c r="K48" i="3"/>
  <c r="L54" i="3"/>
  <c r="K60" i="3"/>
  <c r="K49" i="3"/>
  <c r="L48" i="3"/>
  <c r="L56" i="3"/>
  <c r="K54" i="3"/>
  <c r="K47" i="3"/>
  <c r="L53" i="3"/>
  <c r="L62" i="3"/>
  <c r="K56" i="3"/>
  <c r="K43" i="3"/>
  <c r="L61" i="3"/>
  <c r="L46" i="3"/>
  <c r="L64" i="3"/>
  <c r="L50" i="3"/>
  <c r="K44" i="3"/>
  <c r="K52" i="3"/>
  <c r="K42" i="3"/>
  <c r="L58" i="3"/>
  <c r="L42" i="3"/>
  <c r="L52" i="3"/>
  <c r="K57" i="3"/>
  <c r="K61" i="3"/>
  <c r="K53" i="3"/>
  <c r="K55" i="3"/>
  <c r="K51" i="3"/>
  <c r="L55" i="3"/>
  <c r="K63" i="3"/>
  <c r="L60" i="3"/>
  <c r="L51" i="3"/>
  <c r="L49" i="3"/>
  <c r="K50" i="3"/>
  <c r="L47" i="3"/>
  <c r="L59" i="3"/>
  <c r="K59" i="3"/>
  <c r="K62" i="3"/>
  <c r="K63" i="6"/>
  <c r="L63" i="6" s="1"/>
  <c r="K69" i="7"/>
  <c r="L69" i="7" s="1"/>
  <c r="K185" i="8"/>
  <c r="L185" i="8" s="1"/>
  <c r="K49" i="8"/>
  <c r="L49" i="8" s="1"/>
  <c r="K321" i="8"/>
  <c r="L321" i="8" s="1"/>
  <c r="B545" i="22"/>
  <c r="B549" i="22"/>
  <c r="B548" i="22"/>
  <c r="B546" i="22"/>
  <c r="B547" i="22"/>
  <c r="K65" i="6"/>
  <c r="L65" i="6" s="1"/>
  <c r="K52" i="8"/>
  <c r="L52" i="8" s="1"/>
  <c r="B535" i="22"/>
  <c r="B538" i="22"/>
  <c r="K188" i="8"/>
  <c r="L188" i="8" s="1"/>
  <c r="K71" i="7"/>
  <c r="L71" i="7" s="1"/>
  <c r="K324" i="8"/>
  <c r="L324" i="8" s="1"/>
  <c r="B536" i="22"/>
  <c r="B539" i="22"/>
  <c r="B537" i="22"/>
  <c r="P5" i="11"/>
  <c r="AC25" i="23"/>
  <c r="AS94" i="23" s="1"/>
  <c r="I18" i="16"/>
  <c r="AB5" i="11"/>
  <c r="AC39" i="23"/>
  <c r="AZ149" i="23" s="1"/>
  <c r="I28" i="16"/>
  <c r="S5" i="11"/>
  <c r="AC28" i="23"/>
  <c r="BJ100" i="23" s="1"/>
  <c r="I19" i="16"/>
  <c r="AF5" i="11"/>
  <c r="AC44" i="23"/>
  <c r="BF138" i="23" s="1"/>
  <c r="I31" i="16"/>
  <c r="G5" i="11"/>
  <c r="AC15" i="23"/>
  <c r="AS30" i="23" s="1"/>
  <c r="I10" i="16"/>
  <c r="O5" i="11"/>
  <c r="AC24" i="23"/>
  <c r="AS93" i="23" s="1"/>
  <c r="I17" i="16"/>
  <c r="K103" i="6"/>
  <c r="L103" i="6" s="1"/>
  <c r="K109" i="7"/>
  <c r="L109" i="7" s="1"/>
  <c r="B620" i="22"/>
  <c r="K104" i="7"/>
  <c r="L104" i="7" s="1"/>
  <c r="K98" i="6"/>
  <c r="L98" i="6" s="1"/>
  <c r="B619" i="22"/>
  <c r="B618" i="22"/>
  <c r="B617" i="22"/>
  <c r="K148" i="7"/>
  <c r="L148" i="7" s="1"/>
  <c r="B689" i="22"/>
  <c r="D5" i="11"/>
  <c r="AC12" i="23"/>
  <c r="I7" i="16"/>
  <c r="AG5" i="11"/>
  <c r="AC45" i="23"/>
  <c r="BF149" i="23" s="1"/>
  <c r="I32" i="16"/>
  <c r="K93" i="6"/>
  <c r="L93" i="6" s="1"/>
  <c r="K207" i="8"/>
  <c r="L207" i="8" s="1"/>
  <c r="K343" i="8"/>
  <c r="L343" i="8" s="1"/>
  <c r="K99" i="7"/>
  <c r="L99" i="7" s="1"/>
  <c r="K71" i="8"/>
  <c r="L71" i="8" s="1"/>
  <c r="B621" i="22"/>
  <c r="B616" i="22"/>
  <c r="B630" i="22"/>
  <c r="B629" i="22"/>
  <c r="B615" i="22"/>
  <c r="K85" i="7"/>
  <c r="L85" i="7" s="1"/>
  <c r="K79" i="6"/>
  <c r="L79" i="6" s="1"/>
  <c r="K55" i="8"/>
  <c r="L55" i="8" s="1"/>
  <c r="K56" i="8"/>
  <c r="L56" i="8" s="1"/>
  <c r="K191" i="8"/>
  <c r="L191" i="8" s="1"/>
  <c r="K192" i="8"/>
  <c r="L192" i="8" s="1"/>
  <c r="K327" i="8"/>
  <c r="L327" i="8" s="1"/>
  <c r="K328" i="8"/>
  <c r="L328" i="8" s="1"/>
  <c r="B636" i="22"/>
  <c r="B641" i="22"/>
  <c r="B635" i="22"/>
  <c r="B637" i="22"/>
  <c r="B639" i="22"/>
  <c r="B640" i="22"/>
  <c r="B638" i="22"/>
  <c r="B642" i="22"/>
  <c r="K372" i="8"/>
  <c r="L372" i="8" s="1"/>
  <c r="B692" i="22"/>
  <c r="K74" i="3"/>
  <c r="K75" i="3"/>
  <c r="AJ5" i="11"/>
  <c r="AC48" i="23"/>
  <c r="BJ161" i="23" s="1"/>
  <c r="I33" i="16"/>
  <c r="L5" i="11"/>
  <c r="AC20" i="23"/>
  <c r="BJ34" i="23" s="1"/>
  <c r="I13" i="16"/>
  <c r="Z5" i="11"/>
  <c r="AC36" i="23"/>
  <c r="AX161" i="23" s="1"/>
  <c r="I25" i="16"/>
  <c r="J5" i="11"/>
  <c r="AC18" i="23"/>
  <c r="BJ36" i="23" s="1"/>
  <c r="I11" i="16"/>
  <c r="AC13" i="23"/>
  <c r="AS28" i="23" s="1"/>
  <c r="I8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T5" i="11"/>
  <c r="AC29" i="23"/>
  <c r="BJ98" i="23" s="1"/>
  <c r="I20" i="16"/>
  <c r="AA5" i="11"/>
  <c r="AC38" i="23"/>
  <c r="AZ138" i="23" s="1"/>
  <c r="I27" i="16"/>
  <c r="K88" i="6"/>
  <c r="L88" i="6" s="1"/>
  <c r="K94" i="7"/>
  <c r="L94" i="7" s="1"/>
  <c r="K66" i="8"/>
  <c r="L66" i="8" s="1"/>
  <c r="K338" i="8"/>
  <c r="L338" i="8" s="1"/>
  <c r="K202" i="8"/>
  <c r="L202" i="8" s="1"/>
  <c r="B626" i="22"/>
  <c r="B624" i="22"/>
  <c r="B628" i="22"/>
  <c r="B627" i="22"/>
  <c r="B625" i="22"/>
  <c r="K82" i="6"/>
  <c r="L82" i="6" s="1"/>
  <c r="K76" i="6"/>
  <c r="L76" i="6" s="1"/>
  <c r="K70" i="6"/>
  <c r="L70" i="6" s="1"/>
  <c r="K76" i="7"/>
  <c r="L76" i="7" s="1"/>
  <c r="K82" i="7"/>
  <c r="L82" i="7" s="1"/>
  <c r="K198" i="8"/>
  <c r="L198" i="8" s="1"/>
  <c r="K88" i="7"/>
  <c r="L88" i="7" s="1"/>
  <c r="K61" i="8"/>
  <c r="L61" i="8" s="1"/>
  <c r="K62" i="8"/>
  <c r="L62" i="8" s="1"/>
  <c r="K334" i="8"/>
  <c r="L334" i="8" s="1"/>
  <c r="K197" i="8"/>
  <c r="L197" i="8" s="1"/>
  <c r="K333" i="8"/>
  <c r="L333" i="8" s="1"/>
  <c r="B603" i="22"/>
  <c r="B608" i="22"/>
  <c r="B610" i="22"/>
  <c r="B606" i="22"/>
  <c r="B604" i="22"/>
  <c r="B605" i="22"/>
  <c r="O788" i="18"/>
  <c r="B723" i="22"/>
  <c r="L788" i="18"/>
  <c r="L445" i="18"/>
  <c r="N788" i="18"/>
  <c r="N922" i="18"/>
  <c r="L652" i="18"/>
  <c r="N222" i="18"/>
  <c r="N220" i="18"/>
  <c r="N652" i="18"/>
  <c r="M652" i="18"/>
  <c r="M922" i="18"/>
  <c r="M445" i="18"/>
  <c r="B722" i="22"/>
  <c r="K236" i="8"/>
  <c r="L236" i="8" s="1"/>
  <c r="B688" i="22"/>
  <c r="K5" i="11"/>
  <c r="AC19" i="23"/>
  <c r="BJ35" i="23" s="1"/>
  <c r="I12" i="16"/>
  <c r="W5" i="11"/>
  <c r="AC33" i="23"/>
  <c r="AT149" i="23" s="1"/>
  <c r="I24" i="16"/>
  <c r="M5" i="11"/>
  <c r="AC22" i="23"/>
  <c r="AS75" i="23" s="1"/>
  <c r="I16" i="16"/>
  <c r="I15" i="16"/>
  <c r="U5" i="11"/>
  <c r="AC30" i="23"/>
  <c r="BJ99" i="23" s="1"/>
  <c r="I21" i="16"/>
  <c r="K85" i="6"/>
  <c r="L85" i="6" s="1"/>
  <c r="K91" i="7"/>
  <c r="L91" i="7" s="1"/>
  <c r="B623" i="22"/>
  <c r="B622" i="22"/>
  <c r="K67" i="6"/>
  <c r="L67" i="6" s="1"/>
  <c r="K73" i="6"/>
  <c r="L73" i="6" s="1"/>
  <c r="K73" i="7"/>
  <c r="L73" i="7" s="1"/>
  <c r="K79" i="7"/>
  <c r="L79" i="7" s="1"/>
  <c r="B633" i="22"/>
  <c r="B634" i="22"/>
  <c r="B632" i="22"/>
  <c r="B631" i="22"/>
  <c r="P788" i="18"/>
  <c r="O220" i="18"/>
  <c r="P445" i="18"/>
  <c r="O650" i="18"/>
  <c r="L786" i="18"/>
  <c r="B724" i="22"/>
  <c r="K100" i="8"/>
  <c r="L100" i="8" s="1"/>
  <c r="B690" i="22"/>
  <c r="K142" i="6"/>
  <c r="L142" i="6" s="1"/>
  <c r="B691" i="22"/>
  <c r="K78" i="7" l="1"/>
  <c r="L78" i="7" s="1"/>
  <c r="B757" i="22"/>
  <c r="N457" i="18"/>
  <c r="O457" i="18"/>
  <c r="L457" i="18"/>
  <c r="M457" i="18"/>
  <c r="B360" i="22"/>
  <c r="P457" i="18"/>
  <c r="K201" i="8"/>
  <c r="L201" i="8" s="1"/>
  <c r="B649" i="22"/>
  <c r="K87" i="6"/>
  <c r="L87" i="6" s="1"/>
  <c r="B655" i="22"/>
  <c r="AE91" i="11"/>
  <c r="AH15" i="20"/>
  <c r="J91" i="11"/>
  <c r="M15" i="20"/>
  <c r="K190" i="8"/>
  <c r="L190" i="8" s="1"/>
  <c r="M794" i="18"/>
  <c r="B367" i="22"/>
  <c r="L794" i="18"/>
  <c r="N794" i="18"/>
  <c r="P794" i="18"/>
  <c r="B761" i="22"/>
  <c r="O794" i="18"/>
  <c r="K78" i="6"/>
  <c r="L78" i="6" s="1"/>
  <c r="B760" i="22"/>
  <c r="P238" i="18"/>
  <c r="N238" i="18"/>
  <c r="L238" i="18"/>
  <c r="M238" i="18"/>
  <c r="O238" i="18"/>
  <c r="B365" i="22"/>
  <c r="AC49" i="23"/>
  <c r="AS11" i="23"/>
  <c r="G91" i="11"/>
  <c r="J15" i="20"/>
  <c r="P91" i="11"/>
  <c r="S15" i="20"/>
  <c r="K51" i="8"/>
  <c r="L51" i="8" s="1"/>
  <c r="K48" i="8" s="1"/>
  <c r="L48" i="8" s="1"/>
  <c r="K68" i="8"/>
  <c r="L68" i="8" s="1"/>
  <c r="K69" i="8"/>
  <c r="L69" i="8" s="1"/>
  <c r="B356" i="22"/>
  <c r="K70" i="8"/>
  <c r="L70" i="8" s="1"/>
  <c r="B657" i="22"/>
  <c r="B347" i="22"/>
  <c r="B542" i="22"/>
  <c r="K95" i="8"/>
  <c r="L95" i="8" s="1"/>
  <c r="K79" i="8" s="1"/>
  <c r="L79" i="8" s="1"/>
  <c r="Z27" i="11" s="1"/>
  <c r="B826" i="22"/>
  <c r="K72" i="7"/>
  <c r="L72" i="7" s="1"/>
  <c r="O451" i="18"/>
  <c r="M451" i="18"/>
  <c r="B358" i="22"/>
  <c r="N451" i="18"/>
  <c r="L451" i="18"/>
  <c r="P451" i="18"/>
  <c r="W91" i="11"/>
  <c r="Z15" i="20"/>
  <c r="K337" i="8"/>
  <c r="L337" i="8" s="1"/>
  <c r="B651" i="22"/>
  <c r="F91" i="11"/>
  <c r="I15" i="20"/>
  <c r="K189" i="8"/>
  <c r="L189" i="8" s="1"/>
  <c r="M793" i="18"/>
  <c r="P793" i="18"/>
  <c r="B362" i="22"/>
  <c r="O793" i="18"/>
  <c r="N793" i="18"/>
  <c r="L793" i="18"/>
  <c r="K84" i="7"/>
  <c r="L84" i="7" s="1"/>
  <c r="L463" i="18"/>
  <c r="O463" i="18"/>
  <c r="M463" i="18"/>
  <c r="P463" i="18"/>
  <c r="N463" i="18"/>
  <c r="B363" i="22"/>
  <c r="D91" i="11"/>
  <c r="G15" i="20"/>
  <c r="O91" i="11"/>
  <c r="R15" i="20"/>
  <c r="AB91" i="11"/>
  <c r="AE15" i="20"/>
  <c r="K184" i="8"/>
  <c r="L184" i="8" s="1"/>
  <c r="K204" i="8"/>
  <c r="L204" i="8" s="1"/>
  <c r="K187" i="8"/>
  <c r="L187" i="8" s="1"/>
  <c r="K205" i="8"/>
  <c r="L205" i="8" s="1"/>
  <c r="K206" i="8"/>
  <c r="L206" i="8" s="1"/>
  <c r="B355" i="22"/>
  <c r="B346" i="22"/>
  <c r="B656" i="22"/>
  <c r="B540" i="22"/>
  <c r="K72" i="6"/>
  <c r="L72" i="6" s="1"/>
  <c r="N232" i="18"/>
  <c r="P232" i="18"/>
  <c r="O232" i="18"/>
  <c r="L232" i="18"/>
  <c r="M232" i="18"/>
  <c r="B758" i="22"/>
  <c r="B361" i="22"/>
  <c r="K90" i="7"/>
  <c r="L90" i="7" s="1"/>
  <c r="B652" i="22"/>
  <c r="U91" i="11"/>
  <c r="X15" i="20"/>
  <c r="M91" i="11"/>
  <c r="P15" i="20"/>
  <c r="K91" i="11"/>
  <c r="N15" i="20"/>
  <c r="K231" i="8"/>
  <c r="L231" i="8" s="1"/>
  <c r="K215" i="8" s="1"/>
  <c r="L215" i="8" s="1"/>
  <c r="AE32" i="11" s="1"/>
  <c r="B825" i="22"/>
  <c r="K65" i="8"/>
  <c r="L65" i="8" s="1"/>
  <c r="B650" i="22"/>
  <c r="T91" i="11"/>
  <c r="W15" i="20"/>
  <c r="L91" i="11"/>
  <c r="O15" i="20"/>
  <c r="AJ91" i="11"/>
  <c r="AM15" i="20"/>
  <c r="K326" i="8"/>
  <c r="L326" i="8" s="1"/>
  <c r="B763" i="22"/>
  <c r="P930" i="18"/>
  <c r="O930" i="18"/>
  <c r="M930" i="18"/>
  <c r="L930" i="18"/>
  <c r="N930" i="18"/>
  <c r="B369" i="22"/>
  <c r="K54" i="8"/>
  <c r="L54" i="8" s="1"/>
  <c r="N658" i="18"/>
  <c r="P658" i="18"/>
  <c r="L658" i="18"/>
  <c r="B368" i="22"/>
  <c r="O658" i="18"/>
  <c r="M658" i="18"/>
  <c r="AG91" i="11"/>
  <c r="AJ15" i="20"/>
  <c r="S91" i="11"/>
  <c r="V15" i="20"/>
  <c r="K96" i="7"/>
  <c r="L96" i="7" s="1"/>
  <c r="K70" i="7"/>
  <c r="L70" i="7" s="1"/>
  <c r="K101" i="7"/>
  <c r="L101" i="7" s="1"/>
  <c r="B821" i="22" s="1"/>
  <c r="K106" i="7"/>
  <c r="L106" i="7" s="1"/>
  <c r="K103" i="7"/>
  <c r="L103" i="7" s="1"/>
  <c r="K98" i="7"/>
  <c r="L98" i="7" s="1"/>
  <c r="K107" i="7"/>
  <c r="L107" i="7" s="1"/>
  <c r="K102" i="7"/>
  <c r="L102" i="7" s="1"/>
  <c r="K97" i="7"/>
  <c r="L97" i="7" s="1"/>
  <c r="K108" i="7"/>
  <c r="L108" i="7" s="1"/>
  <c r="B645" i="22"/>
  <c r="B541" i="22"/>
  <c r="B342" i="22"/>
  <c r="B647" i="22"/>
  <c r="B351" i="22"/>
  <c r="B349" i="22"/>
  <c r="B340" i="22"/>
  <c r="B344" i="22"/>
  <c r="B353" i="22"/>
  <c r="B643" i="22"/>
  <c r="K66" i="6"/>
  <c r="L66" i="6" s="1"/>
  <c r="B359" i="22"/>
  <c r="O226" i="18"/>
  <c r="L226" i="18"/>
  <c r="M226" i="18"/>
  <c r="P226" i="18"/>
  <c r="N226" i="18"/>
  <c r="K84" i="6"/>
  <c r="L84" i="6" s="1"/>
  <c r="B653" i="22"/>
  <c r="K93" i="7"/>
  <c r="L93" i="7" s="1"/>
  <c r="B654" i="22"/>
  <c r="AA91" i="11"/>
  <c r="AD15" i="20"/>
  <c r="V91" i="11"/>
  <c r="Y15" i="20"/>
  <c r="Z91" i="11"/>
  <c r="AC15" i="20"/>
  <c r="K325" i="8"/>
  <c r="L325" i="8" s="1"/>
  <c r="N929" i="18"/>
  <c r="O929" i="18"/>
  <c r="M929" i="18"/>
  <c r="P929" i="18"/>
  <c r="L929" i="18"/>
  <c r="B366" i="22"/>
  <c r="K53" i="8"/>
  <c r="L53" i="8" s="1"/>
  <c r="L657" i="18"/>
  <c r="P657" i="18"/>
  <c r="N657" i="18"/>
  <c r="O657" i="18"/>
  <c r="M657" i="18"/>
  <c r="B364" i="22"/>
  <c r="AF91" i="11"/>
  <c r="AI15" i="20"/>
  <c r="K320" i="8"/>
  <c r="L320" i="8" s="1"/>
  <c r="K341" i="8"/>
  <c r="L341" i="8" s="1"/>
  <c r="K342" i="8"/>
  <c r="L342" i="8" s="1"/>
  <c r="K323" i="8"/>
  <c r="L323" i="8" s="1"/>
  <c r="K340" i="8"/>
  <c r="L340" i="8" s="1"/>
  <c r="B357" i="22"/>
  <c r="B544" i="22"/>
  <c r="B658" i="22"/>
  <c r="B348" i="22"/>
  <c r="K95" i="6"/>
  <c r="L95" i="6" s="1"/>
  <c r="K139" i="6" s="1"/>
  <c r="L139" i="6" s="1"/>
  <c r="K118" i="6" s="1"/>
  <c r="L118" i="6" s="1"/>
  <c r="K90" i="6"/>
  <c r="L90" i="6" s="1"/>
  <c r="K100" i="6"/>
  <c r="L100" i="6" s="1"/>
  <c r="K64" i="6"/>
  <c r="L64" i="6" s="1"/>
  <c r="K97" i="6"/>
  <c r="L97" i="6" s="1"/>
  <c r="K102" i="6"/>
  <c r="L102" i="6" s="1"/>
  <c r="K91" i="6"/>
  <c r="L91" i="6" s="1"/>
  <c r="K92" i="6"/>
  <c r="L92" i="6" s="1"/>
  <c r="K101" i="6"/>
  <c r="L101" i="6" s="1"/>
  <c r="K96" i="6"/>
  <c r="L96" i="6" s="1"/>
  <c r="B345" i="22"/>
  <c r="B350" i="22"/>
  <c r="B646" i="22"/>
  <c r="B648" i="22"/>
  <c r="B543" i="22"/>
  <c r="B343" i="22"/>
  <c r="B341" i="22"/>
  <c r="B644" i="22"/>
  <c r="B352" i="22"/>
  <c r="B354" i="22"/>
  <c r="K9" i="11" l="1"/>
  <c r="K61" i="6"/>
  <c r="L61" i="6" s="1"/>
  <c r="K60" i="6"/>
  <c r="L60" i="6" s="1"/>
  <c r="B316" i="22"/>
  <c r="B321" i="22"/>
  <c r="B478" i="22"/>
  <c r="B756" i="22"/>
  <c r="K388" i="8"/>
  <c r="L388" i="8" s="1"/>
  <c r="B682" i="22"/>
  <c r="B476" i="22"/>
  <c r="K399" i="8"/>
  <c r="L399" i="8" s="1"/>
  <c r="K359" i="8"/>
  <c r="L359" i="8" s="1"/>
  <c r="M962" i="18"/>
  <c r="P962" i="18"/>
  <c r="L962" i="18"/>
  <c r="N962" i="18"/>
  <c r="O962" i="18"/>
  <c r="K383" i="8"/>
  <c r="L383" i="8" s="1"/>
  <c r="K404" i="8"/>
  <c r="L404" i="8" s="1"/>
  <c r="B579" i="22"/>
  <c r="B517" i="22"/>
  <c r="K366" i="8"/>
  <c r="L366" i="8" s="1"/>
  <c r="K350" i="8" s="1"/>
  <c r="L350" i="8" s="1"/>
  <c r="B836" i="22"/>
  <c r="K171" i="7"/>
  <c r="L171" i="7" s="1"/>
  <c r="K156" i="7" s="1"/>
  <c r="L156" i="7" s="1"/>
  <c r="B203" i="22"/>
  <c r="K66" i="7"/>
  <c r="L66" i="7" s="1"/>
  <c r="K67" i="7"/>
  <c r="L67" i="7" s="1"/>
  <c r="B314" i="22"/>
  <c r="B319" i="22"/>
  <c r="K62" i="6"/>
  <c r="L62" i="6" s="1"/>
  <c r="B575" i="22"/>
  <c r="B498" i="22"/>
  <c r="K268" i="8"/>
  <c r="L268" i="8" s="1"/>
  <c r="B832" i="22"/>
  <c r="K230" i="8"/>
  <c r="L230" i="8" s="1"/>
  <c r="K214" i="8" s="1"/>
  <c r="L214" i="8" s="1"/>
  <c r="B822" i="22"/>
  <c r="K87" i="8"/>
  <c r="L87" i="8" s="1"/>
  <c r="P690" i="18"/>
  <c r="N690" i="18"/>
  <c r="O690" i="18"/>
  <c r="M690" i="18"/>
  <c r="L690" i="18"/>
  <c r="K174" i="6"/>
  <c r="L174" i="6" s="1"/>
  <c r="L10" i="11" s="1"/>
  <c r="K171" i="6"/>
  <c r="L171" i="6" s="1"/>
  <c r="B679" i="22"/>
  <c r="B753" i="22"/>
  <c r="B455" i="22"/>
  <c r="B453" i="22"/>
  <c r="K195" i="6"/>
  <c r="L195" i="6" s="1"/>
  <c r="K318" i="8"/>
  <c r="L318" i="8" s="1"/>
  <c r="K319" i="8"/>
  <c r="L319" i="8" s="1"/>
  <c r="B317" i="22"/>
  <c r="B322" i="22"/>
  <c r="K111" i="8"/>
  <c r="L111" i="8" s="1"/>
  <c r="B507" i="22"/>
  <c r="K132" i="8"/>
  <c r="L132" i="8" s="1"/>
  <c r="B577" i="22"/>
  <c r="B834" i="22"/>
  <c r="K94" i="8"/>
  <c r="L94" i="8" s="1"/>
  <c r="K78" i="8" s="1"/>
  <c r="L78" i="8" s="1"/>
  <c r="B572" i="22"/>
  <c r="B483" i="22"/>
  <c r="K200" i="6"/>
  <c r="L200" i="6" s="1"/>
  <c r="B829" i="22"/>
  <c r="K133" i="6"/>
  <c r="L133" i="6" s="1"/>
  <c r="K114" i="6" s="1"/>
  <c r="L114" i="6" s="1"/>
  <c r="K175" i="7"/>
  <c r="L175" i="7" s="1"/>
  <c r="K178" i="7"/>
  <c r="L178" i="7" s="1"/>
  <c r="S19" i="11" s="1"/>
  <c r="B748" i="22"/>
  <c r="B440" i="22"/>
  <c r="B674" i="22"/>
  <c r="B438" i="22"/>
  <c r="K199" i="7"/>
  <c r="L199" i="7" s="1"/>
  <c r="K105" i="8"/>
  <c r="L105" i="8" s="1"/>
  <c r="B7" i="22"/>
  <c r="K133" i="8"/>
  <c r="L133" i="8" s="1"/>
  <c r="B581" i="22"/>
  <c r="B525" i="22"/>
  <c r="K377" i="8"/>
  <c r="L377" i="8" s="1"/>
  <c r="K375" i="8" s="1"/>
  <c r="L375" i="8" s="1"/>
  <c r="B8" i="22"/>
  <c r="B582" i="22"/>
  <c r="K405" i="8"/>
  <c r="L405" i="8" s="1"/>
  <c r="B530" i="22"/>
  <c r="K112" i="8"/>
  <c r="L112" i="8" s="1"/>
  <c r="K104" i="8" s="1"/>
  <c r="L104" i="8" s="1"/>
  <c r="B206" i="22"/>
  <c r="K223" i="8"/>
  <c r="L223" i="8" s="1"/>
  <c r="L826" i="18"/>
  <c r="M826" i="18"/>
  <c r="P826" i="18"/>
  <c r="O826" i="18"/>
  <c r="N826" i="18"/>
  <c r="K144" i="7"/>
  <c r="L144" i="7" s="1"/>
  <c r="K123" i="7" s="1"/>
  <c r="L123" i="7" s="1"/>
  <c r="C91" i="11"/>
  <c r="K141" i="7"/>
  <c r="L141" i="7" s="1"/>
  <c r="K122" i="7" s="1"/>
  <c r="L122" i="7" s="1"/>
  <c r="B576" i="22"/>
  <c r="K170" i="7"/>
  <c r="L170" i="7" s="1"/>
  <c r="B4" i="22"/>
  <c r="K208" i="7"/>
  <c r="L208" i="7" s="1"/>
  <c r="B502" i="22"/>
  <c r="K159" i="7"/>
  <c r="L159" i="7" s="1"/>
  <c r="K154" i="7" s="1"/>
  <c r="L154" i="7" s="1"/>
  <c r="B833" i="22"/>
  <c r="B827" i="22"/>
  <c r="K68" i="7"/>
  <c r="L68" i="7" s="1"/>
  <c r="K165" i="6"/>
  <c r="L165" i="6" s="1"/>
  <c r="K150" i="6" s="1"/>
  <c r="L150" i="6" s="1"/>
  <c r="B204" i="22"/>
  <c r="K172" i="6"/>
  <c r="L172" i="6" s="1"/>
  <c r="J10" i="11" s="1"/>
  <c r="K169" i="6"/>
  <c r="L169" i="6" s="1"/>
  <c r="B749" i="22"/>
  <c r="B443" i="22"/>
  <c r="B675" i="22"/>
  <c r="B441" i="22"/>
  <c r="K193" i="6"/>
  <c r="L193" i="6" s="1"/>
  <c r="K163" i="6"/>
  <c r="L163" i="6" s="1"/>
  <c r="K149" i="6" s="1"/>
  <c r="L149" i="6" s="1"/>
  <c r="B202" i="22"/>
  <c r="K180" i="7"/>
  <c r="L180" i="7" s="1"/>
  <c r="U19" i="11" s="1"/>
  <c r="K177" i="7"/>
  <c r="L177" i="7" s="1"/>
  <c r="B452" i="22"/>
  <c r="B752" i="22"/>
  <c r="B678" i="22"/>
  <c r="B450" i="22"/>
  <c r="K201" i="7"/>
  <c r="L201" i="7" s="1"/>
  <c r="K182" i="8"/>
  <c r="L182" i="8" s="1"/>
  <c r="K183" i="8"/>
  <c r="L183" i="8" s="1"/>
  <c r="B318" i="22"/>
  <c r="B313" i="22"/>
  <c r="B819" i="22"/>
  <c r="K145" i="7"/>
  <c r="L145" i="7" s="1"/>
  <c r="K124" i="7" s="1"/>
  <c r="L124" i="7" s="1"/>
  <c r="B759" i="22"/>
  <c r="K367" i="8"/>
  <c r="L367" i="8" s="1"/>
  <c r="K351" i="8" s="1"/>
  <c r="L351" i="8" s="1"/>
  <c r="K384" i="8"/>
  <c r="L384" i="8" s="1"/>
  <c r="K376" i="8" s="1"/>
  <c r="L376" i="8" s="1"/>
  <c r="B207" i="22"/>
  <c r="B824" i="22"/>
  <c r="K138" i="6"/>
  <c r="L138" i="6" s="1"/>
  <c r="K117" i="6" s="1"/>
  <c r="L117" i="6" s="1"/>
  <c r="K116" i="8"/>
  <c r="L116" i="8" s="1"/>
  <c r="B755" i="22"/>
  <c r="B475" i="22"/>
  <c r="B681" i="22"/>
  <c r="B473" i="22"/>
  <c r="K127" i="8"/>
  <c r="L127" i="8" s="1"/>
  <c r="K173" i="6"/>
  <c r="L173" i="6" s="1"/>
  <c r="K10" i="11" s="1"/>
  <c r="K170" i="6"/>
  <c r="L170" i="6" s="1"/>
  <c r="B751" i="22"/>
  <c r="B449" i="22"/>
  <c r="B677" i="22"/>
  <c r="B447" i="22"/>
  <c r="K194" i="6"/>
  <c r="L194" i="6" s="1"/>
  <c r="K179" i="7"/>
  <c r="L179" i="7" s="1"/>
  <c r="T19" i="11" s="1"/>
  <c r="K176" i="7"/>
  <c r="L176" i="7" s="1"/>
  <c r="B750" i="22"/>
  <c r="B446" i="22"/>
  <c r="B676" i="22"/>
  <c r="B444" i="22"/>
  <c r="K200" i="7"/>
  <c r="L200" i="7" s="1"/>
  <c r="B762" i="22"/>
  <c r="K169" i="7"/>
  <c r="L169" i="7" s="1"/>
  <c r="K155" i="7" s="1"/>
  <c r="L155" i="7" s="1"/>
  <c r="B201" i="22"/>
  <c r="K151" i="6"/>
  <c r="L151" i="6" s="1"/>
  <c r="K162" i="6"/>
  <c r="L162" i="6" s="1"/>
  <c r="B3" i="22"/>
  <c r="K201" i="6"/>
  <c r="L201" i="6" s="1"/>
  <c r="B574" i="22"/>
  <c r="B493" i="22"/>
  <c r="K134" i="6"/>
  <c r="L134" i="6" s="1"/>
  <c r="K115" i="6" s="1"/>
  <c r="L115" i="6" s="1"/>
  <c r="B831" i="22"/>
  <c r="K252" i="8"/>
  <c r="L252" i="8" s="1"/>
  <c r="B754" i="22"/>
  <c r="B680" i="22"/>
  <c r="B458" i="22"/>
  <c r="B456" i="22"/>
  <c r="K263" i="8"/>
  <c r="L263" i="8" s="1"/>
  <c r="B823" i="22"/>
  <c r="K146" i="7"/>
  <c r="L146" i="7" s="1"/>
  <c r="K125" i="7" s="1"/>
  <c r="L125" i="7" s="1"/>
  <c r="K206" i="7"/>
  <c r="L206" i="7" s="1"/>
  <c r="B571" i="22"/>
  <c r="B479" i="22"/>
  <c r="K139" i="7"/>
  <c r="L139" i="7" s="1"/>
  <c r="K120" i="7" s="1"/>
  <c r="L120" i="7" s="1"/>
  <c r="B828" i="22"/>
  <c r="B820" i="22"/>
  <c r="K140" i="6"/>
  <c r="L140" i="6" s="1"/>
  <c r="K119" i="6" s="1"/>
  <c r="L119" i="6" s="1"/>
  <c r="K46" i="8"/>
  <c r="L46" i="8" s="1"/>
  <c r="K47" i="8"/>
  <c r="L47" i="8" s="1"/>
  <c r="B315" i="22"/>
  <c r="B320" i="22"/>
  <c r="K153" i="6"/>
  <c r="L153" i="6" s="1"/>
  <c r="K148" i="6" s="1"/>
  <c r="L148" i="6" s="1"/>
  <c r="K164" i="6"/>
  <c r="L164" i="6" s="1"/>
  <c r="B5" i="22"/>
  <c r="B513" i="22"/>
  <c r="B578" i="22"/>
  <c r="K202" i="6"/>
  <c r="L202" i="6" s="1"/>
  <c r="K135" i="6"/>
  <c r="L135" i="6" s="1"/>
  <c r="K116" i="6" s="1"/>
  <c r="L116" i="6" s="1"/>
  <c r="B835" i="22"/>
  <c r="K241" i="8"/>
  <c r="L241" i="8" s="1"/>
  <c r="K239" i="8" s="1"/>
  <c r="L239" i="8" s="1"/>
  <c r="K247" i="8"/>
  <c r="L247" i="8" s="1"/>
  <c r="B6" i="22"/>
  <c r="B580" i="22"/>
  <c r="K269" i="8"/>
  <c r="L269" i="8" s="1"/>
  <c r="B521" i="22"/>
  <c r="K248" i="8"/>
  <c r="L248" i="8" s="1"/>
  <c r="K240" i="8" s="1"/>
  <c r="L240" i="8" s="1"/>
  <c r="B205" i="22"/>
  <c r="K168" i="7"/>
  <c r="L168" i="7" s="1"/>
  <c r="K157" i="7"/>
  <c r="L157" i="7" s="1"/>
  <c r="B2" i="22"/>
  <c r="K207" i="7"/>
  <c r="L207" i="7" s="1"/>
  <c r="B573" i="22"/>
  <c r="B487" i="22"/>
  <c r="K140" i="7"/>
  <c r="L140" i="7" s="1"/>
  <c r="K121" i="7" s="1"/>
  <c r="L121" i="7" s="1"/>
  <c r="B830" i="22"/>
  <c r="K147" i="6" l="1"/>
  <c r="L147" i="6" s="1"/>
  <c r="K153" i="7"/>
  <c r="L153" i="7" s="1"/>
  <c r="K190" i="6"/>
  <c r="L190" i="6" s="1"/>
  <c r="K86" i="8"/>
  <c r="L86" i="8" s="1"/>
  <c r="B16" i="22"/>
  <c r="B212" i="22"/>
  <c r="B325" i="22"/>
  <c r="K194" i="7"/>
  <c r="L194" i="7" s="1"/>
  <c r="AE33" i="11"/>
  <c r="F13" i="11"/>
  <c r="K11" i="11"/>
  <c r="J9" i="11"/>
  <c r="AJ37" i="11"/>
  <c r="H11" i="11"/>
  <c r="W27" i="11"/>
  <c r="K358" i="8"/>
  <c r="L358" i="8" s="1"/>
  <c r="B214" i="22"/>
  <c r="B327" i="22"/>
  <c r="B18" i="22"/>
  <c r="AB32" i="11"/>
  <c r="K132" i="7"/>
  <c r="L132" i="7" s="1"/>
  <c r="B211" i="22"/>
  <c r="B15" i="22"/>
  <c r="B324" i="22"/>
  <c r="K396" i="8"/>
  <c r="L396" i="8" s="1"/>
  <c r="K131" i="6"/>
  <c r="L131" i="6" s="1"/>
  <c r="K132" i="6"/>
  <c r="L132" i="6" s="1"/>
  <c r="K128" i="6"/>
  <c r="L128" i="6" s="1"/>
  <c r="K197" i="6"/>
  <c r="L197" i="6" s="1"/>
  <c r="N288" i="18"/>
  <c r="B391" i="22"/>
  <c r="M288" i="18"/>
  <c r="B385" i="22"/>
  <c r="B553" i="22"/>
  <c r="L288" i="18"/>
  <c r="N287" i="18"/>
  <c r="B426" i="22"/>
  <c r="B380" i="22"/>
  <c r="B381" i="22"/>
  <c r="L287" i="18"/>
  <c r="B384" i="22"/>
  <c r="P287" i="18"/>
  <c r="P288" i="18"/>
  <c r="B382" i="22"/>
  <c r="O287" i="18"/>
  <c r="O288" i="18"/>
  <c r="M287" i="18"/>
  <c r="B383" i="22"/>
  <c r="K261" i="8"/>
  <c r="L261" i="8" s="1"/>
  <c r="AC35" i="11"/>
  <c r="G14" i="11"/>
  <c r="K129" i="8"/>
  <c r="L129" i="8" s="1"/>
  <c r="K83" i="8" s="1"/>
  <c r="L83" i="8" s="1"/>
  <c r="K92" i="8"/>
  <c r="L92" i="8" s="1"/>
  <c r="K93" i="8"/>
  <c r="L93" i="8" s="1"/>
  <c r="K88" i="8"/>
  <c r="L88" i="8" s="1"/>
  <c r="B552" i="22"/>
  <c r="L691" i="18"/>
  <c r="P692" i="18"/>
  <c r="N691" i="18"/>
  <c r="M691" i="18"/>
  <c r="O691" i="18"/>
  <c r="B379" i="22"/>
  <c r="O692" i="18"/>
  <c r="P691" i="18"/>
  <c r="L692" i="18"/>
  <c r="N692" i="18"/>
  <c r="B420" i="22"/>
  <c r="B390" i="22"/>
  <c r="M692" i="18"/>
  <c r="B378" i="22"/>
  <c r="N18" i="11"/>
  <c r="U18" i="11"/>
  <c r="U26" i="11" s="1"/>
  <c r="K189" i="6"/>
  <c r="L189" i="6" s="1"/>
  <c r="T20" i="11"/>
  <c r="U20" i="11"/>
  <c r="I12" i="11"/>
  <c r="P23" i="11"/>
  <c r="S18" i="11"/>
  <c r="Y29" i="11"/>
  <c r="K125" i="8"/>
  <c r="L125" i="8" s="1"/>
  <c r="K188" i="6"/>
  <c r="L188" i="6" s="1"/>
  <c r="K365" i="8"/>
  <c r="L365" i="8" s="1"/>
  <c r="K401" i="8"/>
  <c r="L401" i="8" s="1"/>
  <c r="K360" i="8"/>
  <c r="L360" i="8" s="1"/>
  <c r="B663" i="22" s="1"/>
  <c r="M964" i="18"/>
  <c r="L963" i="18"/>
  <c r="M963" i="18"/>
  <c r="K364" i="8"/>
  <c r="L364" i="8" s="1"/>
  <c r="B434" i="22"/>
  <c r="O963" i="18"/>
  <c r="O964" i="18"/>
  <c r="L964" i="18"/>
  <c r="B386" i="22"/>
  <c r="P963" i="18"/>
  <c r="P964" i="18"/>
  <c r="B392" i="22"/>
  <c r="N963" i="18"/>
  <c r="B554" i="22"/>
  <c r="B387" i="22"/>
  <c r="N964" i="18"/>
  <c r="K127" i="6"/>
  <c r="L127" i="6" s="1"/>
  <c r="L286" i="18"/>
  <c r="P286" i="18"/>
  <c r="O286" i="18"/>
  <c r="M286" i="18"/>
  <c r="N286" i="18"/>
  <c r="K203" i="7"/>
  <c r="L203" i="7" s="1"/>
  <c r="K137" i="7"/>
  <c r="L137" i="7" s="1"/>
  <c r="K138" i="7"/>
  <c r="L138" i="7" s="1"/>
  <c r="K134" i="7"/>
  <c r="L134" i="7" s="1"/>
  <c r="B411" i="22"/>
  <c r="P512" i="18"/>
  <c r="N512" i="18"/>
  <c r="B372" i="22"/>
  <c r="B551" i="22"/>
  <c r="P513" i="18"/>
  <c r="B374" i="22"/>
  <c r="B376" i="22"/>
  <c r="B389" i="22"/>
  <c r="L513" i="18"/>
  <c r="B373" i="22"/>
  <c r="O513" i="18"/>
  <c r="O512" i="18"/>
  <c r="N513" i="18"/>
  <c r="B377" i="22"/>
  <c r="B375" i="22"/>
  <c r="M513" i="18"/>
  <c r="L512" i="18"/>
  <c r="M512" i="18"/>
  <c r="AG37" i="11"/>
  <c r="K126" i="6"/>
  <c r="L126" i="6" s="1"/>
  <c r="B213" i="22"/>
  <c r="B326" i="22"/>
  <c r="B17" i="22"/>
  <c r="K195" i="7"/>
  <c r="L195" i="7" s="1"/>
  <c r="L9" i="11"/>
  <c r="F9" i="11"/>
  <c r="Q20" i="11"/>
  <c r="T18" i="11"/>
  <c r="T25" i="11" s="1"/>
  <c r="K222" i="8"/>
  <c r="L222" i="8" s="1"/>
  <c r="B323" i="22"/>
  <c r="B210" i="22"/>
  <c r="B14" i="22"/>
  <c r="J11" i="11"/>
  <c r="K133" i="7"/>
  <c r="L133" i="7" s="1"/>
  <c r="N511" i="18"/>
  <c r="O511" i="18"/>
  <c r="L511" i="18"/>
  <c r="M511" i="18"/>
  <c r="P511" i="18"/>
  <c r="AH40" i="11"/>
  <c r="S20" i="11"/>
  <c r="K260" i="8"/>
  <c r="L260" i="8" s="1"/>
  <c r="O18" i="11"/>
  <c r="AD34" i="11"/>
  <c r="G9" i="11"/>
  <c r="AE36" i="11"/>
  <c r="K16" i="11"/>
  <c r="Z28" i="11"/>
  <c r="AI39" i="11"/>
  <c r="K229" i="8"/>
  <c r="L229" i="8" s="1"/>
  <c r="K224" i="8"/>
  <c r="L224" i="8" s="1"/>
  <c r="B659" i="22" s="1"/>
  <c r="K265" i="8"/>
  <c r="L265" i="8" s="1"/>
  <c r="K228" i="8"/>
  <c r="L228" i="8" s="1"/>
  <c r="L828" i="18"/>
  <c r="M828" i="18"/>
  <c r="B370" i="22"/>
  <c r="N827" i="18"/>
  <c r="B407" i="22"/>
  <c r="N828" i="18"/>
  <c r="B550" i="22"/>
  <c r="B371" i="22"/>
  <c r="L827" i="18"/>
  <c r="P828" i="18"/>
  <c r="O827" i="18"/>
  <c r="B388" i="22"/>
  <c r="O828" i="18"/>
  <c r="M827" i="18"/>
  <c r="P827" i="18"/>
  <c r="K196" i="7"/>
  <c r="L196" i="7" s="1"/>
  <c r="P18" i="11"/>
  <c r="K219" i="8"/>
  <c r="L219" i="8" s="1"/>
  <c r="K397" i="8"/>
  <c r="L397" i="8" s="1"/>
  <c r="K103" i="8"/>
  <c r="L103" i="8" s="1"/>
  <c r="E9" i="11"/>
  <c r="K124" i="8"/>
  <c r="L124" i="8" s="1"/>
  <c r="L11" i="11"/>
  <c r="R21" i="11"/>
  <c r="K355" i="8"/>
  <c r="L355" i="8" s="1"/>
  <c r="AJ38" i="11"/>
  <c r="AJ41" i="11" s="1"/>
  <c r="B661" i="22" l="1"/>
  <c r="S24" i="11"/>
  <c r="E10" i="11"/>
  <c r="F11" i="11"/>
  <c r="N19" i="11"/>
  <c r="K82" i="8"/>
  <c r="L82" i="8" s="1"/>
  <c r="K81" i="8" s="1"/>
  <c r="L81" i="8" s="1"/>
  <c r="K80" i="8" s="1"/>
  <c r="L80" i="8" s="1"/>
  <c r="M680" i="18"/>
  <c r="N680" i="18"/>
  <c r="M681" i="18"/>
  <c r="P681" i="18"/>
  <c r="L681" i="18"/>
  <c r="B595" i="22"/>
  <c r="O681" i="18"/>
  <c r="P680" i="18"/>
  <c r="O680" i="18"/>
  <c r="L680" i="18"/>
  <c r="N681" i="18"/>
  <c r="X30" i="11"/>
  <c r="P21" i="11"/>
  <c r="K259" i="8"/>
  <c r="L259" i="8" s="1"/>
  <c r="B588" i="22"/>
  <c r="K218" i="8"/>
  <c r="L218" i="8" s="1"/>
  <c r="K217" i="8" s="1"/>
  <c r="L217" i="8" s="1"/>
  <c r="K216" i="8" s="1"/>
  <c r="L216" i="8" s="1"/>
  <c r="M816" i="18"/>
  <c r="L816" i="18"/>
  <c r="B593" i="22"/>
  <c r="P816" i="18"/>
  <c r="O816" i="18"/>
  <c r="L817" i="18"/>
  <c r="N816" i="18"/>
  <c r="N817" i="18"/>
  <c r="O817" i="18"/>
  <c r="M817" i="18"/>
  <c r="P817" i="18"/>
  <c r="Z31" i="11"/>
  <c r="Q22" i="11"/>
  <c r="K193" i="7"/>
  <c r="L193" i="7" s="1"/>
  <c r="B589" i="22"/>
  <c r="B592" i="22"/>
  <c r="K395" i="8"/>
  <c r="L395" i="8" s="1"/>
  <c r="J15" i="11"/>
  <c r="K123" i="8"/>
  <c r="L123" i="8" s="1"/>
  <c r="B590" i="22"/>
  <c r="AC34" i="11"/>
  <c r="W28" i="11"/>
  <c r="K129" i="7"/>
  <c r="L129" i="7" s="1"/>
  <c r="B660" i="22"/>
  <c r="AG38" i="11"/>
  <c r="K128" i="7"/>
  <c r="L128" i="7" s="1"/>
  <c r="K127" i="7" s="1"/>
  <c r="L127" i="7" s="1"/>
  <c r="K126" i="7" s="1"/>
  <c r="L126" i="7" s="1"/>
  <c r="L495" i="18"/>
  <c r="P494" i="18"/>
  <c r="L496" i="18"/>
  <c r="O498" i="18"/>
  <c r="O493" i="18"/>
  <c r="M495" i="18"/>
  <c r="O495" i="18"/>
  <c r="M496" i="18"/>
  <c r="M497" i="18"/>
  <c r="O496" i="18"/>
  <c r="O494" i="18"/>
  <c r="P497" i="18"/>
  <c r="N497" i="18"/>
  <c r="N493" i="18"/>
  <c r="N498" i="18"/>
  <c r="N494" i="18"/>
  <c r="N495" i="18"/>
  <c r="P498" i="18"/>
  <c r="L493" i="18"/>
  <c r="L494" i="18"/>
  <c r="M498" i="18"/>
  <c r="L497" i="18"/>
  <c r="N496" i="18"/>
  <c r="M494" i="18"/>
  <c r="P493" i="18"/>
  <c r="L498" i="18"/>
  <c r="O497" i="18"/>
  <c r="P495" i="18"/>
  <c r="B594" i="22"/>
  <c r="P496" i="18"/>
  <c r="M493" i="18"/>
  <c r="P953" i="18"/>
  <c r="L953" i="18"/>
  <c r="M953" i="18"/>
  <c r="O952" i="18"/>
  <c r="N952" i="18"/>
  <c r="K354" i="8"/>
  <c r="L354" i="8" s="1"/>
  <c r="K353" i="8" s="1"/>
  <c r="L353" i="8" s="1"/>
  <c r="K352" i="8" s="1"/>
  <c r="L352" i="8" s="1"/>
  <c r="P952" i="18"/>
  <c r="N953" i="18"/>
  <c r="O953" i="18"/>
  <c r="M952" i="18"/>
  <c r="L952" i="18"/>
  <c r="B597" i="22"/>
  <c r="H13" i="11"/>
  <c r="G12" i="11"/>
  <c r="R23" i="11"/>
  <c r="AH39" i="11"/>
  <c r="AI40" i="11"/>
  <c r="AD35" i="11"/>
  <c r="AB33" i="11"/>
  <c r="L17" i="11"/>
  <c r="K122" i="6"/>
  <c r="L122" i="6" s="1"/>
  <c r="O272" i="18"/>
  <c r="P271" i="18"/>
  <c r="P273" i="18"/>
  <c r="P268" i="18"/>
  <c r="O269" i="18"/>
  <c r="L271" i="18"/>
  <c r="L268" i="18"/>
  <c r="B596" i="22"/>
  <c r="O270" i="18"/>
  <c r="N269" i="18"/>
  <c r="L272" i="18"/>
  <c r="O273" i="18"/>
  <c r="L270" i="18"/>
  <c r="O271" i="18"/>
  <c r="N268" i="18"/>
  <c r="L269" i="18"/>
  <c r="M272" i="18"/>
  <c r="M273" i="18"/>
  <c r="O268" i="18"/>
  <c r="N270" i="18"/>
  <c r="P272" i="18"/>
  <c r="M269" i="18"/>
  <c r="P270" i="18"/>
  <c r="N271" i="18"/>
  <c r="M268" i="18"/>
  <c r="N272" i="18"/>
  <c r="L273" i="18"/>
  <c r="M270" i="18"/>
  <c r="M271" i="18"/>
  <c r="N273" i="18"/>
  <c r="P269" i="18"/>
  <c r="K123" i="6"/>
  <c r="L123" i="6" s="1"/>
  <c r="B662" i="22"/>
  <c r="X29" i="11"/>
  <c r="Y30" i="11"/>
  <c r="I14" i="11"/>
  <c r="K187" i="6"/>
  <c r="L187" i="6" s="1"/>
  <c r="B591" i="22"/>
  <c r="O22" i="11"/>
  <c r="O20" i="11" s="1"/>
  <c r="K348" i="8" l="1"/>
  <c r="L348" i="8" s="1"/>
  <c r="K349" i="8"/>
  <c r="L349" i="8" s="1"/>
  <c r="K76" i="8"/>
  <c r="L76" i="8" s="1"/>
  <c r="K77" i="8"/>
  <c r="L77" i="8" s="1"/>
  <c r="K114" i="7"/>
  <c r="L114" i="7" s="1"/>
  <c r="K116" i="7"/>
  <c r="L116" i="7" s="1"/>
  <c r="K118" i="7"/>
  <c r="L118" i="7" s="1"/>
  <c r="K115" i="7"/>
  <c r="L115" i="7" s="1"/>
  <c r="K117" i="7"/>
  <c r="L117" i="7" s="1"/>
  <c r="K119" i="7"/>
  <c r="L119" i="7" s="1"/>
  <c r="K212" i="8"/>
  <c r="L212" i="8" s="1"/>
  <c r="K213" i="8"/>
  <c r="L213" i="8" s="1"/>
  <c r="K121" i="6"/>
  <c r="L121" i="6" s="1"/>
  <c r="K120" i="6" s="1"/>
  <c r="L120" i="6" s="1"/>
  <c r="K108" i="6" l="1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AA36" i="11"/>
  <c r="M20" i="11"/>
  <c r="V31" i="11"/>
  <c r="AF38" i="11"/>
  <c r="M25" i="11"/>
  <c r="V28" i="11"/>
  <c r="AA33" i="11"/>
  <c r="M26" i="11"/>
  <c r="M21" i="11"/>
  <c r="M24" i="11"/>
  <c r="M19" i="11"/>
  <c r="AF41" i="11"/>
  <c r="D15" i="11" l="1"/>
  <c r="D12" i="11"/>
  <c r="AA32" i="11"/>
  <c r="D17" i="11"/>
  <c r="D11" i="11"/>
  <c r="M18" i="11"/>
  <c r="V27" i="11"/>
  <c r="AF37" i="11"/>
  <c r="D16" i="11"/>
  <c r="D10" i="11"/>
  <c r="D9" i="11" l="1"/>
  <c r="D45" i="11" s="1" a="1"/>
  <c r="E45" i="11" l="1"/>
  <c r="S45" i="11"/>
  <c r="AD45" i="11"/>
  <c r="AE45" i="11"/>
  <c r="Z45" i="11"/>
  <c r="AF45" i="11"/>
  <c r="Q45" i="11"/>
  <c r="L45" i="11"/>
  <c r="M45" i="11"/>
  <c r="AH45" i="11"/>
  <c r="X45" i="11"/>
  <c r="V45" i="11"/>
  <c r="W45" i="11"/>
  <c r="R45" i="11"/>
  <c r="H45" i="11"/>
  <c r="AJ45" i="11"/>
  <c r="D45" i="11"/>
  <c r="J45" i="11"/>
  <c r="P45" i="11"/>
  <c r="N45" i="11"/>
  <c r="O45" i="11"/>
  <c r="AA45" i="11"/>
  <c r="AG45" i="11"/>
  <c r="AB45" i="11"/>
  <c r="AC45" i="11"/>
  <c r="AI45" i="11"/>
  <c r="I45" i="11"/>
  <c r="F45" i="11"/>
  <c r="G45" i="11"/>
  <c r="K45" i="11"/>
  <c r="Y45" i="11"/>
  <c r="T45" i="11"/>
  <c r="U45" i="11"/>
  <c r="T59" i="11" l="1"/>
  <c r="T56" i="11"/>
  <c r="T67" i="11"/>
  <c r="T82" i="11"/>
  <c r="T72" i="11"/>
  <c r="T81" i="11"/>
  <c r="T68" i="11"/>
  <c r="T75" i="11"/>
  <c r="T84" i="11"/>
  <c r="E43" i="23"/>
  <c r="T55" i="11"/>
  <c r="T61" i="11"/>
  <c r="T70" i="11"/>
  <c r="T79" i="11"/>
  <c r="T46" i="11"/>
  <c r="T58" i="11"/>
  <c r="T78" i="11"/>
  <c r="T77" i="11"/>
  <c r="T73" i="11"/>
  <c r="T74" i="11"/>
  <c r="T57" i="11"/>
  <c r="T85" i="11"/>
  <c r="T86" i="11"/>
  <c r="T80" i="11"/>
  <c r="AG29" i="23"/>
  <c r="BH91" i="23" s="1"/>
  <c r="T62" i="11"/>
  <c r="T49" i="11"/>
  <c r="T48" i="11" s="1"/>
  <c r="T87" i="11"/>
  <c r="T76" i="11"/>
  <c r="T69" i="11"/>
  <c r="T50" i="11"/>
  <c r="T60" i="11"/>
  <c r="CH12" i="23"/>
  <c r="T83" i="11"/>
  <c r="T63" i="11"/>
  <c r="T65" i="11"/>
  <c r="AK29" i="23"/>
  <c r="BH84" i="23" s="1"/>
  <c r="AL29" i="23"/>
  <c r="T94" i="11"/>
  <c r="T64" i="11"/>
  <c r="T66" i="11"/>
  <c r="AH57" i="11"/>
  <c r="AH56" i="11"/>
  <c r="AH65" i="11"/>
  <c r="AH66" i="11"/>
  <c r="AH76" i="11"/>
  <c r="AH84" i="11"/>
  <c r="AH77" i="11"/>
  <c r="AH87" i="11"/>
  <c r="AH59" i="11"/>
  <c r="AH60" i="11"/>
  <c r="AH67" i="11"/>
  <c r="AH68" i="11"/>
  <c r="AH78" i="11"/>
  <c r="AE46" i="23"/>
  <c r="BE157" i="23" s="1"/>
  <c r="AH71" i="11"/>
  <c r="AH79" i="11"/>
  <c r="AH50" i="11"/>
  <c r="AH58" i="11"/>
  <c r="AH62" i="11"/>
  <c r="AH61" i="11"/>
  <c r="AH72" i="11"/>
  <c r="AH80" i="11"/>
  <c r="AH70" i="11"/>
  <c r="AH73" i="11"/>
  <c r="AH81" i="11"/>
  <c r="K31" i="23"/>
  <c r="AH55" i="11"/>
  <c r="AH64" i="11"/>
  <c r="AH63" i="11"/>
  <c r="AH74" i="11"/>
  <c r="AH82" i="11"/>
  <c r="AH69" i="11"/>
  <c r="AH75" i="11"/>
  <c r="AH83" i="11"/>
  <c r="BF153" i="23"/>
  <c r="AH49" i="11"/>
  <c r="AM46" i="23"/>
  <c r="AM47" i="23"/>
  <c r="AG46" i="23"/>
  <c r="BH158" i="23" s="1"/>
  <c r="AH86" i="11"/>
  <c r="AH94" i="11"/>
  <c r="F73" i="11"/>
  <c r="F81" i="11"/>
  <c r="F82" i="11"/>
  <c r="F83" i="11"/>
  <c r="F56" i="11"/>
  <c r="F85" i="11"/>
  <c r="F86" i="11"/>
  <c r="F87" i="11"/>
  <c r="F60" i="11"/>
  <c r="AD15" i="23"/>
  <c r="AU26" i="23" s="1"/>
  <c r="F69" i="11"/>
  <c r="F71" i="11"/>
  <c r="F66" i="11"/>
  <c r="F68" i="11"/>
  <c r="BT12" i="23"/>
  <c r="F70" i="11"/>
  <c r="F84" i="11"/>
  <c r="C19" i="23"/>
  <c r="F65" i="11"/>
  <c r="F67" i="11"/>
  <c r="AD13" i="23"/>
  <c r="F79" i="11"/>
  <c r="F77" i="11"/>
  <c r="F72" i="11"/>
  <c r="F74" i="11"/>
  <c r="F50" i="11"/>
  <c r="F63" i="11"/>
  <c r="F61" i="11"/>
  <c r="F64" i="11"/>
  <c r="F58" i="11"/>
  <c r="F49" i="11"/>
  <c r="F48" i="11" s="1"/>
  <c r="F78" i="11"/>
  <c r="F75" i="11"/>
  <c r="F46" i="11"/>
  <c r="F80" i="11"/>
  <c r="F62" i="11"/>
  <c r="F76" i="11"/>
  <c r="AM16" i="23"/>
  <c r="AG14" i="23"/>
  <c r="AX31" i="23" s="1"/>
  <c r="AM14" i="23"/>
  <c r="AI14" i="23"/>
  <c r="AX21" i="23" s="1"/>
  <c r="F94" i="11"/>
  <c r="F55" i="11"/>
  <c r="F59" i="11"/>
  <c r="AB58" i="11"/>
  <c r="AB55" i="11"/>
  <c r="AB65" i="11"/>
  <c r="AB68" i="11"/>
  <c r="AD40" i="23"/>
  <c r="AZ157" i="23" s="1"/>
  <c r="AB75" i="11"/>
  <c r="AB74" i="11"/>
  <c r="AB84" i="11"/>
  <c r="AB46" i="11"/>
  <c r="AB61" i="11"/>
  <c r="AB67" i="11"/>
  <c r="AB70" i="11"/>
  <c r="AB77" i="11"/>
  <c r="AE39" i="23"/>
  <c r="AY147" i="23" s="1"/>
  <c r="AC46" i="11"/>
  <c r="AB56" i="11"/>
  <c r="AB62" i="11"/>
  <c r="AB76" i="11"/>
  <c r="AB59" i="11"/>
  <c r="AB63" i="11"/>
  <c r="AB69" i="11"/>
  <c r="AB82" i="11"/>
  <c r="AB71" i="11"/>
  <c r="AB83" i="11"/>
  <c r="I27" i="23"/>
  <c r="AB81" i="11"/>
  <c r="CP12" i="23"/>
  <c r="AZ155" i="23"/>
  <c r="AB57" i="11"/>
  <c r="AB60" i="11"/>
  <c r="AB64" i="11"/>
  <c r="AB66" i="11"/>
  <c r="AB86" i="11"/>
  <c r="AB73" i="11"/>
  <c r="AB87" i="11"/>
  <c r="AB72" i="11"/>
  <c r="AB80" i="11"/>
  <c r="AB85" i="11"/>
  <c r="AB50" i="11"/>
  <c r="AB49" i="11"/>
  <c r="BA145" i="23"/>
  <c r="AG39" i="23"/>
  <c r="BB152" i="23" s="1"/>
  <c r="AI39" i="23"/>
  <c r="AI38" i="23" s="1"/>
  <c r="AB78" i="11"/>
  <c r="AB94" i="11"/>
  <c r="N58" i="11"/>
  <c r="N77" i="11"/>
  <c r="N63" i="11"/>
  <c r="N78" i="11"/>
  <c r="N71" i="11"/>
  <c r="N87" i="11"/>
  <c r="N80" i="11"/>
  <c r="E15" i="23"/>
  <c r="N56" i="11"/>
  <c r="N55" i="11"/>
  <c r="N81" i="11"/>
  <c r="N66" i="11"/>
  <c r="N82" i="11"/>
  <c r="N75" i="11"/>
  <c r="N68" i="11"/>
  <c r="N84" i="11"/>
  <c r="N50" i="11"/>
  <c r="N57" i="11"/>
  <c r="N73" i="11"/>
  <c r="N74" i="11"/>
  <c r="N83" i="11"/>
  <c r="AD24" i="23"/>
  <c r="N60" i="11"/>
  <c r="N85" i="11"/>
  <c r="N86" i="11"/>
  <c r="N72" i="11"/>
  <c r="N62" i="11"/>
  <c r="N61" i="11"/>
  <c r="N67" i="11"/>
  <c r="N76" i="11"/>
  <c r="CB12" i="23"/>
  <c r="N59" i="11"/>
  <c r="N69" i="11"/>
  <c r="N70" i="11"/>
  <c r="N79" i="11"/>
  <c r="AE23" i="23"/>
  <c r="AS88" i="23" s="1"/>
  <c r="N49" i="11"/>
  <c r="N48" i="11" s="1"/>
  <c r="AG23" i="23"/>
  <c r="BA91" i="23" s="1"/>
  <c r="AI23" i="23"/>
  <c r="N64" i="11"/>
  <c r="N94" i="11"/>
  <c r="AJ56" i="11"/>
  <c r="AJ61" i="11"/>
  <c r="AJ69" i="11"/>
  <c r="AJ62" i="11"/>
  <c r="AJ77" i="11"/>
  <c r="AJ85" i="11"/>
  <c r="AJ72" i="11"/>
  <c r="AJ80" i="11"/>
  <c r="AJ70" i="11"/>
  <c r="AJ79" i="11"/>
  <c r="AJ82" i="11"/>
  <c r="AJ46" i="11"/>
  <c r="AJ59" i="11"/>
  <c r="AJ63" i="11"/>
  <c r="AJ64" i="11"/>
  <c r="AJ71" i="11"/>
  <c r="AJ74" i="11"/>
  <c r="AJ57" i="11"/>
  <c r="AJ60" i="11"/>
  <c r="AJ65" i="11"/>
  <c r="AJ66" i="11"/>
  <c r="AJ73" i="11"/>
  <c r="AJ81" i="11"/>
  <c r="AJ76" i="11"/>
  <c r="AJ50" i="11"/>
  <c r="CX12" i="23"/>
  <c r="AJ58" i="11"/>
  <c r="AJ55" i="11"/>
  <c r="AJ67" i="11"/>
  <c r="AJ68" i="11"/>
  <c r="AJ75" i="11"/>
  <c r="AG48" i="23"/>
  <c r="BJ151" i="23" s="1"/>
  <c r="AJ78" i="11"/>
  <c r="AJ86" i="11"/>
  <c r="K47" i="23"/>
  <c r="AJ49" i="11"/>
  <c r="AJ48" i="11" s="1"/>
  <c r="AJ94" i="11"/>
  <c r="BJ144" i="23"/>
  <c r="AK48" i="23"/>
  <c r="AK44" i="23" s="1"/>
  <c r="AL48" i="23"/>
  <c r="AL45" i="23" s="1"/>
  <c r="BH147" i="23" s="1"/>
  <c r="AJ83" i="11"/>
  <c r="AJ84" i="11"/>
  <c r="V58" i="11"/>
  <c r="V55" i="11"/>
  <c r="V65" i="11"/>
  <c r="V72" i="11"/>
  <c r="AF32" i="23"/>
  <c r="AU136" i="23" s="1"/>
  <c r="V81" i="11"/>
  <c r="V70" i="11"/>
  <c r="V86" i="11"/>
  <c r="V71" i="11"/>
  <c r="V87" i="11"/>
  <c r="G11" i="23"/>
  <c r="V60" i="11"/>
  <c r="V56" i="11"/>
  <c r="V67" i="11"/>
  <c r="V76" i="11"/>
  <c r="V85" i="11"/>
  <c r="V75" i="11"/>
  <c r="AE32" i="23"/>
  <c r="AS136" i="23" s="1"/>
  <c r="CJ12" i="23"/>
  <c r="V64" i="11"/>
  <c r="V68" i="11"/>
  <c r="V82" i="11"/>
  <c r="V83" i="11"/>
  <c r="V59" i="11"/>
  <c r="V61" i="11"/>
  <c r="V80" i="11"/>
  <c r="AD44" i="23"/>
  <c r="BF136" i="23" s="1"/>
  <c r="V50" i="11"/>
  <c r="V57" i="11"/>
  <c r="V63" i="11"/>
  <c r="V84" i="11"/>
  <c r="V69" i="11"/>
  <c r="V46" i="11"/>
  <c r="V62" i="11"/>
  <c r="V66" i="11"/>
  <c r="AD38" i="23"/>
  <c r="V78" i="11"/>
  <c r="V79" i="11"/>
  <c r="V49" i="11"/>
  <c r="V48" i="11" s="1"/>
  <c r="AG32" i="23"/>
  <c r="AU141" i="23" s="1"/>
  <c r="V94" i="11"/>
  <c r="AH33" i="23"/>
  <c r="AJ36" i="23"/>
  <c r="V77" i="11"/>
  <c r="V74" i="11"/>
  <c r="L66" i="11"/>
  <c r="L65" i="11"/>
  <c r="BZ12" i="23"/>
  <c r="L75" i="11"/>
  <c r="L85" i="11"/>
  <c r="L61" i="11"/>
  <c r="L84" i="11"/>
  <c r="L59" i="11"/>
  <c r="L71" i="11"/>
  <c r="L69" i="11"/>
  <c r="L82" i="11"/>
  <c r="L68" i="11"/>
  <c r="L60" i="11"/>
  <c r="L64" i="11"/>
  <c r="L79" i="11"/>
  <c r="L62" i="11"/>
  <c r="L70" i="11"/>
  <c r="L73" i="11"/>
  <c r="L46" i="11"/>
  <c r="L72" i="11"/>
  <c r="L50" i="11"/>
  <c r="L78" i="11"/>
  <c r="L49" i="11"/>
  <c r="L48" i="11" s="1"/>
  <c r="L67" i="11"/>
  <c r="L80" i="11"/>
  <c r="L83" i="11"/>
  <c r="L77" i="11"/>
  <c r="L87" i="11"/>
  <c r="AG20" i="23"/>
  <c r="BH27" i="23" s="1"/>
  <c r="L58" i="11"/>
  <c r="L86" i="11"/>
  <c r="L76" i="11"/>
  <c r="L74" i="11"/>
  <c r="L81" i="11"/>
  <c r="C47" i="23"/>
  <c r="AL20" i="23"/>
  <c r="L56" i="11"/>
  <c r="L94" i="11"/>
  <c r="AK20" i="23"/>
  <c r="BF20" i="23" s="1"/>
  <c r="L57" i="11"/>
  <c r="L55" i="11"/>
  <c r="AE50" i="11"/>
  <c r="AE65" i="11"/>
  <c r="AE64" i="11"/>
  <c r="AE81" i="11"/>
  <c r="AE66" i="11"/>
  <c r="AE78" i="11"/>
  <c r="AE57" i="11"/>
  <c r="AE77" i="11"/>
  <c r="AE62" i="11"/>
  <c r="AE74" i="11"/>
  <c r="AE49" i="11"/>
  <c r="AE48" i="11" s="1"/>
  <c r="AE67" i="11"/>
  <c r="AE86" i="11"/>
  <c r="AE60" i="11"/>
  <c r="AE72" i="11"/>
  <c r="AE46" i="11"/>
  <c r="AE70" i="11"/>
  <c r="AE85" i="11"/>
  <c r="AE87" i="11"/>
  <c r="AE58" i="11"/>
  <c r="AK42" i="23"/>
  <c r="AK38" i="23" s="1"/>
  <c r="AE68" i="11"/>
  <c r="AE80" i="11"/>
  <c r="AE56" i="11"/>
  <c r="AE71" i="11"/>
  <c r="AE83" i="11"/>
  <c r="AE73" i="11"/>
  <c r="BD144" i="23"/>
  <c r="AE84" i="11"/>
  <c r="I47" i="23"/>
  <c r="AE69" i="11"/>
  <c r="AE59" i="11"/>
  <c r="AG42" i="23"/>
  <c r="AE55" i="11"/>
  <c r="CS12" i="23"/>
  <c r="AE75" i="11"/>
  <c r="AE61" i="11"/>
  <c r="AE76" i="11"/>
  <c r="AE63" i="11"/>
  <c r="AL42" i="23"/>
  <c r="AL39" i="23" s="1"/>
  <c r="BB147" i="23" s="1"/>
  <c r="AE94" i="11"/>
  <c r="AE79" i="11"/>
  <c r="Y55" i="11"/>
  <c r="Y65" i="11"/>
  <c r="Y78" i="11"/>
  <c r="Y50" i="11"/>
  <c r="Y74" i="11"/>
  <c r="G35" i="23"/>
  <c r="Y59" i="11"/>
  <c r="Y67" i="11"/>
  <c r="Y82" i="11"/>
  <c r="Y71" i="11"/>
  <c r="Y77" i="11"/>
  <c r="Y66" i="11"/>
  <c r="Y84" i="11"/>
  <c r="Y58" i="11"/>
  <c r="Y56" i="11"/>
  <c r="Y79" i="11"/>
  <c r="AG35" i="23"/>
  <c r="AU164" i="23" s="1"/>
  <c r="Y63" i="11"/>
  <c r="Y80" i="11"/>
  <c r="CM12" i="23"/>
  <c r="Y87" i="11"/>
  <c r="Y62" i="11"/>
  <c r="Y81" i="11"/>
  <c r="Y86" i="11"/>
  <c r="Y85" i="11"/>
  <c r="Y94" i="11"/>
  <c r="Y57" i="11"/>
  <c r="Y70" i="11"/>
  <c r="Y68" i="11"/>
  <c r="Y49" i="11"/>
  <c r="Y72" i="11"/>
  <c r="Y64" i="11"/>
  <c r="Y73" i="11"/>
  <c r="Y69" i="11"/>
  <c r="Y61" i="11"/>
  <c r="Y46" i="11"/>
  <c r="Y83" i="11"/>
  <c r="Y60" i="11"/>
  <c r="AT159" i="23"/>
  <c r="AN35" i="23"/>
  <c r="AN34" i="23"/>
  <c r="Y75" i="11"/>
  <c r="I56" i="11"/>
  <c r="I64" i="11"/>
  <c r="I70" i="11"/>
  <c r="I75" i="11"/>
  <c r="I80" i="11"/>
  <c r="C35" i="23"/>
  <c r="I68" i="11"/>
  <c r="I74" i="11"/>
  <c r="I79" i="11"/>
  <c r="I72" i="11"/>
  <c r="BW12" i="23"/>
  <c r="I57" i="11"/>
  <c r="I63" i="11"/>
  <c r="I69" i="11"/>
  <c r="I76" i="11"/>
  <c r="I73" i="11"/>
  <c r="I84" i="11"/>
  <c r="I55" i="11"/>
  <c r="I86" i="11"/>
  <c r="AG17" i="23"/>
  <c r="AU44" i="23" s="1"/>
  <c r="I85" i="11"/>
  <c r="I66" i="11"/>
  <c r="I81" i="11"/>
  <c r="I78" i="11"/>
  <c r="I87" i="11"/>
  <c r="I65" i="11"/>
  <c r="I77" i="11"/>
  <c r="I62" i="11"/>
  <c r="I50" i="11"/>
  <c r="I71" i="11"/>
  <c r="I46" i="11"/>
  <c r="I83" i="11"/>
  <c r="I61" i="11"/>
  <c r="I94" i="11"/>
  <c r="I82" i="11"/>
  <c r="I59" i="11"/>
  <c r="I67" i="11"/>
  <c r="I49" i="11"/>
  <c r="AN17" i="23"/>
  <c r="AU40" i="23" s="1"/>
  <c r="AN15" i="23"/>
  <c r="I58" i="11"/>
  <c r="AG58" i="11"/>
  <c r="AG65" i="11"/>
  <c r="AG63" i="11"/>
  <c r="AG86" i="11"/>
  <c r="AG87" i="11"/>
  <c r="AG77" i="11"/>
  <c r="AD46" i="23"/>
  <c r="AG78" i="11"/>
  <c r="AG50" i="11"/>
  <c r="BF155" i="23"/>
  <c r="AG59" i="11"/>
  <c r="AG56" i="11"/>
  <c r="AG67" i="11"/>
  <c r="AG66" i="11"/>
  <c r="AG71" i="11"/>
  <c r="AG79" i="11"/>
  <c r="AG72" i="11"/>
  <c r="AG80" i="11"/>
  <c r="AE45" i="23"/>
  <c r="BE147" i="23" s="1"/>
  <c r="AG46" i="11"/>
  <c r="AG57" i="11"/>
  <c r="AG61" i="11"/>
  <c r="AG70" i="11"/>
  <c r="AG85" i="11"/>
  <c r="CU12" i="23"/>
  <c r="AG60" i="11"/>
  <c r="AG68" i="11"/>
  <c r="AG73" i="11"/>
  <c r="AG74" i="11"/>
  <c r="AH46" i="11"/>
  <c r="AG62" i="11"/>
  <c r="AG64" i="11"/>
  <c r="AG75" i="11"/>
  <c r="AG76" i="11"/>
  <c r="K27" i="23"/>
  <c r="AG55" i="11"/>
  <c r="AG69" i="11"/>
  <c r="AG81" i="11"/>
  <c r="AG82" i="11"/>
  <c r="AG49" i="11"/>
  <c r="AG48" i="11" s="1"/>
  <c r="AG45" i="23"/>
  <c r="BH152" i="23" s="1"/>
  <c r="AI45" i="23"/>
  <c r="AI44" i="23" s="1"/>
  <c r="BG145" i="23"/>
  <c r="AG83" i="11"/>
  <c r="AG94" i="11"/>
  <c r="P56" i="11"/>
  <c r="P61" i="11"/>
  <c r="P71" i="11"/>
  <c r="P87" i="11"/>
  <c r="P76" i="11"/>
  <c r="P85" i="11"/>
  <c r="P82" i="11"/>
  <c r="AD33" i="23"/>
  <c r="E27" i="23"/>
  <c r="P55" i="11"/>
  <c r="P63" i="11"/>
  <c r="P75" i="11"/>
  <c r="P66" i="11"/>
  <c r="P80" i="11"/>
  <c r="P73" i="11"/>
  <c r="P70" i="11"/>
  <c r="P86" i="11"/>
  <c r="AE25" i="23"/>
  <c r="AS90" i="23" s="1"/>
  <c r="P50" i="11"/>
  <c r="P58" i="11"/>
  <c r="P59" i="11"/>
  <c r="P65" i="11"/>
  <c r="P83" i="11"/>
  <c r="P72" i="11"/>
  <c r="P81" i="11"/>
  <c r="P78" i="11"/>
  <c r="CD12" i="23"/>
  <c r="P79" i="11"/>
  <c r="P74" i="11"/>
  <c r="P57" i="11"/>
  <c r="P68" i="11"/>
  <c r="P60" i="11"/>
  <c r="P84" i="11"/>
  <c r="P62" i="11"/>
  <c r="P77" i="11"/>
  <c r="P46" i="11"/>
  <c r="P49" i="11"/>
  <c r="P48" i="11" s="1"/>
  <c r="AM27" i="23"/>
  <c r="AI25" i="23"/>
  <c r="AU85" i="23" s="1"/>
  <c r="AM25" i="23"/>
  <c r="AG25" i="23"/>
  <c r="AU97" i="23" s="1"/>
  <c r="P69" i="11"/>
  <c r="P94" i="11"/>
  <c r="P64" i="11"/>
  <c r="H68" i="11"/>
  <c r="H58" i="11"/>
  <c r="H75" i="11"/>
  <c r="H66" i="11"/>
  <c r="H85" i="11"/>
  <c r="H78" i="11"/>
  <c r="H69" i="11"/>
  <c r="H87" i="11"/>
  <c r="H94" i="11"/>
  <c r="BV12" i="23"/>
  <c r="H72" i="11"/>
  <c r="H55" i="11"/>
  <c r="H80" i="11"/>
  <c r="H71" i="11"/>
  <c r="H62" i="11"/>
  <c r="H82" i="11"/>
  <c r="H74" i="11"/>
  <c r="H64" i="11"/>
  <c r="H56" i="11"/>
  <c r="H70" i="11"/>
  <c r="H61" i="11"/>
  <c r="H81" i="11"/>
  <c r="H60" i="11"/>
  <c r="H77" i="11"/>
  <c r="H63" i="11"/>
  <c r="C23" i="23"/>
  <c r="H76" i="11"/>
  <c r="H67" i="11"/>
  <c r="H79" i="11"/>
  <c r="AG16" i="23"/>
  <c r="AX35" i="23" s="1"/>
  <c r="H65" i="11"/>
  <c r="H73" i="11"/>
  <c r="H83" i="11"/>
  <c r="H46" i="11"/>
  <c r="H84" i="11"/>
  <c r="H86" i="11"/>
  <c r="H50" i="11"/>
  <c r="H49" i="11"/>
  <c r="H48" i="11" s="1"/>
  <c r="AN16" i="23"/>
  <c r="AY32" i="23" s="1"/>
  <c r="AN14" i="23"/>
  <c r="H57" i="11"/>
  <c r="X56" i="11"/>
  <c r="X61" i="11"/>
  <c r="X67" i="11"/>
  <c r="X70" i="11"/>
  <c r="X86" i="11"/>
  <c r="X73" i="11"/>
  <c r="X80" i="11"/>
  <c r="X81" i="11"/>
  <c r="G31" i="23"/>
  <c r="X55" i="11"/>
  <c r="X63" i="11"/>
  <c r="X69" i="11"/>
  <c r="X64" i="11"/>
  <c r="AE34" i="23"/>
  <c r="AS157" i="23" s="1"/>
  <c r="X79" i="11"/>
  <c r="X72" i="11"/>
  <c r="X84" i="11"/>
  <c r="X85" i="11"/>
  <c r="AT153" i="23"/>
  <c r="X58" i="11"/>
  <c r="X59" i="11"/>
  <c r="X65" i="11"/>
  <c r="X68" i="11"/>
  <c r="X82" i="11"/>
  <c r="X71" i="11"/>
  <c r="X87" i="11"/>
  <c r="X77" i="11"/>
  <c r="X50" i="11"/>
  <c r="X60" i="11"/>
  <c r="X62" i="11"/>
  <c r="X83" i="11"/>
  <c r="X66" i="11"/>
  <c r="X74" i="11"/>
  <c r="X57" i="11"/>
  <c r="X78" i="11"/>
  <c r="X49" i="11"/>
  <c r="AG34" i="23"/>
  <c r="AV158" i="23" s="1"/>
  <c r="AM34" i="23"/>
  <c r="AM35" i="23"/>
  <c r="X94" i="11"/>
  <c r="X76" i="11"/>
  <c r="Q56" i="11"/>
  <c r="Q50" i="11"/>
  <c r="Q83" i="11"/>
  <c r="Q82" i="11"/>
  <c r="Q57" i="11"/>
  <c r="Q61" i="11"/>
  <c r="Q69" i="11"/>
  <c r="Q86" i="11"/>
  <c r="Q74" i="11"/>
  <c r="Q63" i="11"/>
  <c r="Q76" i="11"/>
  <c r="Q79" i="11"/>
  <c r="Q78" i="11"/>
  <c r="CE12" i="23"/>
  <c r="Q67" i="11"/>
  <c r="Q77" i="11"/>
  <c r="Q71" i="11"/>
  <c r="Q70" i="11"/>
  <c r="Q46" i="11"/>
  <c r="Q62" i="11"/>
  <c r="Q75" i="11"/>
  <c r="Q58" i="11"/>
  <c r="Q49" i="11"/>
  <c r="Q48" i="11" s="1"/>
  <c r="Q81" i="11"/>
  <c r="Q65" i="11"/>
  <c r="Q94" i="11"/>
  <c r="Q55" i="11"/>
  <c r="Q84" i="11"/>
  <c r="Q87" i="11"/>
  <c r="Q73" i="11"/>
  <c r="Q59" i="11"/>
  <c r="Q80" i="11"/>
  <c r="Q60" i="11"/>
  <c r="Q64" i="11"/>
  <c r="E23" i="23"/>
  <c r="Q72" i="11"/>
  <c r="AG26" i="23"/>
  <c r="AX99" i="23" s="1"/>
  <c r="Q85" i="11"/>
  <c r="AN24" i="23"/>
  <c r="AN26" i="23"/>
  <c r="AY96" i="23" s="1"/>
  <c r="Q66" i="11"/>
  <c r="AD62" i="11"/>
  <c r="AD65" i="11"/>
  <c r="AD56" i="11"/>
  <c r="AD84" i="11"/>
  <c r="AD87" i="11"/>
  <c r="AD61" i="11"/>
  <c r="AD82" i="11"/>
  <c r="CR12" i="23"/>
  <c r="AD58" i="11"/>
  <c r="I35" i="23"/>
  <c r="AD72" i="11"/>
  <c r="AD73" i="11"/>
  <c r="AD55" i="11"/>
  <c r="AG41" i="23"/>
  <c r="BA164" i="23" s="1"/>
  <c r="AD49" i="11"/>
  <c r="AD66" i="11"/>
  <c r="AD70" i="11"/>
  <c r="AD79" i="11"/>
  <c r="AD71" i="11"/>
  <c r="AD86" i="11"/>
  <c r="AD59" i="11"/>
  <c r="AD78" i="11"/>
  <c r="AD68" i="11"/>
  <c r="AD63" i="11"/>
  <c r="AD83" i="11"/>
  <c r="AD67" i="11"/>
  <c r="AD69" i="11"/>
  <c r="AD76" i="11"/>
  <c r="AD77" i="11"/>
  <c r="AD94" i="11"/>
  <c r="AD64" i="11"/>
  <c r="AD46" i="11"/>
  <c r="AD74" i="11"/>
  <c r="AD75" i="11"/>
  <c r="AD60" i="11"/>
  <c r="AD85" i="11"/>
  <c r="AD50" i="11"/>
  <c r="AD57" i="11"/>
  <c r="AZ159" i="23"/>
  <c r="AN41" i="23"/>
  <c r="AN40" i="23"/>
  <c r="AD80" i="11"/>
  <c r="K58" i="11"/>
  <c r="K60" i="11"/>
  <c r="K74" i="11"/>
  <c r="K63" i="11"/>
  <c r="K50" i="11"/>
  <c r="K68" i="11"/>
  <c r="K73" i="11"/>
  <c r="K75" i="11"/>
  <c r="K87" i="11"/>
  <c r="K46" i="11"/>
  <c r="K59" i="11"/>
  <c r="K84" i="11"/>
  <c r="K66" i="11"/>
  <c r="K86" i="11"/>
  <c r="K77" i="11"/>
  <c r="K83" i="11"/>
  <c r="K72" i="11"/>
  <c r="K79" i="11"/>
  <c r="K69" i="11"/>
  <c r="BY12" i="23"/>
  <c r="K82" i="11"/>
  <c r="K61" i="11"/>
  <c r="K49" i="11"/>
  <c r="K78" i="11"/>
  <c r="K80" i="11"/>
  <c r="AG19" i="23"/>
  <c r="BF27" i="23" s="1"/>
  <c r="K81" i="11"/>
  <c r="C43" i="23"/>
  <c r="K67" i="11"/>
  <c r="K64" i="11"/>
  <c r="K71" i="11"/>
  <c r="K65" i="11"/>
  <c r="K85" i="11"/>
  <c r="K70" i="11"/>
  <c r="K76" i="11"/>
  <c r="AK19" i="23"/>
  <c r="BH20" i="23" s="1"/>
  <c r="K55" i="11"/>
  <c r="AL19" i="23"/>
  <c r="K94" i="11"/>
  <c r="K56" i="11"/>
  <c r="K57" i="11"/>
  <c r="AI56" i="11"/>
  <c r="AI58" i="11"/>
  <c r="AI66" i="11"/>
  <c r="AI77" i="11"/>
  <c r="AI76" i="11"/>
  <c r="AI87" i="11"/>
  <c r="AI57" i="11"/>
  <c r="AI68" i="11"/>
  <c r="AI79" i="11"/>
  <c r="AI78" i="11"/>
  <c r="AI60" i="11"/>
  <c r="AI71" i="11"/>
  <c r="AI50" i="11"/>
  <c r="AI67" i="11"/>
  <c r="AI84" i="11"/>
  <c r="AI59" i="11"/>
  <c r="AI46" i="11"/>
  <c r="K35" i="23"/>
  <c r="AI83" i="11"/>
  <c r="AI63" i="11"/>
  <c r="AI80" i="11"/>
  <c r="AI70" i="11"/>
  <c r="AI94" i="11"/>
  <c r="AI75" i="11"/>
  <c r="AI55" i="11"/>
  <c r="CW12" i="23"/>
  <c r="AI72" i="11"/>
  <c r="AI62" i="11"/>
  <c r="AI49" i="11"/>
  <c r="AI48" i="11" s="1"/>
  <c r="AI82" i="11"/>
  <c r="AI65" i="11"/>
  <c r="AG47" i="23"/>
  <c r="BG164" i="23" s="1"/>
  <c r="AI81" i="11"/>
  <c r="AI61" i="11"/>
  <c r="AI74" i="11"/>
  <c r="AI64" i="11"/>
  <c r="AI69" i="11"/>
  <c r="AI73" i="11"/>
  <c r="AN46" i="23"/>
  <c r="AN47" i="23"/>
  <c r="BF159" i="23"/>
  <c r="AI85" i="11"/>
  <c r="AA56" i="11"/>
  <c r="AA63" i="11"/>
  <c r="AA62" i="11"/>
  <c r="AA70" i="11"/>
  <c r="AA73" i="11"/>
  <c r="AA84" i="11"/>
  <c r="AA76" i="11"/>
  <c r="AA69" i="11"/>
  <c r="AF38" i="23"/>
  <c r="BA136" i="23" s="1"/>
  <c r="AA87" i="11"/>
  <c r="AA50" i="11"/>
  <c r="AA55" i="11"/>
  <c r="AA58" i="11"/>
  <c r="AA64" i="11"/>
  <c r="AA65" i="11"/>
  <c r="AA75" i="11"/>
  <c r="AA81" i="11"/>
  <c r="AA46" i="11"/>
  <c r="AA61" i="11"/>
  <c r="AA60" i="11"/>
  <c r="AA68" i="11"/>
  <c r="AA71" i="11"/>
  <c r="AA80" i="11"/>
  <c r="AA74" i="11"/>
  <c r="AE38" i="23"/>
  <c r="AY136" i="23" s="1"/>
  <c r="AA83" i="11"/>
  <c r="CO12" i="23"/>
  <c r="AA57" i="11"/>
  <c r="AA77" i="11"/>
  <c r="AA59" i="11"/>
  <c r="AA72" i="11"/>
  <c r="I11" i="23"/>
  <c r="AA66" i="11"/>
  <c r="AA85" i="11"/>
  <c r="AA67" i="11"/>
  <c r="AA86" i="11"/>
  <c r="AA49" i="11"/>
  <c r="AA48" i="11" s="1"/>
  <c r="AG38" i="23"/>
  <c r="BA141" i="23" s="1"/>
  <c r="AA94" i="11"/>
  <c r="AJ42" i="23"/>
  <c r="AH39" i="23"/>
  <c r="AA82" i="11"/>
  <c r="AA79" i="11"/>
  <c r="J59" i="11"/>
  <c r="J60" i="11"/>
  <c r="J76" i="11"/>
  <c r="J65" i="11"/>
  <c r="J81" i="11"/>
  <c r="J78" i="11"/>
  <c r="J79" i="11"/>
  <c r="J82" i="11"/>
  <c r="AG18" i="23"/>
  <c r="BD27" i="23" s="1"/>
  <c r="J64" i="11"/>
  <c r="J80" i="11"/>
  <c r="J69" i="11"/>
  <c r="J85" i="11"/>
  <c r="J86" i="11"/>
  <c r="J87" i="11"/>
  <c r="J67" i="11"/>
  <c r="J46" i="11"/>
  <c r="J68" i="11"/>
  <c r="J84" i="11"/>
  <c r="J72" i="11"/>
  <c r="J58" i="11"/>
  <c r="J77" i="11"/>
  <c r="J70" i="11"/>
  <c r="J71" i="11"/>
  <c r="J74" i="11"/>
  <c r="J83" i="11"/>
  <c r="BX12" i="23"/>
  <c r="J73" i="11"/>
  <c r="J75" i="11"/>
  <c r="J62" i="11"/>
  <c r="J50" i="11"/>
  <c r="J63" i="11"/>
  <c r="C39" i="23"/>
  <c r="J66" i="11"/>
  <c r="J49" i="11"/>
  <c r="AL18" i="23"/>
  <c r="AL14" i="23" s="1"/>
  <c r="AY23" i="23" s="1"/>
  <c r="J56" i="11"/>
  <c r="AK18" i="23"/>
  <c r="J94" i="11"/>
  <c r="J57" i="11"/>
  <c r="J55" i="11"/>
  <c r="R59" i="11"/>
  <c r="R56" i="11"/>
  <c r="R73" i="11"/>
  <c r="R70" i="11"/>
  <c r="R86" i="11"/>
  <c r="R63" i="11"/>
  <c r="R80" i="11"/>
  <c r="R94" i="11"/>
  <c r="R84" i="11"/>
  <c r="AG27" i="23"/>
  <c r="AU108" i="23" s="1"/>
  <c r="R57" i="11"/>
  <c r="R60" i="11"/>
  <c r="R77" i="11"/>
  <c r="R74" i="11"/>
  <c r="R65" i="11"/>
  <c r="R66" i="11"/>
  <c r="R71" i="11"/>
  <c r="E35" i="23"/>
  <c r="R58" i="11"/>
  <c r="R62" i="11"/>
  <c r="R81" i="11"/>
  <c r="R78" i="11"/>
  <c r="R68" i="11"/>
  <c r="R75" i="11"/>
  <c r="R50" i="11"/>
  <c r="R79" i="11"/>
  <c r="R46" i="11"/>
  <c r="R55" i="11"/>
  <c r="R64" i="11"/>
  <c r="R85" i="11"/>
  <c r="R82" i="11"/>
  <c r="R61" i="11"/>
  <c r="R72" i="11"/>
  <c r="R83" i="11"/>
  <c r="R76" i="11"/>
  <c r="R87" i="11"/>
  <c r="CF12" i="23"/>
  <c r="R49" i="11"/>
  <c r="AN27" i="23"/>
  <c r="AU104" i="23" s="1"/>
  <c r="AN25" i="23"/>
  <c r="R67" i="11"/>
  <c r="AF55" i="11"/>
  <c r="AF63" i="11"/>
  <c r="AF50" i="11"/>
  <c r="AF57" i="11"/>
  <c r="AF86" i="11"/>
  <c r="AF82" i="11"/>
  <c r="AF59" i="11"/>
  <c r="AF75" i="11"/>
  <c r="AE44" i="23"/>
  <c r="BE136" i="23" s="1"/>
  <c r="AF67" i="11"/>
  <c r="CT12" i="23"/>
  <c r="AF69" i="11"/>
  <c r="AF60" i="11"/>
  <c r="AF73" i="11"/>
  <c r="AF65" i="11"/>
  <c r="AF46" i="11"/>
  <c r="AF64" i="11"/>
  <c r="AF78" i="11"/>
  <c r="AF85" i="11"/>
  <c r="AF62" i="11"/>
  <c r="AF81" i="11"/>
  <c r="AF49" i="11"/>
  <c r="AF48" i="11" s="1"/>
  <c r="AF68" i="11"/>
  <c r="AF56" i="11"/>
  <c r="AF80" i="11"/>
  <c r="AF72" i="11"/>
  <c r="AF66" i="11"/>
  <c r="AF44" i="23"/>
  <c r="BG136" i="23" s="1"/>
  <c r="AF61" i="11"/>
  <c r="K11" i="23"/>
  <c r="AF70" i="11"/>
  <c r="AF76" i="11"/>
  <c r="AF79" i="11"/>
  <c r="AF71" i="11"/>
  <c r="AF74" i="11"/>
  <c r="AF58" i="11"/>
  <c r="AF77" i="11"/>
  <c r="AG44" i="23"/>
  <c r="BG141" i="23" s="1"/>
  <c r="AF94" i="11"/>
  <c r="AJ48" i="23"/>
  <c r="AH45" i="23"/>
  <c r="AF87" i="11"/>
  <c r="AF84" i="11"/>
  <c r="S64" i="11"/>
  <c r="AG28" i="23"/>
  <c r="BD91" i="23" s="1"/>
  <c r="S67" i="11"/>
  <c r="S86" i="11"/>
  <c r="S60" i="11"/>
  <c r="S85" i="11"/>
  <c r="S46" i="11"/>
  <c r="S73" i="11"/>
  <c r="S78" i="11"/>
  <c r="CG12" i="23"/>
  <c r="S79" i="11"/>
  <c r="S63" i="11"/>
  <c r="S59" i="11"/>
  <c r="S84" i="11"/>
  <c r="S83" i="11"/>
  <c r="S68" i="11"/>
  <c r="S74" i="11"/>
  <c r="S56" i="11"/>
  <c r="S76" i="11"/>
  <c r="S75" i="11"/>
  <c r="S77" i="11"/>
  <c r="S80" i="11"/>
  <c r="S81" i="11"/>
  <c r="E39" i="23"/>
  <c r="S71" i="11"/>
  <c r="S57" i="11"/>
  <c r="S72" i="11"/>
  <c r="S50" i="11"/>
  <c r="S61" i="11"/>
  <c r="S55" i="11"/>
  <c r="S69" i="11"/>
  <c r="S58" i="11"/>
  <c r="S87" i="11"/>
  <c r="S62" i="11"/>
  <c r="S82" i="11"/>
  <c r="S49" i="11"/>
  <c r="S94" i="11"/>
  <c r="S65" i="11"/>
  <c r="AK28" i="23"/>
  <c r="AL28" i="23"/>
  <c r="S66" i="11"/>
  <c r="U59" i="11"/>
  <c r="U61" i="11"/>
  <c r="U62" i="11"/>
  <c r="U79" i="11"/>
  <c r="U46" i="11"/>
  <c r="U63" i="11"/>
  <c r="U74" i="11"/>
  <c r="U73" i="11"/>
  <c r="CI12" i="23"/>
  <c r="U67" i="11"/>
  <c r="U86" i="11"/>
  <c r="U85" i="11"/>
  <c r="U83" i="11"/>
  <c r="U57" i="11"/>
  <c r="U71" i="11"/>
  <c r="U58" i="11"/>
  <c r="U69" i="11"/>
  <c r="U76" i="11"/>
  <c r="U50" i="11"/>
  <c r="U80" i="11"/>
  <c r="U49" i="11"/>
  <c r="U48" i="11" s="1"/>
  <c r="E47" i="23"/>
  <c r="U75" i="11"/>
  <c r="U60" i="11"/>
  <c r="U87" i="11"/>
  <c r="U81" i="11"/>
  <c r="U82" i="11"/>
  <c r="U55" i="11"/>
  <c r="AG30" i="23"/>
  <c r="BF91" i="23" s="1"/>
  <c r="U70" i="11"/>
  <c r="U56" i="11"/>
  <c r="U84" i="11"/>
  <c r="U68" i="11"/>
  <c r="U77" i="11"/>
  <c r="U78" i="11"/>
  <c r="U94" i="11"/>
  <c r="AL30" i="23"/>
  <c r="AK30" i="23"/>
  <c r="BF84" i="23" s="1"/>
  <c r="U65" i="11"/>
  <c r="U66" i="11"/>
  <c r="U64" i="11"/>
  <c r="G66" i="11"/>
  <c r="G56" i="11"/>
  <c r="G87" i="11"/>
  <c r="G69" i="11"/>
  <c r="AE15" i="23"/>
  <c r="AS26" i="23" s="1"/>
  <c r="BU12" i="23"/>
  <c r="G62" i="11"/>
  <c r="G59" i="11"/>
  <c r="G85" i="11"/>
  <c r="C27" i="23"/>
  <c r="G74" i="11"/>
  <c r="G71" i="11"/>
  <c r="G72" i="11"/>
  <c r="G77" i="11"/>
  <c r="G78" i="11"/>
  <c r="G75" i="11"/>
  <c r="G76" i="11"/>
  <c r="G57" i="11"/>
  <c r="G61" i="11"/>
  <c r="G67" i="11"/>
  <c r="G50" i="11"/>
  <c r="G80" i="11"/>
  <c r="G82" i="11"/>
  <c r="G49" i="11"/>
  <c r="G46" i="11"/>
  <c r="G84" i="11"/>
  <c r="G86" i="11"/>
  <c r="G64" i="11"/>
  <c r="G68" i="11"/>
  <c r="G70" i="11"/>
  <c r="G65" i="11"/>
  <c r="G79" i="11"/>
  <c r="G81" i="11"/>
  <c r="G83" i="11"/>
  <c r="G73" i="11"/>
  <c r="G63" i="11"/>
  <c r="AM15" i="23"/>
  <c r="AM17" i="23"/>
  <c r="AI15" i="23"/>
  <c r="AU21" i="23" s="1"/>
  <c r="AG15" i="23"/>
  <c r="AU33" i="23" s="1"/>
  <c r="G94" i="11"/>
  <c r="G60" i="11"/>
  <c r="G55" i="11"/>
  <c r="AC57" i="11"/>
  <c r="AC61" i="11"/>
  <c r="AC67" i="11"/>
  <c r="AC62" i="11"/>
  <c r="AC71" i="11"/>
  <c r="AC79" i="11"/>
  <c r="I31" i="23"/>
  <c r="AC78" i="11"/>
  <c r="AC50" i="11"/>
  <c r="AC58" i="11"/>
  <c r="AC63" i="11"/>
  <c r="AC69" i="11"/>
  <c r="AC82" i="11"/>
  <c r="AC83" i="11"/>
  <c r="AC73" i="11"/>
  <c r="AC84" i="11"/>
  <c r="AC72" i="11"/>
  <c r="AZ153" i="23"/>
  <c r="AC59" i="11"/>
  <c r="AC56" i="11"/>
  <c r="AC66" i="11"/>
  <c r="AC86" i="11"/>
  <c r="AC87" i="11"/>
  <c r="AC74" i="11"/>
  <c r="AC85" i="11"/>
  <c r="AE40" i="23"/>
  <c r="AY157" i="23" s="1"/>
  <c r="AC64" i="11"/>
  <c r="AC75" i="11"/>
  <c r="AC55" i="11"/>
  <c r="AC60" i="11"/>
  <c r="AC65" i="11"/>
  <c r="AC68" i="11"/>
  <c r="AC70" i="11"/>
  <c r="AC77" i="11"/>
  <c r="AC76" i="11"/>
  <c r="AC49" i="11"/>
  <c r="AC48" i="11" s="1"/>
  <c r="AM40" i="23"/>
  <c r="AM41" i="23"/>
  <c r="AG40" i="23"/>
  <c r="BB158" i="23" s="1"/>
  <c r="AC94" i="11"/>
  <c r="AC81" i="11"/>
  <c r="O55" i="11"/>
  <c r="O63" i="11"/>
  <c r="O69" i="11"/>
  <c r="O85" i="11"/>
  <c r="O82" i="11"/>
  <c r="O75" i="11"/>
  <c r="O65" i="11"/>
  <c r="O80" i="11"/>
  <c r="O59" i="11"/>
  <c r="O60" i="11"/>
  <c r="O73" i="11"/>
  <c r="O70" i="11"/>
  <c r="O86" i="11"/>
  <c r="O79" i="11"/>
  <c r="O61" i="11"/>
  <c r="O81" i="11"/>
  <c r="O71" i="11"/>
  <c r="O76" i="11"/>
  <c r="AE24" i="23"/>
  <c r="AS89" i="23" s="1"/>
  <c r="O62" i="11"/>
  <c r="O74" i="11"/>
  <c r="O83" i="11"/>
  <c r="O84" i="11"/>
  <c r="E19" i="23"/>
  <c r="O56" i="11"/>
  <c r="O78" i="11"/>
  <c r="O87" i="11"/>
  <c r="O50" i="11"/>
  <c r="O46" i="11"/>
  <c r="O57" i="11"/>
  <c r="O77" i="11"/>
  <c r="O67" i="11"/>
  <c r="O72" i="11"/>
  <c r="AD23" i="23"/>
  <c r="CC12" i="23"/>
  <c r="O49" i="11"/>
  <c r="O48" i="11" s="1"/>
  <c r="AG24" i="23"/>
  <c r="AX95" i="23" s="1"/>
  <c r="AI24" i="23"/>
  <c r="AM24" i="23"/>
  <c r="O64" i="11"/>
  <c r="O94" i="11"/>
  <c r="AM26" i="23"/>
  <c r="O68" i="11"/>
  <c r="D79" i="11"/>
  <c r="D60" i="11"/>
  <c r="D76" i="11"/>
  <c r="D77" i="11"/>
  <c r="D78" i="11"/>
  <c r="D86" i="11"/>
  <c r="D50" i="11"/>
  <c r="D83" i="11"/>
  <c r="D64" i="11"/>
  <c r="D80" i="11"/>
  <c r="D65" i="11"/>
  <c r="D81" i="11"/>
  <c r="D66" i="11"/>
  <c r="D46" i="11"/>
  <c r="D67" i="11"/>
  <c r="D74" i="11"/>
  <c r="D71" i="11"/>
  <c r="D87" i="11"/>
  <c r="D68" i="11"/>
  <c r="D84" i="11"/>
  <c r="D69" i="11"/>
  <c r="D85" i="11"/>
  <c r="D82" i="11"/>
  <c r="AD22" i="23"/>
  <c r="AS73" i="23" s="1"/>
  <c r="D59" i="11"/>
  <c r="D75" i="11"/>
  <c r="D72" i="11"/>
  <c r="D73" i="11"/>
  <c r="D70" i="11"/>
  <c r="AE12" i="23"/>
  <c r="AU10" i="23" s="1"/>
  <c r="AF12" i="23"/>
  <c r="C11" i="23"/>
  <c r="BR12" i="23"/>
  <c r="C45" i="11"/>
  <c r="D49" i="11"/>
  <c r="AG12" i="23"/>
  <c r="D94" i="11"/>
  <c r="AH14" i="23"/>
  <c r="AX23" i="23" s="1"/>
  <c r="AJ19" i="23"/>
  <c r="AJ18" i="23"/>
  <c r="AH15" i="23"/>
  <c r="AU23" i="23" s="1"/>
  <c r="AJ20" i="23"/>
  <c r="BF22" i="23" s="1"/>
  <c r="AH13" i="23"/>
  <c r="D57" i="11"/>
  <c r="D58" i="11"/>
  <c r="D56" i="11"/>
  <c r="D61" i="11"/>
  <c r="D62" i="11"/>
  <c r="D63" i="11"/>
  <c r="W56" i="11"/>
  <c r="W61" i="11"/>
  <c r="W62" i="11"/>
  <c r="W70" i="11"/>
  <c r="W71" i="11"/>
  <c r="W84" i="11"/>
  <c r="W72" i="11"/>
  <c r="W78" i="11"/>
  <c r="AD34" i="23"/>
  <c r="W83" i="11"/>
  <c r="G27" i="23"/>
  <c r="W46" i="11"/>
  <c r="W55" i="11"/>
  <c r="W63" i="11"/>
  <c r="W64" i="11"/>
  <c r="W65" i="11"/>
  <c r="AD25" i="23"/>
  <c r="W77" i="11"/>
  <c r="W82" i="11"/>
  <c r="AD39" i="23"/>
  <c r="W87" i="11"/>
  <c r="X46" i="11"/>
  <c r="W58" i="11"/>
  <c r="W68" i="11"/>
  <c r="W80" i="11"/>
  <c r="W85" i="11"/>
  <c r="W79" i="11"/>
  <c r="W50" i="11"/>
  <c r="W57" i="11"/>
  <c r="W67" i="11"/>
  <c r="W86" i="11"/>
  <c r="CK12" i="23"/>
  <c r="W60" i="11"/>
  <c r="W69" i="11"/>
  <c r="AD45" i="23"/>
  <c r="BF147" i="23" s="1"/>
  <c r="AE33" i="23"/>
  <c r="AS147" i="23" s="1"/>
  <c r="W59" i="11"/>
  <c r="W66" i="11"/>
  <c r="W76" i="11"/>
  <c r="W81" i="11"/>
  <c r="W75" i="11"/>
  <c r="AT155" i="23"/>
  <c r="W49" i="11"/>
  <c r="AI33" i="23"/>
  <c r="AI32" i="23" s="1"/>
  <c r="AG33" i="23"/>
  <c r="AV152" i="23" s="1"/>
  <c r="AU145" i="23"/>
  <c r="W94" i="11"/>
  <c r="W73" i="11"/>
  <c r="M81" i="11"/>
  <c r="AE22" i="23"/>
  <c r="AU74" i="23" s="1"/>
  <c r="M86" i="11"/>
  <c r="M59" i="11"/>
  <c r="M77" i="11"/>
  <c r="M60" i="11"/>
  <c r="M46" i="11"/>
  <c r="M49" i="11"/>
  <c r="M48" i="11" s="1"/>
  <c r="M78" i="11"/>
  <c r="M87" i="11"/>
  <c r="M69" i="11"/>
  <c r="M57" i="11"/>
  <c r="M63" i="11"/>
  <c r="M79" i="11"/>
  <c r="M58" i="11"/>
  <c r="AD12" i="23"/>
  <c r="AS9" i="23" s="1"/>
  <c r="M84" i="11"/>
  <c r="AF22" i="23"/>
  <c r="AZ72" i="23" s="1"/>
  <c r="AD32" i="23"/>
  <c r="M62" i="11"/>
  <c r="CA12" i="23"/>
  <c r="M76" i="11"/>
  <c r="M68" i="11"/>
  <c r="M73" i="11"/>
  <c r="M56" i="11"/>
  <c r="E11" i="23"/>
  <c r="M74" i="11"/>
  <c r="M83" i="11"/>
  <c r="M80" i="11"/>
  <c r="M85" i="11"/>
  <c r="M61" i="11"/>
  <c r="M55" i="11"/>
  <c r="M50" i="11"/>
  <c r="M82" i="11"/>
  <c r="M75" i="11"/>
  <c r="AG22" i="23"/>
  <c r="AX72" i="23" s="1"/>
  <c r="M94" i="11"/>
  <c r="AJ30" i="23"/>
  <c r="BF86" i="23" s="1"/>
  <c r="AJ28" i="23"/>
  <c r="AH24" i="23"/>
  <c r="AX87" i="23" s="1"/>
  <c r="AJ29" i="23"/>
  <c r="BH86" i="23" s="1"/>
  <c r="AH25" i="23"/>
  <c r="AU87" i="23" s="1"/>
  <c r="AH23" i="23"/>
  <c r="M67" i="11"/>
  <c r="M65" i="11"/>
  <c r="M70" i="11"/>
  <c r="M72" i="11"/>
  <c r="M71" i="11"/>
  <c r="M66" i="11"/>
  <c r="Z61" i="11"/>
  <c r="Z63" i="11"/>
  <c r="Z78" i="11"/>
  <c r="Z59" i="11"/>
  <c r="Z75" i="11"/>
  <c r="Z60" i="11"/>
  <c r="Z81" i="11"/>
  <c r="AX144" i="23"/>
  <c r="Z62" i="11"/>
  <c r="Z80" i="11"/>
  <c r="Z70" i="11"/>
  <c r="Z72" i="11"/>
  <c r="Z73" i="11"/>
  <c r="Z55" i="11"/>
  <c r="Z69" i="11"/>
  <c r="Z50" i="11"/>
  <c r="Z67" i="11"/>
  <c r="CN12" i="23"/>
  <c r="Z58" i="11"/>
  <c r="Z68" i="11"/>
  <c r="Z46" i="11"/>
  <c r="Z49" i="11"/>
  <c r="Z48" i="11" s="1"/>
  <c r="Z83" i="11"/>
  <c r="Z71" i="11"/>
  <c r="AG36" i="23"/>
  <c r="AX151" i="23" s="1"/>
  <c r="Z56" i="11"/>
  <c r="Z84" i="11"/>
  <c r="Z87" i="11"/>
  <c r="Z65" i="11"/>
  <c r="AK36" i="23"/>
  <c r="AK32" i="23" s="1"/>
  <c r="G47" i="23"/>
  <c r="Z86" i="11"/>
  <c r="Z64" i="11"/>
  <c r="Z66" i="11"/>
  <c r="Z82" i="11"/>
  <c r="Z57" i="11"/>
  <c r="Z76" i="11"/>
  <c r="Z79" i="11"/>
  <c r="Z85" i="11"/>
  <c r="Z94" i="11"/>
  <c r="AL36" i="23"/>
  <c r="AL33" i="23" s="1"/>
  <c r="AV147" i="23" s="1"/>
  <c r="Z74" i="11"/>
  <c r="E67" i="11"/>
  <c r="E83" i="11"/>
  <c r="E64" i="11"/>
  <c r="E80" i="11"/>
  <c r="E65" i="11"/>
  <c r="E81" i="11"/>
  <c r="E66" i="11"/>
  <c r="E58" i="11"/>
  <c r="E71" i="11"/>
  <c r="E87" i="11"/>
  <c r="E68" i="11"/>
  <c r="E84" i="11"/>
  <c r="E69" i="11"/>
  <c r="E85" i="11"/>
  <c r="E82" i="11"/>
  <c r="E74" i="11"/>
  <c r="AE13" i="23"/>
  <c r="AS24" i="23" s="1"/>
  <c r="E57" i="11"/>
  <c r="E62" i="11"/>
  <c r="E50" i="11"/>
  <c r="E75" i="11"/>
  <c r="E70" i="11"/>
  <c r="E59" i="11"/>
  <c r="E72" i="11"/>
  <c r="E73" i="11"/>
  <c r="E63" i="11"/>
  <c r="E79" i="11"/>
  <c r="E60" i="11"/>
  <c r="E76" i="11"/>
  <c r="E61" i="11"/>
  <c r="E77" i="11"/>
  <c r="E78" i="11"/>
  <c r="E86" i="11"/>
  <c r="C15" i="23"/>
  <c r="E49" i="11"/>
  <c r="E48" i="11" s="1"/>
  <c r="AG13" i="23"/>
  <c r="BA27" i="23" s="1"/>
  <c r="AI13" i="23"/>
  <c r="E55" i="11"/>
  <c r="E94" i="11"/>
  <c r="W48" i="11" l="1"/>
  <c r="V73" i="11"/>
  <c r="V92" i="11" s="1"/>
  <c r="X48" i="11"/>
  <c r="AH48" i="11"/>
  <c r="D55" i="11"/>
  <c r="C17" i="23"/>
  <c r="C16" i="23"/>
  <c r="AF36" i="23"/>
  <c r="AX164" i="23" s="1"/>
  <c r="O47" i="23"/>
  <c r="O49" i="23"/>
  <c r="O48" i="23" s="1"/>
  <c r="Z51" i="11"/>
  <c r="U47" i="23" s="1"/>
  <c r="M51" i="11"/>
  <c r="T11" i="23" s="1"/>
  <c r="N11" i="23"/>
  <c r="AH85" i="11"/>
  <c r="AH93" i="11" s="1"/>
  <c r="K13" i="23"/>
  <c r="K51" i="23"/>
  <c r="L47" i="23" s="1"/>
  <c r="BJ155" i="23" s="1"/>
  <c r="K12" i="23"/>
  <c r="BB172" i="23"/>
  <c r="AI12" i="23"/>
  <c r="BA21" i="23"/>
  <c r="AZ176" i="23"/>
  <c r="G49" i="23"/>
  <c r="G48" i="23"/>
  <c r="W51" i="11"/>
  <c r="U27" i="23" s="1"/>
  <c r="O27" i="23"/>
  <c r="O28" i="23" s="1"/>
  <c r="O29" i="23" s="1"/>
  <c r="AO39" i="23"/>
  <c r="AZ147" i="23"/>
  <c r="L63" i="11"/>
  <c r="L92" i="11" s="1"/>
  <c r="G58" i="11"/>
  <c r="G93" i="11" s="1"/>
  <c r="C94" i="11"/>
  <c r="S70" i="11"/>
  <c r="S92" i="11" s="1"/>
  <c r="H59" i="11"/>
  <c r="H92" i="11" s="1"/>
  <c r="R92" i="11"/>
  <c r="R69" i="11"/>
  <c r="T71" i="11"/>
  <c r="T92" i="11" s="1"/>
  <c r="O66" i="11"/>
  <c r="O92" i="11" s="1"/>
  <c r="M64" i="11"/>
  <c r="M93" i="11" s="1"/>
  <c r="AA78" i="11"/>
  <c r="AA92" i="11" s="1"/>
  <c r="AB79" i="11"/>
  <c r="AB92" i="11" s="1"/>
  <c r="N19" i="23"/>
  <c r="O51" i="11"/>
  <c r="T19" i="23" s="1"/>
  <c r="E21" i="23"/>
  <c r="E20" i="23"/>
  <c r="P31" i="23"/>
  <c r="P32" i="23" s="1"/>
  <c r="P33" i="23" s="1"/>
  <c r="AC51" i="11"/>
  <c r="V31" i="23" s="1"/>
  <c r="G48" i="11"/>
  <c r="AO45" i="23"/>
  <c r="BG147" i="23"/>
  <c r="AH44" i="23"/>
  <c r="R48" i="11"/>
  <c r="E37" i="23"/>
  <c r="E36" i="23"/>
  <c r="J48" i="11"/>
  <c r="M41" i="23"/>
  <c r="M40" i="23" s="1"/>
  <c r="M39" i="23"/>
  <c r="AZ57" i="23" s="1"/>
  <c r="AF18" i="23"/>
  <c r="BD47" i="23" s="1"/>
  <c r="J51" i="11"/>
  <c r="S39" i="23" s="1"/>
  <c r="AF19" i="23"/>
  <c r="BH47" i="23" s="1"/>
  <c r="M45" i="23"/>
  <c r="M44" i="23" s="1"/>
  <c r="K51" i="11"/>
  <c r="S43" i="23" s="1"/>
  <c r="M43" i="23"/>
  <c r="AZ58" i="23" s="1"/>
  <c r="AD48" i="11"/>
  <c r="G33" i="23"/>
  <c r="AZ174" i="23"/>
  <c r="G32" i="23"/>
  <c r="C25" i="23"/>
  <c r="C24" i="23"/>
  <c r="AU106" i="23"/>
  <c r="K28" i="23"/>
  <c r="L28" i="23" s="1"/>
  <c r="K29" i="23"/>
  <c r="BB173" i="23"/>
  <c r="AO46" i="23"/>
  <c r="BF157" i="23"/>
  <c r="AO15" i="23"/>
  <c r="Y48" i="11"/>
  <c r="G36" i="23"/>
  <c r="G37" i="23"/>
  <c r="AZ175" i="23"/>
  <c r="L93" i="11"/>
  <c r="L95" i="11" s="1"/>
  <c r="M49" i="23"/>
  <c r="M48" i="23" s="1"/>
  <c r="AF20" i="23"/>
  <c r="BF47" i="23" s="1"/>
  <c r="M47" i="23"/>
  <c r="AZ59" i="23" s="1"/>
  <c r="L51" i="11"/>
  <c r="S47" i="23" s="1"/>
  <c r="AH32" i="23"/>
  <c r="AU147" i="23"/>
  <c r="V93" i="11"/>
  <c r="V95" i="11" s="1"/>
  <c r="N51" i="11"/>
  <c r="T15" i="23" s="1"/>
  <c r="N15" i="23"/>
  <c r="AB93" i="11"/>
  <c r="AB95" i="11" s="1"/>
  <c r="AY34" i="23"/>
  <c r="F51" i="11"/>
  <c r="S19" i="23" s="1"/>
  <c r="AE14" i="23"/>
  <c r="AS25" i="23" s="1"/>
  <c r="M19" i="23"/>
  <c r="C20" i="23"/>
  <c r="C21" i="23"/>
  <c r="BA87" i="23"/>
  <c r="AH22" i="23"/>
  <c r="AD81" i="11"/>
  <c r="AD92" i="11" s="1"/>
  <c r="Z77" i="11"/>
  <c r="Z93" i="11" s="1"/>
  <c r="Z92" i="11"/>
  <c r="Z95" i="11" s="1"/>
  <c r="AH38" i="23"/>
  <c r="BA147" i="23"/>
  <c r="I36" i="23"/>
  <c r="BA175" i="23"/>
  <c r="I37" i="23"/>
  <c r="E24" i="23"/>
  <c r="E25" i="23"/>
  <c r="F25" i="23" s="1"/>
  <c r="X51" i="11"/>
  <c r="U31" i="23" s="1"/>
  <c r="O31" i="23"/>
  <c r="O32" i="23" s="1"/>
  <c r="O33" i="23" s="1"/>
  <c r="AF16" i="23"/>
  <c r="AX47" i="23" s="1"/>
  <c r="M23" i="23"/>
  <c r="AZ55" i="23" s="1"/>
  <c r="M25" i="23"/>
  <c r="M24" i="23" s="1"/>
  <c r="H51" i="11"/>
  <c r="S23" i="23" s="1"/>
  <c r="E28" i="23"/>
  <c r="E29" i="23"/>
  <c r="AL13" i="23"/>
  <c r="BB23" i="23" s="1"/>
  <c r="K48" i="23"/>
  <c r="K49" i="23"/>
  <c r="L49" i="23" s="1"/>
  <c r="BB176" i="23"/>
  <c r="E17" i="23"/>
  <c r="E16" i="23"/>
  <c r="F16" i="23" s="1"/>
  <c r="I28" i="23"/>
  <c r="I29" i="23"/>
  <c r="BA173" i="23"/>
  <c r="AO13" i="23"/>
  <c r="BF161" i="23"/>
  <c r="K33" i="23"/>
  <c r="BB174" i="23"/>
  <c r="K32" i="23"/>
  <c r="AF29" i="23"/>
  <c r="BH111" i="23" s="1"/>
  <c r="N43" i="23"/>
  <c r="AZ123" i="23" s="1"/>
  <c r="N45" i="23"/>
  <c r="N44" i="23" s="1"/>
  <c r="T51" i="11"/>
  <c r="T43" i="23" s="1"/>
  <c r="BD86" i="23"/>
  <c r="AJ22" i="23"/>
  <c r="AT136" i="23"/>
  <c r="G29" i="23"/>
  <c r="G28" i="23"/>
  <c r="AZ173" i="23"/>
  <c r="K62" i="11"/>
  <c r="K92" i="11" s="1"/>
  <c r="F57" i="11"/>
  <c r="F92" i="11" s="1"/>
  <c r="AJ12" i="23"/>
  <c r="BD22" i="23"/>
  <c r="AX8" i="23"/>
  <c r="AG49" i="23"/>
  <c r="C51" i="23"/>
  <c r="D35" i="23" s="1"/>
  <c r="AV43" i="23" s="1"/>
  <c r="C13" i="23"/>
  <c r="C12" i="23"/>
  <c r="AG84" i="11"/>
  <c r="AG93" i="11" s="1"/>
  <c r="W74" i="11"/>
  <c r="W93" i="11" s="1"/>
  <c r="AF83" i="11"/>
  <c r="AF92" i="11" s="1"/>
  <c r="AJ44" i="23"/>
  <c r="BJ146" i="23"/>
  <c r="AF27" i="23"/>
  <c r="AV111" i="23" s="1"/>
  <c r="N37" i="23"/>
  <c r="N36" i="23" s="1"/>
  <c r="R51" i="11"/>
  <c r="T35" i="23" s="1"/>
  <c r="N35" i="23"/>
  <c r="AZ121" i="23" s="1"/>
  <c r="BD20" i="23"/>
  <c r="AK12" i="23"/>
  <c r="C44" i="23"/>
  <c r="C45" i="23"/>
  <c r="E13" i="23"/>
  <c r="F13" i="23" s="1"/>
  <c r="E51" i="23"/>
  <c r="F27" i="23" s="1"/>
  <c r="AV101" i="23" s="1"/>
  <c r="E12" i="23"/>
  <c r="J61" i="11"/>
  <c r="J93" i="11" s="1"/>
  <c r="AH12" i="23"/>
  <c r="BA23" i="23"/>
  <c r="BF21" i="23"/>
  <c r="BH22" i="23"/>
  <c r="D48" i="11"/>
  <c r="C49" i="11"/>
  <c r="AZ8" i="23"/>
  <c r="U72" i="11"/>
  <c r="U92" i="11" s="1"/>
  <c r="AE82" i="11"/>
  <c r="AE93" i="11" s="1"/>
  <c r="Q68" i="11"/>
  <c r="Q93" i="11" s="1"/>
  <c r="Q92" i="11"/>
  <c r="P67" i="11"/>
  <c r="P93" i="11" s="1"/>
  <c r="N65" i="11"/>
  <c r="N92" i="11" s="1"/>
  <c r="D51" i="11"/>
  <c r="S11" i="23" s="1"/>
  <c r="M11" i="23"/>
  <c r="Y76" i="11"/>
  <c r="Y92" i="11" s="1"/>
  <c r="AY98" i="23"/>
  <c r="I32" i="23"/>
  <c r="BA174" i="23"/>
  <c r="I33" i="23"/>
  <c r="AU42" i="23"/>
  <c r="C28" i="23"/>
  <c r="C29" i="23"/>
  <c r="U51" i="11"/>
  <c r="T47" i="23" s="1"/>
  <c r="AF30" i="23"/>
  <c r="BF111" i="23" s="1"/>
  <c r="N49" i="23"/>
  <c r="N48" i="23" s="1"/>
  <c r="N47" i="23"/>
  <c r="AZ124" i="23" s="1"/>
  <c r="AL24" i="23"/>
  <c r="AO24" i="23" s="1"/>
  <c r="AL23" i="23"/>
  <c r="BB87" i="23" s="1"/>
  <c r="S48" i="11"/>
  <c r="N39" i="23"/>
  <c r="AZ122" i="23" s="1"/>
  <c r="S51" i="11"/>
  <c r="T39" i="23" s="1"/>
  <c r="AF28" i="23"/>
  <c r="BD111" i="23" s="1"/>
  <c r="N41" i="23"/>
  <c r="N40" i="23" s="1"/>
  <c r="E41" i="23"/>
  <c r="E40" i="23"/>
  <c r="F40" i="23" s="1"/>
  <c r="F39" i="23"/>
  <c r="BD96" i="23" s="1"/>
  <c r="Q11" i="23"/>
  <c r="AF51" i="11"/>
  <c r="W11" i="23" s="1"/>
  <c r="R93" i="11"/>
  <c r="R95" i="11" s="1"/>
  <c r="C40" i="23"/>
  <c r="C41" i="23"/>
  <c r="BD151" i="23"/>
  <c r="AJ38" i="23"/>
  <c r="AO38" i="23" s="1"/>
  <c r="BD146" i="23"/>
  <c r="BA172" i="23"/>
  <c r="I51" i="23"/>
  <c r="J11" i="23" s="1"/>
  <c r="BB142" i="23" s="1"/>
  <c r="I12" i="23"/>
  <c r="I13" i="23"/>
  <c r="AA93" i="11"/>
  <c r="AA95" i="11" s="1"/>
  <c r="K37" i="23"/>
  <c r="L37" i="23" s="1"/>
  <c r="K36" i="23"/>
  <c r="BB175" i="23"/>
  <c r="L35" i="23"/>
  <c r="BH162" i="23" s="1"/>
  <c r="K48" i="11"/>
  <c r="AO40" i="23"/>
  <c r="P35" i="23"/>
  <c r="AF41" i="23"/>
  <c r="BB164" i="23" s="1"/>
  <c r="P37" i="23"/>
  <c r="P36" i="23" s="1"/>
  <c r="AD51" i="11"/>
  <c r="V35" i="23" s="1"/>
  <c r="AD93" i="11"/>
  <c r="Q51" i="11"/>
  <c r="T23" i="23" s="1"/>
  <c r="N23" i="23"/>
  <c r="AZ120" i="23" s="1"/>
  <c r="AF26" i="23"/>
  <c r="AX111" i="23" s="1"/>
  <c r="N25" i="23"/>
  <c r="N24" i="23" s="1"/>
  <c r="AT161" i="23"/>
  <c r="H93" i="11"/>
  <c r="H95" i="11" s="1"/>
  <c r="AO33" i="23"/>
  <c r="AT147" i="23"/>
  <c r="Q27" i="23"/>
  <c r="Q28" i="23" s="1"/>
  <c r="Q29" i="23" s="1"/>
  <c r="AG51" i="11"/>
  <c r="W27" i="23" s="1"/>
  <c r="I48" i="11"/>
  <c r="C36" i="23"/>
  <c r="C37" i="23"/>
  <c r="D37" i="23" s="1"/>
  <c r="AF35" i="23"/>
  <c r="AV164" i="23" s="1"/>
  <c r="O37" i="23"/>
  <c r="O36" i="23" s="1"/>
  <c r="Y51" i="11"/>
  <c r="U35" i="23" s="1"/>
  <c r="O35" i="23"/>
  <c r="I48" i="23"/>
  <c r="I49" i="23"/>
  <c r="BA176" i="23"/>
  <c r="C49" i="23"/>
  <c r="C48" i="23"/>
  <c r="AZ136" i="23"/>
  <c r="V51" i="11"/>
  <c r="U11" i="23" s="1"/>
  <c r="O11" i="23"/>
  <c r="BA85" i="23"/>
  <c r="AI22" i="23"/>
  <c r="AB48" i="11"/>
  <c r="Q31" i="23"/>
  <c r="Q32" i="23" s="1"/>
  <c r="Q33" i="23" s="1"/>
  <c r="AH51" i="11"/>
  <c r="W31" i="23" s="1"/>
  <c r="E44" i="23"/>
  <c r="F44" i="23" s="1"/>
  <c r="E45" i="23"/>
  <c r="F45" i="23" s="1"/>
  <c r="F43" i="23"/>
  <c r="BH96" i="23" s="1"/>
  <c r="AD14" i="23"/>
  <c r="M15" i="23"/>
  <c r="E51" i="11"/>
  <c r="S15" i="23" s="1"/>
  <c r="AU90" i="23"/>
  <c r="AO25" i="23"/>
  <c r="AO34" i="23"/>
  <c r="AT157" i="23"/>
  <c r="E56" i="11"/>
  <c r="E92" i="11" s="1"/>
  <c r="G11" i="20"/>
  <c r="G8" i="20"/>
  <c r="F11" i="20"/>
  <c r="G10" i="20" s="1"/>
  <c r="X75" i="11"/>
  <c r="X92" i="11" s="1"/>
  <c r="AJ87" i="11"/>
  <c r="AJ92" i="11" s="1"/>
  <c r="C46" i="11"/>
  <c r="AC80" i="11"/>
  <c r="AC93" i="11" s="1"/>
  <c r="AI86" i="11"/>
  <c r="AI92" i="11" s="1"/>
  <c r="I60" i="11"/>
  <c r="I93" i="11" s="1"/>
  <c r="O93" i="11"/>
  <c r="O95" i="11" s="1"/>
  <c r="AZ161" i="23"/>
  <c r="AO41" i="23"/>
  <c r="G51" i="11"/>
  <c r="S27" i="23" s="1"/>
  <c r="M27" i="23"/>
  <c r="E48" i="23"/>
  <c r="F48" i="23" s="1"/>
  <c r="E49" i="23"/>
  <c r="F49" i="23" s="1"/>
  <c r="F47" i="23"/>
  <c r="BF96" i="23" s="1"/>
  <c r="AK22" i="23"/>
  <c r="BD84" i="23"/>
  <c r="P11" i="23"/>
  <c r="AA51" i="11"/>
  <c r="V11" i="23" s="1"/>
  <c r="Q37" i="23"/>
  <c r="Q36" i="23" s="1"/>
  <c r="AF47" i="23"/>
  <c r="BH164" i="23" s="1"/>
  <c r="Q35" i="23"/>
  <c r="AI51" i="11"/>
  <c r="W35" i="23" s="1"/>
  <c r="N27" i="23"/>
  <c r="P51" i="11"/>
  <c r="T27" i="23" s="1"/>
  <c r="M37" i="23"/>
  <c r="M36" i="23" s="1"/>
  <c r="I51" i="11"/>
  <c r="S35" i="23" s="1"/>
  <c r="M35" i="23"/>
  <c r="AZ56" i="23" s="1"/>
  <c r="AF17" i="23"/>
  <c r="AV47" i="23" s="1"/>
  <c r="P49" i="23"/>
  <c r="P48" i="23" s="1"/>
  <c r="P47" i="23"/>
  <c r="AE51" i="11"/>
  <c r="V47" i="23" s="1"/>
  <c r="AF42" i="23"/>
  <c r="BD164" i="23" s="1"/>
  <c r="AX146" i="23"/>
  <c r="AJ32" i="23"/>
  <c r="AZ172" i="23"/>
  <c r="G51" i="23"/>
  <c r="H11" i="23" s="1"/>
  <c r="AV142" i="23" s="1"/>
  <c r="G13" i="23"/>
  <c r="G12" i="23"/>
  <c r="AF48" i="23"/>
  <c r="BJ164" i="23" s="1"/>
  <c r="Q49" i="23"/>
  <c r="Q48" i="23" s="1"/>
  <c r="Q47" i="23"/>
  <c r="AJ51" i="11"/>
  <c r="W47" i="23" s="1"/>
  <c r="AX89" i="23"/>
  <c r="N93" i="11"/>
  <c r="AB51" i="11"/>
  <c r="V27" i="23" s="1"/>
  <c r="P27" i="23"/>
  <c r="P28" i="23" s="1"/>
  <c r="P29" i="23" s="1"/>
  <c r="F93" i="11"/>
  <c r="H12" i="23" l="1"/>
  <c r="H13" i="23"/>
  <c r="AO32" i="23"/>
  <c r="X93" i="11"/>
  <c r="X95" i="11" s="1"/>
  <c r="AC92" i="11"/>
  <c r="AC95" i="11" s="1"/>
  <c r="D47" i="23"/>
  <c r="BH31" i="23" s="1"/>
  <c r="J49" i="23"/>
  <c r="D36" i="23"/>
  <c r="J13" i="23"/>
  <c r="D39" i="23"/>
  <c r="BD31" i="23" s="1"/>
  <c r="F41" i="23"/>
  <c r="D27" i="23"/>
  <c r="AV37" i="23" s="1"/>
  <c r="J31" i="23"/>
  <c r="BB156" i="23" s="1"/>
  <c r="Q95" i="11"/>
  <c r="F11" i="23"/>
  <c r="AY75" i="23" s="1"/>
  <c r="D43" i="23"/>
  <c r="BF31" i="23" s="1"/>
  <c r="W92" i="11"/>
  <c r="W95" i="11" s="1"/>
  <c r="D11" i="23"/>
  <c r="AY11" i="23" s="1"/>
  <c r="T93" i="11"/>
  <c r="T95" i="11" s="1"/>
  <c r="L33" i="23"/>
  <c r="L48" i="23"/>
  <c r="F28" i="23"/>
  <c r="F23" i="23"/>
  <c r="AY101" i="23" s="1"/>
  <c r="L27" i="23"/>
  <c r="BH150" i="23" s="1"/>
  <c r="M92" i="11"/>
  <c r="M95" i="11" s="1"/>
  <c r="L11" i="23"/>
  <c r="BH142" i="23" s="1"/>
  <c r="AO42" i="23"/>
  <c r="J32" i="23"/>
  <c r="AI93" i="11"/>
  <c r="D48" i="23"/>
  <c r="J48" i="23"/>
  <c r="L36" i="23"/>
  <c r="D41" i="23"/>
  <c r="D29" i="23"/>
  <c r="J33" i="23"/>
  <c r="P92" i="11"/>
  <c r="P95" i="11" s="1"/>
  <c r="AE92" i="11"/>
  <c r="AE95" i="11" s="1"/>
  <c r="F12" i="23"/>
  <c r="D45" i="23"/>
  <c r="L31" i="23"/>
  <c r="BH156" i="23" s="1"/>
  <c r="D49" i="23"/>
  <c r="J12" i="23"/>
  <c r="D40" i="23"/>
  <c r="D28" i="23"/>
  <c r="C48" i="11"/>
  <c r="AG92" i="11"/>
  <c r="AG95" i="11" s="1"/>
  <c r="D13" i="23"/>
  <c r="L32" i="23"/>
  <c r="F15" i="23"/>
  <c r="BB91" i="23" s="1"/>
  <c r="L29" i="23"/>
  <c r="S93" i="11"/>
  <c r="S95" i="11" s="1"/>
  <c r="AZ119" i="23"/>
  <c r="N28" i="23"/>
  <c r="N29" i="23" s="1"/>
  <c r="P13" i="23"/>
  <c r="P12" i="23"/>
  <c r="M28" i="23"/>
  <c r="M29" i="23" s="1"/>
  <c r="AZ54" i="23"/>
  <c r="AX25" i="23"/>
  <c r="AO14" i="23"/>
  <c r="U37" i="23"/>
  <c r="U36" i="23"/>
  <c r="AO35" i="23"/>
  <c r="AO36" i="23" s="1"/>
  <c r="H35" i="23"/>
  <c r="AV162" i="23" s="1"/>
  <c r="H51" i="23"/>
  <c r="T28" i="23"/>
  <c r="T29" i="23"/>
  <c r="V12" i="23"/>
  <c r="V13" i="23"/>
  <c r="V51" i="23"/>
  <c r="S29" i="23"/>
  <c r="S28" i="23"/>
  <c r="I92" i="11"/>
  <c r="I95" i="11" s="1"/>
  <c r="O12" i="23"/>
  <c r="O13" i="23"/>
  <c r="T25" i="23"/>
  <c r="T24" i="23"/>
  <c r="J47" i="23"/>
  <c r="BD155" i="23" s="1"/>
  <c r="J51" i="23"/>
  <c r="T40" i="23"/>
  <c r="T41" i="23"/>
  <c r="AY87" i="23"/>
  <c r="AX85" i="23"/>
  <c r="T49" i="23"/>
  <c r="T48" i="23"/>
  <c r="AO17" i="23"/>
  <c r="AO18" i="23" s="1"/>
  <c r="AO19" i="23" s="1"/>
  <c r="AO20" i="23" s="1"/>
  <c r="N95" i="11"/>
  <c r="AF49" i="23"/>
  <c r="J92" i="11"/>
  <c r="J95" i="11" s="1"/>
  <c r="F19" i="23"/>
  <c r="AY94" i="23" s="1"/>
  <c r="F51" i="23"/>
  <c r="D44" i="23"/>
  <c r="T36" i="23"/>
  <c r="T37" i="23"/>
  <c r="D12" i="23"/>
  <c r="H29" i="23"/>
  <c r="J29" i="23"/>
  <c r="F17" i="23"/>
  <c r="F29" i="23"/>
  <c r="J35" i="23"/>
  <c r="BB162" i="23" s="1"/>
  <c r="AD95" i="11"/>
  <c r="D21" i="23"/>
  <c r="S21" i="23"/>
  <c r="S20" i="23"/>
  <c r="AZ117" i="23"/>
  <c r="N16" i="23"/>
  <c r="N17" i="23" s="1"/>
  <c r="H37" i="23"/>
  <c r="D24" i="23"/>
  <c r="S45" i="23"/>
  <c r="S44" i="23"/>
  <c r="S40" i="23"/>
  <c r="S41" i="23"/>
  <c r="AZ118" i="23"/>
  <c r="N20" i="23"/>
  <c r="N21" i="23" s="1"/>
  <c r="H48" i="23"/>
  <c r="L12" i="23"/>
  <c r="AH92" i="11"/>
  <c r="AH95" i="11" s="1"/>
  <c r="D16" i="23"/>
  <c r="V49" i="23"/>
  <c r="V48" i="23"/>
  <c r="U12" i="23"/>
  <c r="U13" i="23"/>
  <c r="U51" i="23"/>
  <c r="W51" i="23"/>
  <c r="W13" i="23"/>
  <c r="W12" i="23"/>
  <c r="AO12" i="23"/>
  <c r="U93" i="11"/>
  <c r="U95" i="11" s="1"/>
  <c r="H27" i="23"/>
  <c r="AV150" i="23" s="1"/>
  <c r="J28" i="23"/>
  <c r="J37" i="23"/>
  <c r="D20" i="23"/>
  <c r="AO16" i="23"/>
  <c r="T17" i="23"/>
  <c r="T16" i="23"/>
  <c r="H36" i="23"/>
  <c r="D25" i="23"/>
  <c r="H33" i="23"/>
  <c r="F35" i="23"/>
  <c r="AV107" i="23" s="1"/>
  <c r="AF93" i="11"/>
  <c r="AF95" i="11" s="1"/>
  <c r="F20" i="23"/>
  <c r="G92" i="11"/>
  <c r="G95" i="11" s="1"/>
  <c r="H47" i="23"/>
  <c r="AX155" i="23" s="1"/>
  <c r="L51" i="23"/>
  <c r="N13" i="23"/>
  <c r="N12" i="23"/>
  <c r="AZ116" i="23"/>
  <c r="D17" i="23"/>
  <c r="W48" i="23"/>
  <c r="W49" i="23"/>
  <c r="S17" i="23"/>
  <c r="S16" i="23"/>
  <c r="S37" i="23"/>
  <c r="S36" i="23"/>
  <c r="AI95" i="11"/>
  <c r="AZ52" i="23"/>
  <c r="M16" i="23"/>
  <c r="M17" i="23" s="1"/>
  <c r="W28" i="23"/>
  <c r="W29" i="23"/>
  <c r="V36" i="23"/>
  <c r="V37" i="23"/>
  <c r="Q12" i="23"/>
  <c r="Q13" i="23"/>
  <c r="AO23" i="23"/>
  <c r="M13" i="23"/>
  <c r="AZ51" i="23"/>
  <c r="M12" i="23"/>
  <c r="D23" i="23"/>
  <c r="AY37" i="23" s="1"/>
  <c r="D51" i="23"/>
  <c r="J27" i="23"/>
  <c r="BB150" i="23" s="1"/>
  <c r="Y93" i="11"/>
  <c r="Y95" i="11" s="1"/>
  <c r="S24" i="23"/>
  <c r="S25" i="23"/>
  <c r="M20" i="23"/>
  <c r="M21" i="23" s="1"/>
  <c r="AZ53" i="23"/>
  <c r="AJ93" i="11"/>
  <c r="AJ95" i="11" s="1"/>
  <c r="S49" i="23"/>
  <c r="S48" i="23"/>
  <c r="AO27" i="23"/>
  <c r="AO28" i="23" s="1"/>
  <c r="AO29" i="23" s="1"/>
  <c r="AO30" i="23" s="1"/>
  <c r="H31" i="23"/>
  <c r="AV156" i="23" s="1"/>
  <c r="F36" i="23"/>
  <c r="AO44" i="23"/>
  <c r="F21" i="23"/>
  <c r="H49" i="23"/>
  <c r="L13" i="23"/>
  <c r="T12" i="23"/>
  <c r="T13" i="23"/>
  <c r="T51" i="23"/>
  <c r="E93" i="11"/>
  <c r="E95" i="11" s="1"/>
  <c r="V29" i="23"/>
  <c r="V28" i="23"/>
  <c r="W36" i="23"/>
  <c r="W37" i="23"/>
  <c r="W32" i="23"/>
  <c r="W33" i="23"/>
  <c r="AO26" i="23"/>
  <c r="S12" i="23"/>
  <c r="S51" i="23"/>
  <c r="S13" i="23"/>
  <c r="F95" i="11"/>
  <c r="H28" i="23"/>
  <c r="AO22" i="23"/>
  <c r="T44" i="23"/>
  <c r="T45" i="23"/>
  <c r="AO47" i="23"/>
  <c r="AO48" i="23" s="1"/>
  <c r="U32" i="23"/>
  <c r="U33" i="23"/>
  <c r="F24" i="23"/>
  <c r="J36" i="23"/>
  <c r="D19" i="23"/>
  <c r="AY30" i="23" s="1"/>
  <c r="H32" i="23"/>
  <c r="K93" i="11"/>
  <c r="K95" i="11" s="1"/>
  <c r="F37" i="23"/>
  <c r="V32" i="23"/>
  <c r="V33" i="23"/>
  <c r="T21" i="23"/>
  <c r="T20" i="23"/>
  <c r="U28" i="23"/>
  <c r="U29" i="23"/>
  <c r="U49" i="23"/>
  <c r="U48" i="23"/>
  <c r="D15" i="23"/>
  <c r="BB27" i="23" s="1"/>
  <c r="D92" i="11"/>
  <c r="D93" i="11"/>
  <c r="AO49" i="23" l="1"/>
  <c r="C93" i="11"/>
  <c r="D95" i="11"/>
  <c r="C92" i="11"/>
  <c r="C95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<sst xmlns="http://schemas.openxmlformats.org/spreadsheetml/2006/main" count="14980" uniqueCount="4054">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</sst>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E+00_)"/>
  </numFmts>
  <fonts count="50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  <font>
      <sz val="8"/>
      <color rgb="FFDEDEDE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6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5" fontId="0" fillId="7" borderId="6" xfId="0" applyNumberFormat="1" applyFont="1" applyFill="1" applyBorder="1" applyProtection="1">
      <protection locked="0"/>
    </xf>
    <xf numFmtId="179" fontId="0" fillId="10" borderId="0" xfId="0" applyNumberFormat="1" applyFont="1" applyFill="1" applyAlignment="1">
      <alignment horizontal="right"/>
    </xf>
    <xf numFmtId="178" fontId="0" fillId="2" borderId="11" xfId="0" applyNumberFormat="1" applyFont="1" applyFill="1" applyBorder="1" applyAlignment="1">
      <alignment horizontal="right"/>
    </xf>
    <xf numFmtId="164" fontId="49" fillId="0" borderId="0" xfId="0" applyFont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72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2"/>
  <sheetViews>
    <sheetView tabSelected="1" zoomScaleNormal="100" workbookViewId="0">
      <selection activeCell="J6" sqref="J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19.4257812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7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7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7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7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7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Sb(III)</v>
      </c>
      <c r="M5" s="29"/>
      <c r="N5" s="92"/>
      <c r="O5" s="161"/>
    </row>
    <row r="6" spans="1:17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1026</v>
      </c>
      <c r="J6" s="400"/>
      <c r="K6" s="121">
        <f>VLOOKUP(ChemName,ChemData,26,FALSE)</f>
        <v>0</v>
      </c>
      <c r="L6" s="393">
        <f>IF(ISBLANK(I6),IF(ISBLANK(J6),K6,J6),I6)</f>
        <v>1026</v>
      </c>
      <c r="M6" s="29"/>
      <c r="N6" s="36"/>
      <c r="O6" s="161"/>
    </row>
    <row r="7" spans="1:17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7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7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  <c r="Q9" s="654" t="s">
        <v>3279</v>
      </c>
    </row>
    <row r="10" spans="1:17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7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7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7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7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Metal</v>
      </c>
      <c r="K14" s="350" t="s">
        <v>2061</v>
      </c>
      <c r="L14" s="351" t="str">
        <f>IF(I14="",IF(J14="",K14,J14),I14)</f>
        <v>Metal</v>
      </c>
      <c r="M14" s="36"/>
      <c r="N14" s="29"/>
      <c r="O14" s="172"/>
    </row>
    <row r="15" spans="1:17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121.76</v>
      </c>
      <c r="K15" s="345">
        <f>MEDIAN(substances!F$17:F$283)</f>
        <v>138</v>
      </c>
      <c r="L15" s="346">
        <f>IF(ISBLANK(I15),IF(ISNUMBER(J15)=FALSE,K15/1000,J15/1000),I15/1000)</f>
        <v>0.12176000000000001</v>
      </c>
      <c r="M15" s="36" t="s">
        <v>1359</v>
      </c>
      <c r="N15" s="29"/>
      <c r="O15" s="159"/>
    </row>
    <row r="16" spans="1:17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>
        <f>IF(HLOOKUP(CaseName,CaseData,ROW()-2,FALSE)="",IF(ISBLANK(VLOOKUP(ChemName,ChemData,MATCH("Ksw",substances!$3:$3,FALSE)-1,FALSE)),"",VLOOKUP(ChemName,ChemData,MATCH("Ksw",substances!$3:$3,FALSE)-1,FALSE)),HLOOKUP(CaseName,CaseData,ROW()-2,FALSE))</f>
        <v>2500</v>
      </c>
      <c r="K17" s="345">
        <f>(VLOOKUP(ChemClass,QSARtable,7,FALSE))*CORG*RHOsolid/1000</f>
        <v>50</v>
      </c>
      <c r="L17" s="346">
        <f t="shared" ref="L17:L23" si="0">IF(ISBLANK(I17), IF(ISNUMBER(J17)=FALSE, K17, J17), I17)</f>
        <v>2500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2500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50</v>
      </c>
      <c r="L18" s="346">
        <f t="shared" si="0"/>
        <v>50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>
        <f>IF(HLOOKUP(CaseName,CaseData,ROW()-2,FALSE)="",IF(ISBLANK(VLOOKUP(ChemName,ChemData,MATCH("Kaw",substances!$3:$3,FALSE)-1,FALSE)),"",VLOOKUP(ChemName,ChemData,MATCH("Kaw",substances!$3:$3,FALSE)-1,FALSE)),HLOOKUP(CaseName,CaseData,ROW()-2,FALSE))</f>
        <v>9.9999999999999995E-21</v>
      </c>
      <c r="K19" s="543">
        <f>VLOOKUP(ChemClass,QSARtable,9,FALSE)</f>
        <v>9.9999999999999995E-21</v>
      </c>
      <c r="L19" s="346">
        <f>IF(ISBLANK(I19), IF(ISNUMBER(J19)=FALSE, K19, J19), I19)</f>
        <v>9.9999999999999995E-21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 t="str">
        <f>IF(HLOOKUP(CaseName,CaseData,ROW()-2,FALSE)="",IF(ISBLANK(VLOOKUP(ChemName,ChemData,MATCH("Kow",substances!$3:$3,FALSE)-1,FALSE)),"",VLOOKUP(ChemName,ChemData,MATCH("Kow",substances!$3:$3,FALSE)-1,FALSE)),HLOOKUP(CaseName,CaseData,ROW()-2,FALSE))</f>
        <v/>
      </c>
      <c r="K20" s="345">
        <f>MEDIAN(substances!K$17:K$283)</f>
        <v>18</v>
      </c>
      <c r="L20" s="346">
        <f t="shared" si="0"/>
        <v>18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5.6920997883030799E-3</v>
      </c>
      <c r="L21" s="346">
        <f t="shared" si="0"/>
        <v>5.6920997883030799E-3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18</v>
      </c>
      <c r="L23" s="346">
        <f t="shared" si="0"/>
        <v>18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 t="str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/>
      </c>
      <c r="K35" s="345">
        <f>MEDIAN(substances!$H$17:$H$283)</f>
        <v>4</v>
      </c>
      <c r="L35" s="346">
        <f t="shared" si="2"/>
        <v>4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64.704355540522016</v>
      </c>
      <c r="L36" s="346">
        <f>IF(ISBLANK(I36),IF(ISNUMBER(J36)=FALSE,K36*1000,J36*1000),I36*1000)</f>
        <v>64704.355540522018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 t="str">
        <f>IF(HLOOKUP(CaseName,CaseData,ROW()-2,FALSE)="",IF(ISBLANK(VLOOKUP(ChemName,ChemData,MATCH("Sol25",substances!$3:$3,FALSE)-1,FALSE)),"",VLOOKUP(ChemName,ChemData,MATCH("Sol25",substances!$3:$3,FALSE)-1,FALSE)),HLOOKUP(CaseName,CaseData,ROW()-2,FALSE))</f>
        <v/>
      </c>
      <c r="K37" s="345">
        <f>10^(LOG(Kow)*-1.214+0.85)*(Molweight*1000000)</f>
        <v>25799.056179599735</v>
      </c>
      <c r="L37" s="346">
        <f>IF(ISBLANK(I37),IF(ISNUMBER(J37)=FALSE,K37/(1000*Molweight),J37/(1000*Molweight)),I37/(1000*Molweight))</f>
        <v>211.88449556175865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13.09607863897179</v>
      </c>
      <c r="J42" s="245">
        <f>1.26*Kow^0.81</f>
        <v>13.09607863897179</v>
      </c>
      <c r="K42" s="245">
        <f>MAX(IF(Pvap25&gt;100000,(100000/_Sol25)/(8.314*298),(Pvap25/_Sol25)/(8.314*298)),1E-20)</f>
        <v>7.6196413206296689E-6</v>
      </c>
      <c r="L42" s="245">
        <f>MAX(IF(Pvap25&gt;100000,(100000/_Sol25)/(8.314*298),(Pvap25/_Sol25)/(8.314*298)),1E-20)</f>
        <v>7.6196413206296689E-6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61.354603344815416</v>
      </c>
      <c r="J43" s="245">
        <f>10^(0.11*LOG(Kow)+1.54)</f>
        <v>47.651872990543872</v>
      </c>
      <c r="K43" s="245">
        <f>MAX(IF(Pvap25&gt;100000,(100000/_Sol25)/(8.314*298),(Pvap25/_Sol25)/(8.314*298)),1E-20)</f>
        <v>7.6196413206296689E-6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146.0329393884619</v>
      </c>
      <c r="J44" s="245">
        <f>IF(pKa&gt;0,10^(pKa^0.65*(Kow/(1+Kow))^0.14),1)</f>
        <v>3279.5774931958399</v>
      </c>
      <c r="K44" s="245">
        <f>MAX(IF(Pvap25&gt;100000,(100000/_Sol25)/(8.314*298),(Pvap25/_Sol25)/(8.314*298)),1E-20)</f>
        <v>7.6196413206296689E-6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13.09607863897179</v>
      </c>
      <c r="J46" s="245">
        <f>1.26*Kow^0.81</f>
        <v>13.09607863897179</v>
      </c>
      <c r="K46" s="245">
        <f t="shared" ref="K46:L64" si="3">MAX(IF(Pvap25&gt;100000,(100000/_Sol25)/(8.314*298),(Pvap25/_Sol25)/(8.314*298)),1E-20)</f>
        <v>7.6196413206296689E-6</v>
      </c>
      <c r="L46" s="245">
        <f t="shared" si="3"/>
        <v>7.6196413206296689E-6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47.063951120592591</v>
      </c>
      <c r="J47" s="245">
        <f>10.47*Kow^0.52</f>
        <v>47.063951120592591</v>
      </c>
      <c r="K47" s="245">
        <f t="shared" si="3"/>
        <v>7.6196413206296689E-6</v>
      </c>
      <c r="L47" s="245">
        <f t="shared" si="3"/>
        <v>7.6196413206296689E-6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49.050357905532422</v>
      </c>
      <c r="J48" s="245">
        <f>7.94*Kow^0.63</f>
        <v>49.050357905532422</v>
      </c>
      <c r="K48" s="245">
        <f t="shared" si="3"/>
        <v>7.6196413206296689E-6</v>
      </c>
      <c r="L48" s="245">
        <f t="shared" si="3"/>
        <v>7.6196413206296689E-6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47.85013736274265</v>
      </c>
      <c r="J49" s="245">
        <f>12.3*Kow^0.47</f>
        <v>47.85013736274265</v>
      </c>
      <c r="K49" s="245">
        <f t="shared" si="3"/>
        <v>7.6196413206296689E-6</v>
      </c>
      <c r="L49" s="245">
        <f t="shared" si="3"/>
        <v>7.6196413206296689E-6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12.293206021647704</v>
      </c>
      <c r="J50" s="245">
        <f>3.16*Kow^0.47</f>
        <v>12.293206021647704</v>
      </c>
      <c r="K50" s="245">
        <f t="shared" si="3"/>
        <v>7.6196413206296689E-6</v>
      </c>
      <c r="L50" s="245">
        <f t="shared" si="3"/>
        <v>7.6196413206296689E-6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41.881710675070032</v>
      </c>
      <c r="J51" s="245">
        <f>13.18*Kow^0.4</f>
        <v>41.881710675070032</v>
      </c>
      <c r="K51" s="245">
        <f t="shared" si="3"/>
        <v>7.6196413206296689E-6</v>
      </c>
      <c r="L51" s="245">
        <f t="shared" si="3"/>
        <v>7.6196413206296689E-6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9.755361323143708</v>
      </c>
      <c r="J52" s="245">
        <f>3.16*Kow^0.39</f>
        <v>9.755361323143708</v>
      </c>
      <c r="K52" s="245">
        <f t="shared" si="3"/>
        <v>7.6196413206296689E-6</v>
      </c>
      <c r="L52" s="245">
        <f t="shared" si="3"/>
        <v>7.6196413206296689E-6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46.149997657547516</v>
      </c>
      <c r="J53" s="245">
        <f>17.78*Kow^0.33</f>
        <v>46.149997657547516</v>
      </c>
      <c r="K53" s="245">
        <f t="shared" si="3"/>
        <v>7.6196413206296689E-6</v>
      </c>
      <c r="L53" s="245">
        <f t="shared" si="3"/>
        <v>7.6196413206296689E-6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42.49151451822398</v>
      </c>
      <c r="J54" s="245">
        <f>7.08*Kow^0.62</f>
        <v>42.49151451822398</v>
      </c>
      <c r="K54" s="245">
        <f t="shared" si="3"/>
        <v>7.6196413206296689E-6</v>
      </c>
      <c r="L54" s="245">
        <f t="shared" si="3"/>
        <v>7.6196413206296689E-6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40.209614857418678</v>
      </c>
      <c r="J55" s="245">
        <f>13.8*Kow^0.37</f>
        <v>40.209614857418678</v>
      </c>
      <c r="K55" s="245">
        <f t="shared" si="3"/>
        <v>7.6196413206296689E-6</v>
      </c>
      <c r="L55" s="245">
        <f t="shared" si="3"/>
        <v>7.6196413206296689E-6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249.47237866641871</v>
      </c>
      <c r="J56" s="245">
        <f>83.18*Kow^0.38</f>
        <v>249.47237866641871</v>
      </c>
      <c r="K56" s="245">
        <f t="shared" si="3"/>
        <v>7.6196413206296689E-6</v>
      </c>
      <c r="L56" s="245">
        <f t="shared" si="3"/>
        <v>7.6196413206296689E-6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46.246235287847753</v>
      </c>
      <c r="J57" s="245">
        <f>11.22*Kow^0.49</f>
        <v>46.246235287847753</v>
      </c>
      <c r="K57" s="245">
        <f t="shared" si="3"/>
        <v>7.6196413206296689E-6</v>
      </c>
      <c r="L57" s="245">
        <f t="shared" si="3"/>
        <v>7.6196413206296689E-6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32.869127950458207</v>
      </c>
      <c r="J58" s="245">
        <f>3.55*Kow^0.77</f>
        <v>32.869127950458207</v>
      </c>
      <c r="K58" s="245">
        <f t="shared" si="3"/>
        <v>7.6196413206296689E-6</v>
      </c>
      <c r="L58" s="245">
        <f t="shared" si="3"/>
        <v>7.6196413206296689E-6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11.838857391638069</v>
      </c>
      <c r="J59" s="245">
        <f>2.09*Kow^0.6</f>
        <v>11.838857391638069</v>
      </c>
      <c r="K59" s="245">
        <f t="shared" si="3"/>
        <v>7.6196413206296689E-6</v>
      </c>
      <c r="L59" s="245">
        <f t="shared" si="3"/>
        <v>7.6196413206296689E-6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62.432366268839417</v>
      </c>
      <c r="J60" s="245">
        <f>12.02*Kow^0.57</f>
        <v>62.432366268839417</v>
      </c>
      <c r="K60" s="245">
        <f t="shared" si="3"/>
        <v>7.6196413206296689E-6</v>
      </c>
      <c r="L60" s="245">
        <f t="shared" si="3"/>
        <v>7.6196413206296689E-6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46.246235287847753</v>
      </c>
      <c r="J61" s="245">
        <f>11.22*Kow^0.49</f>
        <v>46.246235287847753</v>
      </c>
      <c r="K61" s="245">
        <f t="shared" si="3"/>
        <v>7.6196413206296689E-6</v>
      </c>
      <c r="L61" s="245">
        <f t="shared" si="3"/>
        <v>7.6196413206296689E-6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60.9609465157993</v>
      </c>
      <c r="J62" s="245">
        <f>14.79*Kow^0.49</f>
        <v>60.9609465157993</v>
      </c>
      <c r="K62" s="245">
        <f t="shared" si="3"/>
        <v>7.6196413206296689E-6</v>
      </c>
      <c r="L62" s="245">
        <f t="shared" si="3"/>
        <v>7.6196413206296689E-6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75.256430802739459</v>
      </c>
      <c r="J63" s="245">
        <f>31.62*Kow^0.3</f>
        <v>75.256430802739459</v>
      </c>
      <c r="K63" s="245">
        <f t="shared" si="3"/>
        <v>7.6196413206296689E-6</v>
      </c>
      <c r="L63" s="245">
        <f t="shared" si="3"/>
        <v>7.6196413206296689E-6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99.979555302641131</v>
      </c>
      <c r="J64" s="247">
        <f>25.7*Kow^0.47</f>
        <v>99.979555302641131</v>
      </c>
      <c r="K64" s="247">
        <f t="shared" si="3"/>
        <v>7.6196413206296689E-6</v>
      </c>
      <c r="L64" s="247">
        <f t="shared" si="3"/>
        <v>7.6196413206296689E-6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9.9999999999999995E-21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9.9999999999999995E-21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9.9999999999999995E-21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9.9999999999999995E-21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9.9999999999999995E-21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9.9999999999999995E-21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9.9999999999999995E-21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9.9999999999999995E-21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2.6042864638440033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2.6042864638440033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2.6042864638440033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9.8813676055283326E-6</v>
      </c>
      <c r="L155" s="346">
        <f t="shared" ref="L155:L160" si="17">IF(ISBLANK(I155), IF(ISNUMBER(J155)=FALSE, K155, J155), I155)</f>
        <v>9.8813676055283326E-6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1.0253040317020322E-9</v>
      </c>
      <c r="L156" s="346">
        <f t="shared" si="17"/>
        <v>1.0253040317020322E-9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71" priority="30" operator="equal">
      <formula>0</formula>
    </cfRule>
  </conditionalFormatting>
  <conditionalFormatting sqref="J1:J1048576">
    <cfRule type="expression" dxfId="170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Sb(III)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Sb(III)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Sb(III)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Sb(III)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1.9557842780522168E-26</v>
      </c>
      <c r="AY8" s="75"/>
      <c r="AZ8" s="295">
        <f>output!AF12</f>
        <v>7.2658870474780132E-6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5.9329786864386743E-3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0.18684372716400227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19834.490020791498</v>
      </c>
      <c r="D11" s="117">
        <f>C11/$C$51</f>
        <v>2.4970619862921448E-6</v>
      </c>
      <c r="E11" s="517">
        <f>M.aC*Molweight</f>
        <v>19750.924346705888</v>
      </c>
      <c r="F11" s="117">
        <f>E11/$E$51</f>
        <v>9.0302644067554441E-7</v>
      </c>
      <c r="G11" s="517">
        <f>M.aM*Molweight</f>
        <v>3028.2530806942709</v>
      </c>
      <c r="H11" s="117">
        <f>G11/$G$51</f>
        <v>1.1910101885913127E-9</v>
      </c>
      <c r="I11" s="517">
        <f>M.aA*Molweight</f>
        <v>131.88773784804576</v>
      </c>
      <c r="J11" s="117">
        <f>I11/$I$51</f>
        <v>7.8360542168709254E-11</v>
      </c>
      <c r="K11" s="517">
        <f>M.aT*Molweight</f>
        <v>234.41299511551114</v>
      </c>
      <c r="L11" s="118">
        <f>K11/$K$51</f>
        <v>3.7392301775068728E-11</v>
      </c>
      <c r="M11" s="320">
        <f>C.aR*(Molweight*1000)</f>
        <v>8.6398440653358439E-8</v>
      </c>
      <c r="N11" s="320">
        <f>C.aC*(Molweight*1000)</f>
        <v>2.7434697151378115E-9</v>
      </c>
      <c r="O11" s="320">
        <f>C.aM*(Molweight*1000)</f>
        <v>3.9038378437639738E-11</v>
      </c>
      <c r="P11" s="320">
        <f>C.aA*(Molweight*1000)</f>
        <v>3.1032408905422533E-12</v>
      </c>
      <c r="Q11" s="321">
        <f>C.aT*(Molweight*1000)</f>
        <v>1.8385332950236169E-12</v>
      </c>
      <c r="R11" s="119" t="s">
        <v>1493</v>
      </c>
      <c r="S11" s="323">
        <f>F.aR</f>
        <v>1.6813423221396708E-6</v>
      </c>
      <c r="T11" s="323">
        <f>F.aC</f>
        <v>5.3388830940554313E-8</v>
      </c>
      <c r="U11" s="323">
        <f>F.aM</f>
        <v>7.5969979734069468E-10</v>
      </c>
      <c r="V11" s="323">
        <f>F.aA</f>
        <v>5.5728405658045837E-11</v>
      </c>
      <c r="W11" s="324">
        <f>F.aT</f>
        <v>3.7410468239308911E-11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2.4970619862921448E-6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2.1737135841913564E-6</v>
      </c>
      <c r="D12" s="122">
        <f>C12/$C$51</f>
        <v>2.7365954730781048E-16</v>
      </c>
      <c r="E12" s="318">
        <f>FRgas.aC*E11</f>
        <v>2.1645554036310502E-6</v>
      </c>
      <c r="F12" s="122">
        <f>E12/$E$51</f>
        <v>9.8965027027302926E-17</v>
      </c>
      <c r="G12" s="318">
        <f>FRgas.aM*G11</f>
        <v>3.3187416721954024E-7</v>
      </c>
      <c r="H12" s="122">
        <f>G12/$G$51</f>
        <v>1.3052591839454485E-19</v>
      </c>
      <c r="I12" s="318">
        <f>FRgas.aA*I11</f>
        <v>3.5432624311411791E-9</v>
      </c>
      <c r="J12" s="122">
        <f>I12/$I$51</f>
        <v>2.1052144018888086E-21</v>
      </c>
      <c r="K12" s="318">
        <f>FRgas.aT*K11</f>
        <v>3.981198163837449E-8</v>
      </c>
      <c r="L12" s="123">
        <f>K12/$K$51</f>
        <v>6.3505934513230798E-21</v>
      </c>
      <c r="M12" s="320">
        <f>FRgas.aR*M11</f>
        <v>9.4686308498120672E-18</v>
      </c>
      <c r="N12" s="320">
        <f>FRgas.aC*N11</f>
        <v>3.0066401411689419E-19</v>
      </c>
      <c r="O12" s="320">
        <f>FRgas.aM*O11</f>
        <v>4.2783178909943131E-21</v>
      </c>
      <c r="P12" s="320">
        <f>FRgas.aA*P11</f>
        <v>8.337088073273363E-23</v>
      </c>
      <c r="Q12" s="320">
        <f>FRgas.aT*Q11</f>
        <v>3.1225083637940776E-22</v>
      </c>
      <c r="R12" s="120" t="s">
        <v>1493</v>
      </c>
      <c r="S12" s="325">
        <f>S11*FRgas.aR</f>
        <v>1.8426269803154729E-16</v>
      </c>
      <c r="T12" s="325">
        <f>T11*FRgas.aC</f>
        <v>5.8510214751136627E-18</v>
      </c>
      <c r="U12" s="325">
        <f>U11*FRgas.aM</f>
        <v>8.3257485705749968E-20</v>
      </c>
      <c r="V12" s="325">
        <f>V11*FRgas.aA</f>
        <v>1.4971851768589205E-21</v>
      </c>
      <c r="W12" s="326">
        <f>W11*FRgas.aT</f>
        <v>6.3536787876987692E-21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5.9329786864386743E-3</v>
      </c>
      <c r="AE12" s="325">
        <f>k.aR.aC*M.aR*Molweight</f>
        <v>0.18684372716400227</v>
      </c>
      <c r="AF12" s="325">
        <f>kesc.aR*M.aR*Molweight</f>
        <v>7.2658870474780132E-6</v>
      </c>
      <c r="AG12" s="326">
        <f>KDEG.aR*M.aR*Molweight</f>
        <v>1.9557842780522168E-26</v>
      </c>
      <c r="AH12" s="325">
        <f>SUM(AH13:AH15)</f>
        <v>4.660796860884029E-3</v>
      </c>
      <c r="AI12" s="325">
        <f>SUM(AI13:AI15)</f>
        <v>3.4652941043970492E-17</v>
      </c>
      <c r="AJ12" s="325">
        <f>SUM(AJ18:AJ20)</f>
        <v>0.13151910861215102</v>
      </c>
      <c r="AK12" s="325">
        <f>SUM(AK18:AK20)</f>
        <v>2.5595076070385666E-16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1026</v>
      </c>
      <c r="BO12" s="409" t="str">
        <f>ChemName</f>
        <v>Sb(III)</v>
      </c>
      <c r="BP12" s="541" t="str">
        <f>substances!D6</f>
        <v>Metal</v>
      </c>
      <c r="BQ12" s="542" t="str">
        <f>substances!E6</f>
        <v/>
      </c>
      <c r="BR12" s="425">
        <f>engine!D45</f>
        <v>162898.24261491044</v>
      </c>
      <c r="BS12" s="425"/>
      <c r="BT12" s="425">
        <f>engine!F45</f>
        <v>45293637.653786719</v>
      </c>
      <c r="BU12" s="425">
        <f>engine!G45</f>
        <v>3916914.1411638968</v>
      </c>
      <c r="BV12" s="425">
        <f>engine!H45</f>
        <v>1040339463.2545519</v>
      </c>
      <c r="BW12" s="425">
        <f>engine!I45</f>
        <v>27649214.138894945</v>
      </c>
      <c r="BX12" s="425">
        <f>engine!J45</f>
        <v>2530387099.5084157</v>
      </c>
      <c r="BY12" s="425">
        <f>engine!K45</f>
        <v>60522476535.361679</v>
      </c>
      <c r="BZ12" s="425">
        <f>engine!L45</f>
        <v>937180407.22533906</v>
      </c>
      <c r="CA12" s="425">
        <f>engine!M45</f>
        <v>162211.92794600761</v>
      </c>
      <c r="CB12" s="425">
        <f>engine!N45</f>
        <v>21178203.252265941</v>
      </c>
      <c r="CC12" s="425">
        <f>engine!O45</f>
        <v>4393684.1419817023</v>
      </c>
      <c r="CD12" s="425">
        <f>engine!P45</f>
        <v>126244508823.15665</v>
      </c>
      <c r="CE12" s="425">
        <f>engine!Q45</f>
        <v>100917551.31081054</v>
      </c>
      <c r="CF12" s="425">
        <f>engine!R45</f>
        <v>44557543674.851425</v>
      </c>
      <c r="CG12" s="425">
        <f>engine!S45</f>
        <v>1391591051.6064603</v>
      </c>
      <c r="CH12" s="425">
        <f>engine!T45</f>
        <v>6795727472.6057491</v>
      </c>
      <c r="CI12" s="425">
        <f>engine!U45</f>
        <v>515404093.18757778</v>
      </c>
      <c r="CJ12" s="425">
        <f>engine!V45</f>
        <v>24870.672476135602</v>
      </c>
      <c r="CK12" s="425">
        <f>engine!W45</f>
        <v>658596386277.31787</v>
      </c>
      <c r="CL12" s="611"/>
      <c r="CM12" s="425">
        <f>engine!Y45</f>
        <v>464893468113.10687</v>
      </c>
      <c r="CN12" s="425">
        <f>engine!Z45</f>
        <v>827676349.65928495</v>
      </c>
      <c r="CO12" s="425">
        <f>engine!AA45</f>
        <v>1083.1778732592456</v>
      </c>
      <c r="CP12" s="425">
        <f>engine!AB45</f>
        <v>527585020015.83801</v>
      </c>
      <c r="CQ12" s="425"/>
      <c r="CR12" s="425">
        <f>engine!AD45</f>
        <v>305644786628.54468</v>
      </c>
      <c r="CS12" s="425">
        <f>engine!AE45</f>
        <v>59910149.718906946</v>
      </c>
      <c r="CT12" s="425">
        <f>engine!AF45</f>
        <v>1925.2052818290992</v>
      </c>
      <c r="CU12" s="425">
        <f>engine!AG45</f>
        <v>1515344514888.7576</v>
      </c>
      <c r="CV12" s="425"/>
      <c r="CW12" s="425">
        <f>engine!AI45</f>
        <v>1148782256346.0032</v>
      </c>
      <c r="CX12" s="425">
        <f>engine!AJ45</f>
        <v>23361642.726498235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19834.490018617784</v>
      </c>
      <c r="D13" s="122">
        <f>C13/$C$51</f>
        <v>2.4970619860184854E-6</v>
      </c>
      <c r="E13" s="318">
        <f>(1-FRgas.aC)*E11</f>
        <v>19750.924344541334</v>
      </c>
      <c r="F13" s="122">
        <f>E13/$E$51</f>
        <v>9.0302644057657941E-7</v>
      </c>
      <c r="G13" s="318">
        <f>(1-FRgas.aM)*G11</f>
        <v>3028.2530803623968</v>
      </c>
      <c r="H13" s="122">
        <f>G13/$G$51</f>
        <v>1.1910101884607869E-9</v>
      </c>
      <c r="I13" s="318">
        <f>(1-FRgas.aA)*I11</f>
        <v>131.88773784450251</v>
      </c>
      <c r="J13" s="122">
        <f>I13/$I$51</f>
        <v>7.8360542166604054E-11</v>
      </c>
      <c r="K13" s="318">
        <f>(1-FRgas.aT)*K11</f>
        <v>234.41299507569914</v>
      </c>
      <c r="L13" s="123">
        <f>K13/$K$51</f>
        <v>3.7392301768718133E-11</v>
      </c>
      <c r="M13" s="320">
        <f>(1-FRgas.aR)*M11</f>
        <v>8.6398440643889815E-8</v>
      </c>
      <c r="N13" s="320">
        <f>(1-FRgas.aC)*N11</f>
        <v>2.7434697148371475E-9</v>
      </c>
      <c r="O13" s="320">
        <f>(1-FRgas.aM)*O11</f>
        <v>3.9038378433361425E-11</v>
      </c>
      <c r="P13" s="320">
        <f>(1-FRgas.aA)*P11</f>
        <v>3.1032408904588825E-12</v>
      </c>
      <c r="Q13" s="320">
        <f>(1-FRgas.aT)*Q11</f>
        <v>1.838533294711366E-12</v>
      </c>
      <c r="R13" s="120" t="s">
        <v>1493</v>
      </c>
      <c r="S13" s="325">
        <f>S11*(1-FRgas.aR)</f>
        <v>1.6813423219554081E-6</v>
      </c>
      <c r="T13" s="325">
        <f>T11*(1-FRgas.aC)</f>
        <v>5.3388830934703294E-8</v>
      </c>
      <c r="U13" s="325">
        <f>U11*(1-FRgas.aM)</f>
        <v>7.596997972574372E-10</v>
      </c>
      <c r="V13" s="325">
        <f>V11*(1-FRgas.aA)</f>
        <v>5.5728405656548653E-11</v>
      </c>
      <c r="W13" s="326">
        <f>W11*(1-FRgas.aT)</f>
        <v>3.7410468232955233E-11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3.7524420564981134E-2</v>
      </c>
      <c r="AF13" s="330"/>
      <c r="AG13" s="326">
        <f>KDEG.w0R*M.w0R*Molweight</f>
        <v>6.3412489986257763E-14</v>
      </c>
      <c r="AH13" s="325">
        <f>k.aR.w0R*M.aR*Molweight</f>
        <v>3.3896677479358233E-4</v>
      </c>
      <c r="AI13" s="325">
        <f>k.w0R.aR*M.w0R*Molweight</f>
        <v>2.8287873773005839E-18</v>
      </c>
      <c r="AJ13" s="325"/>
      <c r="AK13" s="325"/>
      <c r="AL13" s="631">
        <f>SUM(AL18:AL20)*AREAFRAC.w0R/(AREAFRAC.w0R+AREAFRAC.w1R)</f>
        <v>3.7185453790250969E-2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3.7524420564981127E-2</v>
      </c>
      <c r="AE14" s="325">
        <f>(WATERflow.w1R.w0R+WATERflow.w1R.w2R)*C.w1R*Molweight</f>
        <v>0.40062965177537868</v>
      </c>
      <c r="AF14" s="330"/>
      <c r="AG14" s="326">
        <f>KDEG.w1R*M.w1R*Molweight</f>
        <v>2.0835014186361082E-14</v>
      </c>
      <c r="AH14" s="325">
        <f>k.aR.w1R*M.aR*Molweight</f>
        <v>3.728634522729406E-3</v>
      </c>
      <c r="AI14" s="325">
        <f>k.w1R.aR*M.w1R*Molweight</f>
        <v>3.0981186381962158E-17</v>
      </c>
      <c r="AJ14" s="325"/>
      <c r="AK14" s="325"/>
      <c r="AL14" s="631">
        <f>SUM(AL18:AL20)*AREAFRAC.w1R/(AREAFRAC.w0R+AREAFRAC.w1R)</f>
        <v>0.40903999169276067</v>
      </c>
      <c r="AM14" s="325">
        <f>k.w1R.sd1R*M.w1R*Molweight</f>
        <v>3.7536629876632315</v>
      </c>
      <c r="AN14" s="326">
        <f>k.sd1R.w1R*M.sd1R*Molweight</f>
        <v>3.3869016728205139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15653044.007106416</v>
      </c>
      <c r="D15" s="122">
        <f>C15/$C$51</f>
        <v>1.9706390796501933E-3</v>
      </c>
      <c r="E15" s="318">
        <f>M.w0C*Molweight</f>
        <v>2578658.0279959012</v>
      </c>
      <c r="F15" s="122">
        <f>E15/$E$51</f>
        <v>1.1789809630499276E-4</v>
      </c>
      <c r="G15" s="318"/>
      <c r="H15" s="122"/>
      <c r="I15" s="318"/>
      <c r="J15" s="122"/>
      <c r="K15" s="318"/>
      <c r="L15" s="123"/>
      <c r="M15" s="320">
        <f>C.w0R*Molweight</f>
        <v>2.7392998218675094E-4</v>
      </c>
      <c r="N15" s="320">
        <f>C.w0C*Molweight</f>
        <v>2.9590090514721284E-6</v>
      </c>
      <c r="O15" s="320"/>
      <c r="P15" s="320"/>
      <c r="Q15" s="320"/>
      <c r="R15" s="120" t="s">
        <v>1489</v>
      </c>
      <c r="S15" s="325">
        <f>F.w0R</f>
        <v>2.0359240370411098E-20</v>
      </c>
      <c r="T15" s="325">
        <f>F.w0C</f>
        <v>2.1992180650043854E-22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0.65580056804712106</v>
      </c>
      <c r="AE15" s="325">
        <f>k.w2R.w2C*M.w2R*Molweight</f>
        <v>0.65331573295404666</v>
      </c>
      <c r="AF15" s="330"/>
      <c r="AG15" s="326">
        <f>KDEG.w2R*M.w2R*Molweight</f>
        <v>1.8896667501140709E-15</v>
      </c>
      <c r="AH15" s="325">
        <f>k.aR.w2R*M.aR*Molweight</f>
        <v>5.9319556336104068E-4</v>
      </c>
      <c r="AI15" s="325">
        <f>k.w2R.aR*M.w2R*Molweight</f>
        <v>8.4296728470774856E-19</v>
      </c>
      <c r="AJ15" s="325"/>
      <c r="AK15" s="325"/>
      <c r="AL15" s="631"/>
      <c r="AM15" s="325">
        <f>k.w2R.sd2R*M.w2R*Molweight</f>
        <v>3.4898956632226245E-2</v>
      </c>
      <c r="AN15" s="326">
        <f>k.sd2R.w2R*M.sd2R*Molweight</f>
        <v>3.1820925975792856E-2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15613986.556574341</v>
      </c>
      <c r="D16" s="122">
        <f>C16/$C$51</f>
        <v>1.9657219441502186E-3</v>
      </c>
      <c r="E16" s="318">
        <f>FRw.w0C*E15</f>
        <v>2572223.7645822251</v>
      </c>
      <c r="F16" s="122">
        <f>E16/$E$51</f>
        <v>1.1760391716244596E-4</v>
      </c>
      <c r="G16" s="318"/>
      <c r="H16" s="122"/>
      <c r="I16" s="318"/>
      <c r="J16" s="122"/>
      <c r="K16" s="318"/>
      <c r="L16" s="123"/>
      <c r="M16" s="320">
        <f>M15*FRw.w0R</f>
        <v>2.7324647253050425E-4</v>
      </c>
      <c r="N16" s="320">
        <f>N15*FRw.w0C</f>
        <v>2.9516257367890951E-6</v>
      </c>
      <c r="O16" s="320"/>
      <c r="P16" s="320"/>
      <c r="Q16" s="320"/>
      <c r="R16" s="120" t="s">
        <v>1489</v>
      </c>
      <c r="S16" s="325">
        <f>S15*FRw.w0R</f>
        <v>2.0308440026191982E-20</v>
      </c>
      <c r="T16" s="325">
        <f>T15*FRw.w0C</f>
        <v>2.1937305795833927E-22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0.36676131484220259</v>
      </c>
      <c r="AG16" s="326">
        <f>KDEG.sd1R*M.sd1R*Molweight</f>
        <v>5.1444709358554356E-13</v>
      </c>
      <c r="AH16" s="325"/>
      <c r="AI16" s="325"/>
      <c r="AJ16" s="325"/>
      <c r="AK16" s="325"/>
      <c r="AL16" s="631"/>
      <c r="AM16" s="325">
        <f>k.w1R.sd1R*M.w1R*Molweight</f>
        <v>3.7536629876632315</v>
      </c>
      <c r="AN16" s="326">
        <f>k.sd1R.w1R*M.sd1R*Molweight</f>
        <v>3.3869016728205139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39057.450532075694</v>
      </c>
      <c r="D17" s="122">
        <f>C17/$C$51</f>
        <v>4.917135499974918E-6</v>
      </c>
      <c r="E17" s="318">
        <f>(1-FRw.w0C)*E15</f>
        <v>6434.2634136762936</v>
      </c>
      <c r="F17" s="122">
        <f>E17/$E$51</f>
        <v>2.9417914254681659E-7</v>
      </c>
      <c r="G17" s="318"/>
      <c r="H17" s="122"/>
      <c r="I17" s="318"/>
      <c r="J17" s="122"/>
      <c r="K17" s="318"/>
      <c r="L17" s="123"/>
      <c r="M17" s="320">
        <f>M16*Kp.susp1R</f>
        <v>1.3662323626525212</v>
      </c>
      <c r="N17" s="320">
        <f>N16*Kp.susp1C</f>
        <v>1.4758128683945475E-2</v>
      </c>
      <c r="O17" s="320"/>
      <c r="P17" s="320"/>
      <c r="Q17" s="320"/>
      <c r="R17" s="120" t="s">
        <v>1494</v>
      </c>
      <c r="S17" s="325">
        <f>S15*(1-FRw.w0R)</f>
        <v>5.0800344219115565E-23</v>
      </c>
      <c r="T17" s="325">
        <f>T15*(1-FRw.w0C)</f>
        <v>5.4874854209928534E-25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3.0780306564197279E-3</v>
      </c>
      <c r="AG17" s="326">
        <f>KDEG.sd2R*M.sd2R*Molweight</f>
        <v>1.3672515900897298E-14</v>
      </c>
      <c r="AH17" s="325"/>
      <c r="AI17" s="325"/>
      <c r="AJ17" s="325"/>
      <c r="AK17" s="325"/>
      <c r="AL17" s="631"/>
      <c r="AM17" s="325">
        <f>k.w2R.sd2R*M.w2R*Molweight</f>
        <v>3.4898956632226245E-2</v>
      </c>
      <c r="AN17" s="326">
        <f>k.sd2R.w2R*M.sd2R*Molweight</f>
        <v>3.1820925975792856E-2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1.9515989607352965E-4</v>
      </c>
      <c r="AG18" s="326">
        <f>KDEG.s1R*M.s1R*Molweight</f>
        <v>1.2512745454412735E-12</v>
      </c>
      <c r="AH18" s="325"/>
      <c r="AI18" s="325"/>
      <c r="AJ18" s="325">
        <f>k.aR.s1R*M.aR*Molweight</f>
        <v>3.6608411675547202E-2</v>
      </c>
      <c r="AK18" s="325">
        <f>k.s1R.aR*M.s1R*Molweight</f>
        <v>2.0886302174562797E-17</v>
      </c>
      <c r="AL18" s="631">
        <f>(k.s1R.w1R+k.s1R.w0R)*M.s1R*Molweight</f>
        <v>3.6413251778222369E-2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5514953.3207250712</v>
      </c>
      <c r="D19" s="122">
        <f>C19/$C$51</f>
        <v>6.9430473276210129E-4</v>
      </c>
      <c r="E19" s="318">
        <f>M.w1C*Molweight</f>
        <v>534974.98112769215</v>
      </c>
      <c r="F19" s="122">
        <f>E19/$E$51</f>
        <v>2.4459440205327835E-5</v>
      </c>
      <c r="G19" s="318"/>
      <c r="H19" s="122"/>
      <c r="I19" s="318"/>
      <c r="J19" s="122"/>
      <c r="K19" s="318"/>
      <c r="L19" s="123"/>
      <c r="M19" s="320">
        <f>C.w1R*Molweight</f>
        <v>2.9246147368023701E-4</v>
      </c>
      <c r="N19" s="320">
        <f>C.w1C*Molweight</f>
        <v>1.8602532605599244E-6</v>
      </c>
      <c r="O19" s="320"/>
      <c r="P19" s="320"/>
      <c r="Q19" s="320"/>
      <c r="R19" s="120" t="s">
        <v>1489</v>
      </c>
      <c r="S19" s="325">
        <f>F.w1R</f>
        <v>2.1736552509543414E-20</v>
      </c>
      <c r="T19" s="325">
        <f>F.w1C</f>
        <v>1.3825921127450902E-22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2.1241415960783654E-3</v>
      </c>
      <c r="AG19" s="326">
        <f>KDEG.s2R*M.s2R*Molweight</f>
        <v>2.9928319793630438E-11</v>
      </c>
      <c r="AH19" s="325"/>
      <c r="AI19" s="325"/>
      <c r="AJ19" s="325">
        <f>k.aR.s2R*M.aR*Molweight</f>
        <v>8.1352025945660419E-2</v>
      </c>
      <c r="AK19" s="325">
        <f>k.s2R.aR*M.s2R*Molweight</f>
        <v>2.2732879105723356E-16</v>
      </c>
      <c r="AL19" s="631">
        <f>(k.s2R.w1R+k.s2R.w0R)*M.s2R*Molweight</f>
        <v>0.39632580415729951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5130182.2635001047</v>
      </c>
      <c r="D20" s="122">
        <f>C20/$C$51</f>
        <v>6.4586400252831426E-4</v>
      </c>
      <c r="E20" s="318">
        <f>FRw.w1C*E19</f>
        <v>497650.47861488652</v>
      </c>
      <c r="F20" s="122">
        <f>E20/$E$51</f>
        <v>2.275293715451008E-5</v>
      </c>
      <c r="G20" s="318"/>
      <c r="H20" s="122"/>
      <c r="I20" s="318"/>
      <c r="J20" s="122"/>
      <c r="K20" s="318"/>
      <c r="L20" s="123"/>
      <c r="M20" s="320">
        <f>M19*FRw.w1R</f>
        <v>2.7205682038922385E-4</v>
      </c>
      <c r="N20" s="320">
        <f>N19*FRw.w1C</f>
        <v>1.7304658313387232E-6</v>
      </c>
      <c r="O20" s="320"/>
      <c r="P20" s="320"/>
      <c r="Q20" s="320"/>
      <c r="R20" s="120" t="s">
        <v>1489</v>
      </c>
      <c r="S20" s="325">
        <f>S19*FRw.w1R</f>
        <v>2.02200217606624E-20</v>
      </c>
      <c r="T20" s="325">
        <f>T19*FRw.w1C</f>
        <v>1.2861304750857733E-22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7.2281442990196169E-5</v>
      </c>
      <c r="AG20" s="326">
        <f>KDEG.s3R*M.s3R*Molweight</f>
        <v>4.6343501683010132E-13</v>
      </c>
      <c r="AH20" s="325"/>
      <c r="AI20" s="325"/>
      <c r="AJ20" s="325">
        <f>k.aR.s3R*M.aR*Molweight</f>
        <v>1.3558670990943406E-2</v>
      </c>
      <c r="AK20" s="325">
        <f>k.s3R.aR*M.s3R*Molweight</f>
        <v>7.7356674720602932E-18</v>
      </c>
      <c r="AL20" s="631">
        <f>(k.s3R.w1R+k.s3R.w0R)*M.s3R*Molweight</f>
        <v>1.3486389547489763E-2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2.0886302174562797E-17</v>
      </c>
      <c r="BE20" s="2"/>
      <c r="BF20" s="296">
        <f>IF(output!AK20&lt;0,"",output!AK20)</f>
        <v>7.7356674720602932E-18</v>
      </c>
      <c r="BG20" s="75"/>
      <c r="BH20" s="296">
        <f>IF(output!AK19&lt;0,"",output!AK19)</f>
        <v>2.2732879105723356E-16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384771.05722496682</v>
      </c>
      <c r="D21" s="122">
        <f>C21/$C$51</f>
        <v>4.8440730233787145E-5</v>
      </c>
      <c r="E21" s="318">
        <f>(1-FRw.w1C)*E19</f>
        <v>37324.502512805651</v>
      </c>
      <c r="F21" s="122">
        <f>E21/$E$51</f>
        <v>1.7065030508177565E-6</v>
      </c>
      <c r="G21" s="318"/>
      <c r="H21" s="122"/>
      <c r="I21" s="318"/>
      <c r="J21" s="122"/>
      <c r="K21" s="318"/>
      <c r="L21" s="123"/>
      <c r="M21" s="320">
        <f>M20*Kp.susp1R</f>
        <v>1.3602841019461192</v>
      </c>
      <c r="N21" s="320">
        <f>N20*Kp.susp1C</f>
        <v>8.6523291566936167E-3</v>
      </c>
      <c r="O21" s="320"/>
      <c r="P21" s="320"/>
      <c r="Q21" s="320"/>
      <c r="R21" s="120" t="s">
        <v>1494</v>
      </c>
      <c r="S21" s="325">
        <f>S19*(1-FRw.w1R)</f>
        <v>1.5165307488810136E-21</v>
      </c>
      <c r="T21" s="325">
        <f>T19*(1-FRw.w1C)</f>
        <v>9.6461637659317006E-24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8.4296728470774856E-19</v>
      </c>
      <c r="AV21" s="75"/>
      <c r="AW21" s="75"/>
      <c r="AX21" s="288">
        <f>IF(output!AI14&lt;0,"",output!AI14)</f>
        <v>3.0981186381962158E-17</v>
      </c>
      <c r="AY21" s="75"/>
      <c r="AZ21" s="75"/>
      <c r="BA21" s="296">
        <f>IF(output!AI13&lt;0,"",output!AI13)</f>
        <v>2.8287873773005839E-18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0.18723207404827072</v>
      </c>
      <c r="AE22" s="325">
        <f>(k.aC.aM+k.aC.aR)*M.aC*Molweight</f>
        <v>3.3224530195435954E-2</v>
      </c>
      <c r="AF22" s="325">
        <f>kesc.aC*M.aC*Molweight</f>
        <v>7.2352747782280388E-6</v>
      </c>
      <c r="AG22" s="326">
        <f>KDEG.aC*M.aC*Molweight</f>
        <v>1.9475442662651657E-26</v>
      </c>
      <c r="AH22" s="325">
        <f>SUM(AH23:AH25)</f>
        <v>8.1671132265278099E-2</v>
      </c>
      <c r="AI22" s="325">
        <f>SUM(AI23:AI25)</f>
        <v>1.3619385622501483E-15</v>
      </c>
      <c r="AJ22" s="325">
        <f>SUM(AJ28:AJ30)</f>
        <v>7.2329176312779728E-2</v>
      </c>
      <c r="AK22" s="325">
        <f>SUM(AK28:AK30)</f>
        <v>4.1266172535881205E-17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3.6608411675547202E-2</v>
      </c>
      <c r="BE22" s="2"/>
      <c r="BF22" s="296">
        <f>IF(output!AJ20&lt;0,"",output!AJ20)</f>
        <v>1.3558670990943406E-2</v>
      </c>
      <c r="BG22" s="75"/>
      <c r="BH22" s="296">
        <f>IF(output!AJ19&lt;0,"",output!AJ19)</f>
        <v>8.1352025945660419E-2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126671733.04587424</v>
      </c>
      <c r="D23" s="122">
        <f>C23/$C$51</f>
        <v>1.5947330583999397E-2</v>
      </c>
      <c r="E23" s="318">
        <f>M.sd1C*Molweight</f>
        <v>12287721.047604291</v>
      </c>
      <c r="F23" s="122">
        <f>E23/$E$51</f>
        <v>5.6180342787261585E-4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0.51672941331239952</v>
      </c>
      <c r="N23" s="320">
        <f>C.sd1C*(Molweight*1000)/(FRACw.sdC*1000+FRACs.sdC*RHOsolid)</f>
        <v>3.2867494095738196E-3</v>
      </c>
      <c r="O23" s="320"/>
      <c r="P23" s="320"/>
      <c r="Q23" s="320"/>
      <c r="R23" s="120" t="s">
        <v>1495</v>
      </c>
      <c r="S23" s="325">
        <f>F.sd1R</f>
        <v>3.9915416338670481E-20</v>
      </c>
      <c r="T23" s="325">
        <f>F.sd1C</f>
        <v>2.5388911043990362E-22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6.1817144506751062E-3</v>
      </c>
      <c r="AF23" s="330"/>
      <c r="AG23" s="326">
        <f>KDEG.w0C*M.w0C*Molweight</f>
        <v>1.0446474583731846E-14</v>
      </c>
      <c r="AH23" s="325">
        <f>k.aC.w0C*M.aC*Molweight</f>
        <v>1.864154028776729E-4</v>
      </c>
      <c r="AI23" s="325">
        <f>k.w0C.aC*M.w0C*Molweight</f>
        <v>4.660100154741761E-19</v>
      </c>
      <c r="AJ23" s="325"/>
      <c r="AK23" s="325"/>
      <c r="AL23" s="631">
        <f>SUM(AL28:AL30)*AREAFRAC.w0C/(AREAFRAC.w1C+AREAFRAC.w0C)</f>
        <v>5.9952990478078783E-3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5.9319556336104068E-4</v>
      </c>
      <c r="AV23" s="75"/>
      <c r="AW23" s="75"/>
      <c r="AX23" s="288">
        <f>IF(output!AH14&lt;0,"",output!AH14)</f>
        <v>3.728634522729406E-3</v>
      </c>
      <c r="AY23" s="291">
        <f>output!AL14</f>
        <v>0.40903999169276067</v>
      </c>
      <c r="AZ23" s="87"/>
      <c r="BA23" s="296">
        <f>IF(output!AH13&lt;0,"",output!AH13)</f>
        <v>3.3896677479358233E-4</v>
      </c>
      <c r="BB23" s="291">
        <f>output!AL13</f>
        <v>3.7185453790250969E-2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101337386.43669939</v>
      </c>
      <c r="D24" s="122">
        <f>C24/$C$51</f>
        <v>1.2757864467199516E-2</v>
      </c>
      <c r="E24" s="318">
        <f>E23*FRACw.sdC</f>
        <v>9830176.838083433</v>
      </c>
      <c r="F24" s="122">
        <f>E24/$E$51</f>
        <v>4.4944274229809271E-4</v>
      </c>
      <c r="G24" s="318"/>
      <c r="H24" s="122"/>
      <c r="I24" s="318"/>
      <c r="J24" s="122"/>
      <c r="K24" s="318"/>
      <c r="L24" s="123"/>
      <c r="M24" s="320">
        <f>M25/Kp.sd1R</f>
        <v>5.3705487472507159E-4</v>
      </c>
      <c r="N24" s="320">
        <f>N25/Kp.sd1C</f>
        <v>3.416033124756928E-6</v>
      </c>
      <c r="O24" s="320"/>
      <c r="P24" s="320"/>
      <c r="Q24" s="320"/>
      <c r="R24" s="120" t="s">
        <v>1489</v>
      </c>
      <c r="S24" s="325">
        <f>S23*FRACw.sdR</f>
        <v>3.1932333070936386E-20</v>
      </c>
      <c r="T24" s="325">
        <f>T23*FRACw.sdC</f>
        <v>2.0311128835192292E-22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6.1817144506751062E-3</v>
      </c>
      <c r="AE24" s="325">
        <f>(k.w1C.w0C+k.w1C.w1R+k.w1C.w2C)*M.w1C*Molweight</f>
        <v>3.8862856661413918E-2</v>
      </c>
      <c r="AF24" s="330"/>
      <c r="AG24" s="326">
        <f>KDEG.w1C*M.w1C*Molweight</f>
        <v>2.021088969013845E-15</v>
      </c>
      <c r="AH24" s="325">
        <f>k.aC.w1C*M.aC*Molweight</f>
        <v>2.0505694316544018E-3</v>
      </c>
      <c r="AI24" s="325">
        <f>k.w1C.aC*M.w1C*Molweight</f>
        <v>3.0053127626154864E-18</v>
      </c>
      <c r="AJ24" s="518"/>
      <c r="AK24" s="518"/>
      <c r="AL24" s="631">
        <f>SUM(AL28:AL30)*AREAFRAC.w1C/(AREAFRAC.w1C+AREAFRAC.w0C)</f>
        <v>6.5948289525886661E-2</v>
      </c>
      <c r="AM24" s="325">
        <f>k.w1C.sd1C*M.w1C*Molweight</f>
        <v>0.36412199146607449</v>
      </c>
      <c r="AN24" s="326">
        <f>k.sd1C.w1C*M.sd1C*Molweight</f>
        <v>0.32880427471927426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3.7524420564981134E-2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25334346.60917484</v>
      </c>
      <c r="D25" s="122">
        <f>C25/$C$51</f>
        <v>3.1894661167998781E-3</v>
      </c>
      <c r="E25" s="318">
        <f>E23*FRACs.sdC</f>
        <v>2457544.2095208578</v>
      </c>
      <c r="F25" s="122">
        <f>E25/$E$51</f>
        <v>1.1236068557452317E-4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1.342637186812679</v>
      </c>
      <c r="N25" s="320">
        <f>C.sd1C*FRACs.sdC/(FRACw.sdC/(Kp.sd1C*RHOsolid/1000)+FRACs.sdC)*(Molweight*1000)/(FRACs.sdC*RHOsolid)</f>
        <v>8.5400828118923199E-3</v>
      </c>
      <c r="O25" s="320"/>
      <c r="P25" s="320"/>
      <c r="Q25" s="320"/>
      <c r="R25" s="120" t="s">
        <v>1494</v>
      </c>
      <c r="S25" s="325">
        <f>S23*(1-FRACw.sdR)</f>
        <v>7.983083267734095E-21</v>
      </c>
      <c r="T25" s="325">
        <f>T23*(1-FRACw.sdC)</f>
        <v>5.0777822087980711E-23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487.32027651402143</v>
      </c>
      <c r="AE25" s="325">
        <f>(k.w2C.w2M+k.w2C.w2R)*M.w2C*Molweight</f>
        <v>487.39971066136917</v>
      </c>
      <c r="AF25" s="330"/>
      <c r="AG25" s="326">
        <f>KDEG.w2C*M.w2C*Molweight</f>
        <v>6.0905100829377476E-11</v>
      </c>
      <c r="AH25" s="325">
        <f>k.aC.w2C*M.aC*Molweight</f>
        <v>7.9434147430746019E-2</v>
      </c>
      <c r="AI25" s="325">
        <f>k.w2C.aC*M.w2C*Molweight</f>
        <v>1.3584672394720587E-15</v>
      </c>
      <c r="AJ25" s="325"/>
      <c r="AK25" s="325"/>
      <c r="AL25" s="631"/>
      <c r="AM25" s="325">
        <f>k.w2C.sd2C*M.w2C*Molweight</f>
        <v>56.240722667039101</v>
      </c>
      <c r="AN25" s="326">
        <f>k.sd2C.w2C*M.sd2C*Molweight</f>
        <v>56.240722667017067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0.40062965177537868</v>
      </c>
      <c r="AT25" s="75"/>
      <c r="AU25" s="75"/>
      <c r="AV25" s="87"/>
      <c r="AW25" s="75"/>
      <c r="AX25" s="289">
        <f>output!AD14</f>
        <v>3.7524420564981127E-2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3.5317716746750293E-2</v>
      </c>
      <c r="AG26" s="326">
        <f>KDEG.sd1C*M.sd1C*Molweight</f>
        <v>4.9903654333367695E-14</v>
      </c>
      <c r="AH26" s="325"/>
      <c r="AI26" s="325"/>
      <c r="AJ26" s="325"/>
      <c r="AK26" s="325"/>
      <c r="AL26" s="631"/>
      <c r="AM26" s="325">
        <f>k.w1C.sd1C*M.w1C*Molweight</f>
        <v>0.36412199146607449</v>
      </c>
      <c r="AN26" s="326">
        <f>k.sd1C.w1C*M.sd1C*Molweight</f>
        <v>0.32880427471927426</v>
      </c>
      <c r="AO26" s="329">
        <f>SUM(AC26,AD26,AM26)-SUM(AE26,AF26,AG26,AN26)</f>
        <v>0</v>
      </c>
      <c r="AP26" s="29"/>
      <c r="AQ26" s="438"/>
      <c r="AR26" s="2"/>
      <c r="AS26" s="313">
        <f>output!AE15</f>
        <v>0.65331573295404666</v>
      </c>
      <c r="AT26" s="75"/>
      <c r="AU26" s="285">
        <f>output!AD15</f>
        <v>0.65580056804712106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476923.46582811611</v>
      </c>
      <c r="D27" s="122">
        <f>C27/$C$51</f>
        <v>6.0042252442171244E-5</v>
      </c>
      <c r="E27" s="318">
        <f>M.w2C*Molweight</f>
        <v>15371531394.307554</v>
      </c>
      <c r="F27" s="122">
        <f>E27/$E$51</f>
        <v>0.70279745084685274</v>
      </c>
      <c r="G27" s="318">
        <f>M.w2M*Molweight</f>
        <v>80190695993.126236</v>
      </c>
      <c r="H27" s="122">
        <f>G27/$G$51</f>
        <v>3.1538954444370722E-2</v>
      </c>
      <c r="I27" s="318">
        <f>M.w2A*Molweight</f>
        <v>64238752037.128441</v>
      </c>
      <c r="J27" s="122">
        <f>I27/$I$51</f>
        <v>3.8167183090745904E-2</v>
      </c>
      <c r="K27" s="318">
        <f>M.w2T*Molweight</f>
        <v>184508348132.85513</v>
      </c>
      <c r="L27" s="123">
        <f>K27/$K$51</f>
        <v>2.9431780563204099E-2</v>
      </c>
      <c r="M27" s="320">
        <f>C.w2R*Molweight</f>
        <v>4.769234658281156E-5</v>
      </c>
      <c r="N27" s="320">
        <f>C.w2C*Molweight</f>
        <v>2.0697325900328207E-5</v>
      </c>
      <c r="O27" s="320">
        <f>C.w2M*Molweight</f>
        <v>2.0675383819899669E-5</v>
      </c>
      <c r="P27" s="320">
        <f>C.w2A*Molweight</f>
        <v>2.5191667465540568E-5</v>
      </c>
      <c r="Q27" s="320">
        <f>C.w2T*Molweight</f>
        <v>2.0673204272588811E-5</v>
      </c>
      <c r="R27" s="120" t="s">
        <v>1489</v>
      </c>
      <c r="S27" s="325">
        <f>F.w2R</f>
        <v>3.5446282300213938E-21</v>
      </c>
      <c r="T27" s="325">
        <f>F.w2C</f>
        <v>1.538282993579876E-21</v>
      </c>
      <c r="U27" s="325">
        <f>F.w2M</f>
        <v>1.5366521969576681E-21</v>
      </c>
      <c r="V27" s="325">
        <f>F.w2A</f>
        <v>2.714291348027254E-22</v>
      </c>
      <c r="W27" s="326">
        <f>F.w2T</f>
        <v>4.2065827904111698E-21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2.20336723256931E-11</v>
      </c>
      <c r="AH27" s="325"/>
      <c r="AI27" s="325"/>
      <c r="AJ27" s="325"/>
      <c r="AK27" s="325"/>
      <c r="AL27" s="631"/>
      <c r="AM27" s="325">
        <f>k.w2C.sd2C*M.w2C*Molweight</f>
        <v>56.240722667039101</v>
      </c>
      <c r="AN27" s="326">
        <f>k.sd2C.w2C*M.sd2C*Molweight</f>
        <v>56.240722667017067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6.3412489986257763E-14</v>
      </c>
      <c r="BB27" s="264">
        <f>IF(ISERROR(output!D15),0,output!D15)</f>
        <v>1.9706390796501933E-3</v>
      </c>
      <c r="BC27" s="86"/>
      <c r="BD27" s="295">
        <f>output!AG18</f>
        <v>1.2512745454412735E-12</v>
      </c>
      <c r="BE27" s="75"/>
      <c r="BF27" s="295">
        <f>output!AG19</f>
        <v>2.9928319793630438E-11</v>
      </c>
      <c r="BG27" s="75"/>
      <c r="BH27" s="256">
        <f>output!AG20</f>
        <v>4.6343501683010132E-13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465290.53249731648</v>
      </c>
      <c r="D28" s="122">
        <f>C28/$C$51</f>
        <v>5.8577724966094933E-5</v>
      </c>
      <c r="E28" s="318">
        <f>FRw.w2C*E27</f>
        <v>14996594926.05938</v>
      </c>
      <c r="F28" s="122">
        <f>E28/$E$51</f>
        <v>0.68565508634490591</v>
      </c>
      <c r="G28" s="318">
        <f>FRw.w2M*G27</f>
        <v>78234715448.913177</v>
      </c>
      <c r="H28" s="122">
        <f>G28/$G$51</f>
        <v>3.0769668425412872E-2</v>
      </c>
      <c r="I28" s="318">
        <f>FRw.w2A*I27</f>
        <v>62671865160.626953</v>
      </c>
      <c r="J28" s="122">
        <f>I28/$I$51</f>
        <v>3.7236223873740038E-2</v>
      </c>
      <c r="K28" s="318">
        <f>FRw.w2T*K27</f>
        <v>180007891630.72314</v>
      </c>
      <c r="L28" s="123">
        <f>K28/$K$51</f>
        <v>2.8713891917268041E-2</v>
      </c>
      <c r="M28" s="320">
        <f>M27*FRw.w2R</f>
        <v>4.6529053249731598E-5</v>
      </c>
      <c r="N28" s="320">
        <f>N27*FRw.w2C</f>
        <v>2.0192484705512424E-5</v>
      </c>
      <c r="O28" s="320">
        <f>O27*FRw.w2M</f>
        <v>2.0171077827851318E-5</v>
      </c>
      <c r="P28" s="320">
        <f>P27*FRw.w2A</f>
        <v>2.4577202023775278E-5</v>
      </c>
      <c r="Q28" s="320">
        <f>Q27*FRw.w2T</f>
        <v>2.0168951443218279E-5</v>
      </c>
      <c r="R28" s="120" t="s">
        <v>1489</v>
      </c>
      <c r="S28" s="325">
        <f>S27*FRw.w2R</f>
        <v>3.4581690246419503E-21</v>
      </c>
      <c r="T28" s="325">
        <f>T27*FRw.w2C</f>
        <v>1.5007617877881971E-21</v>
      </c>
      <c r="U28" s="325">
        <f>U27*FRw.w2M</f>
        <v>1.4991707689285476E-21</v>
      </c>
      <c r="V28" s="325">
        <f>V27*FRw.w2A</f>
        <v>2.6480853997895401E-22</v>
      </c>
      <c r="W28" s="326">
        <f>W27*FRw.w2T</f>
        <v>4.1039774445694149E-21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1.0732854473575669E-4</v>
      </c>
      <c r="AG28" s="326">
        <f>KDEG.s1C*M.s1C*Molweight</f>
        <v>6.8814074371359886E-13</v>
      </c>
      <c r="AH28" s="325"/>
      <c r="AI28" s="325"/>
      <c r="AJ28" s="325">
        <f>k.aC.s1C*M.aC*Molweight</f>
        <v>2.0132863509742811E-2</v>
      </c>
      <c r="AK28" s="325">
        <f>k.s1C.aC*M.s1C*Molweight</f>
        <v>1.1486460396876312E-17</v>
      </c>
      <c r="AL28" s="631">
        <f>(k.s1C.w1C+k.s1C.w0C)*M.s1C*Molweight</f>
        <v>2.0025534964318904E-2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11632.933330799604</v>
      </c>
      <c r="D29" s="122">
        <f>C29/$C$51</f>
        <v>1.4645274760763114E-6</v>
      </c>
      <c r="E29" s="318">
        <f>(1-FRw.w2C)*E27</f>
        <v>374936468.24817467</v>
      </c>
      <c r="F29" s="122">
        <f>E29/$E$51</f>
        <v>1.7142364501946832E-2</v>
      </c>
      <c r="G29" s="318">
        <f>(1-FRw.w2M)*G27</f>
        <v>1955980544.2130582</v>
      </c>
      <c r="H29" s="122">
        <f>G29/$G$51</f>
        <v>7.6928601895784744E-4</v>
      </c>
      <c r="I29" s="318">
        <f>(1-FRw.w2A)*I27</f>
        <v>1566886876.5014908</v>
      </c>
      <c r="J29" s="122">
        <f>I29/$I$51</f>
        <v>9.309592170058706E-4</v>
      </c>
      <c r="K29" s="318">
        <f>(1-FRw.w2T)*K27</f>
        <v>4500456502.1319866</v>
      </c>
      <c r="L29" s="123">
        <f>K29/$K$51</f>
        <v>7.1788864593605548E-4</v>
      </c>
      <c r="M29" s="320">
        <f>M28*Kp.susp2R</f>
        <v>0.232645266248658</v>
      </c>
      <c r="N29" s="320">
        <f>N28*Kp.susp2C</f>
        <v>0.10096242352756211</v>
      </c>
      <c r="O29" s="320">
        <f>O28*Kp.susp2M</f>
        <v>0.1008553891392566</v>
      </c>
      <c r="P29" s="320">
        <f>P28*Kp.susp2A</f>
        <v>0.12288601011887638</v>
      </c>
      <c r="Q29" s="320">
        <f>Q28*Kp.susp2T</f>
        <v>0.1008447572160914</v>
      </c>
      <c r="R29" s="120" t="s">
        <v>1494</v>
      </c>
      <c r="S29" s="325">
        <f>S27*(1-FRw.w2R)</f>
        <v>8.645920537944346E-23</v>
      </c>
      <c r="T29" s="325">
        <f>T27*(1-FRw.w2C)</f>
        <v>3.7521205791679003E-23</v>
      </c>
      <c r="U29" s="325">
        <f>U27*(1-FRw.w2M)</f>
        <v>3.7481428029120608E-23</v>
      </c>
      <c r="V29" s="325">
        <f>V27*(1-FRw.w2A)</f>
        <v>6.6205948237713604E-24</v>
      </c>
      <c r="W29" s="326">
        <f>W27*(1-FRw.w2T)</f>
        <v>1.0260534584175464E-22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2.3850787718080791E-4</v>
      </c>
      <c r="AG29" s="326">
        <f>KDEG.s2C*M.s2C*Molweight</f>
        <v>3.3604821989013041E-12</v>
      </c>
      <c r="AH29" s="325"/>
      <c r="AI29" s="325"/>
      <c r="AJ29" s="325">
        <f>k.aC.s2C*M.aC*Molweight</f>
        <v>4.4739696688317357E-2</v>
      </c>
      <c r="AK29" s="325">
        <f>k.s2C.aC*M.s2C*Molweight</f>
        <v>2.5525467547569226E-17</v>
      </c>
      <c r="AL29" s="631">
        <f>(k.s2C.w1C+k.s2C.w0C)*M.s2C*Molweight</f>
        <v>4.4501188807776051E-2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3.9751312865095071E-5</v>
      </c>
      <c r="AG30" s="326">
        <f>KDEG.s3C*M.s3C*Molweight</f>
        <v>2.5486694211614765E-13</v>
      </c>
      <c r="AH30" s="325"/>
      <c r="AI30" s="325"/>
      <c r="AJ30" s="325">
        <f>k.aC.s3C*M.aC*Molweight</f>
        <v>7.4566161147195578E-3</v>
      </c>
      <c r="AK30" s="325">
        <f>k.s3C.aC*M.s3C*Molweight</f>
        <v>4.254244591435671E-18</v>
      </c>
      <c r="AL30" s="631">
        <f>(k.s3C.w1C+k.s3C.w0C)*M.s3C*Molweight</f>
        <v>7.4168648015995927E-3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6.9430473276210129E-4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2405695181131.29</v>
      </c>
      <c r="H31" s="122">
        <f>G31/$G$51</f>
        <v>0.94615852606199602</v>
      </c>
      <c r="I31" s="318">
        <f>M.w3A*Molweight</f>
        <v>1581627277566.0366</v>
      </c>
      <c r="J31" s="122">
        <f>I31/$I$51</f>
        <v>0.93971716401480965</v>
      </c>
      <c r="K31" s="318">
        <f>M.w3T*Molweight</f>
        <v>5944630604252.5762</v>
      </c>
      <c r="L31" s="123">
        <f>K31/$K$51</f>
        <v>0.94825554097795395</v>
      </c>
      <c r="M31" s="320"/>
      <c r="N31" s="320"/>
      <c r="O31" s="320">
        <f>C.w3M*Molweight</f>
        <v>2.0675162958986316E-5</v>
      </c>
      <c r="P31" s="320">
        <f>C.w3A*Molweight</f>
        <v>2.0674866373412247E-5</v>
      </c>
      <c r="Q31" s="320">
        <f>C.w3T*Molweight</f>
        <v>2.2202168456592258E-5</v>
      </c>
      <c r="R31" s="120" t="s">
        <v>1489</v>
      </c>
      <c r="S31" s="325"/>
      <c r="T31" s="325"/>
      <c r="U31" s="325">
        <f>F.w3M</f>
        <v>1.5366357819585232E-21</v>
      </c>
      <c r="V31" s="325">
        <f>F.w3A</f>
        <v>2.2276259003392768E-22</v>
      </c>
      <c r="W31" s="326">
        <f>F.w3T</f>
        <v>4.5176963622976504E-21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2.0835014186361082E-14</v>
      </c>
      <c r="AY31" s="75"/>
      <c r="AZ31" s="75"/>
      <c r="BA31" s="87"/>
      <c r="BB31" s="2"/>
      <c r="BC31" s="86"/>
      <c r="BD31" s="277">
        <f>IF(ISERROR(output!D39),0,output!D39)</f>
        <v>3.8788223466126912E-2</v>
      </c>
      <c r="BE31" s="75"/>
      <c r="BF31" s="277">
        <f>IF(ISERROR(output!D43),0,output!D43)</f>
        <v>0.92774712020666594</v>
      </c>
      <c r="BG31" s="75"/>
      <c r="BH31" s="273">
        <f>IF(ISERROR(output!D47),0,output!D47)</f>
        <v>1.4366008691158113E-2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2347016391636.7676</v>
      </c>
      <c r="H32" s="122">
        <f>G32/$G$51</f>
        <v>0.92308019202587288</v>
      </c>
      <c r="I32" s="318">
        <f>FRw.w3A*I31</f>
        <v>1543048834708.0146</v>
      </c>
      <c r="J32" s="122">
        <f>I32/$I$51</f>
        <v>0.91679594519868179</v>
      </c>
      <c r="K32" s="318">
        <f>FRw.w3T*K31</f>
        <v>5799631466130.0156</v>
      </c>
      <c r="L32" s="123">
        <f>K32/$K$51</f>
        <v>0.92512605736237219</v>
      </c>
      <c r="M32" s="320"/>
      <c r="N32" s="320"/>
      <c r="O32" s="320">
        <f>O31*FRw.w3M</f>
        <v>2.0170862354092227E-5</v>
      </c>
      <c r="P32" s="320">
        <f>P31*FRw.w3A</f>
        <v>2.0170573002719148E-5</v>
      </c>
      <c r="Q32" s="320">
        <f>Q31*FRw.w3T</f>
        <v>2.166062172224096E-5</v>
      </c>
      <c r="R32" s="120" t="s">
        <v>1489</v>
      </c>
      <c r="S32" s="325"/>
      <c r="T32" s="325"/>
      <c r="U32" s="325">
        <f>U31*FRw.w3M</f>
        <v>1.499154754317734E-21</v>
      </c>
      <c r="V32" s="325">
        <f>V31*FRw.w3A</f>
        <v>2.1732905080984835E-22</v>
      </c>
      <c r="W32" s="326">
        <f>W31*FRw.w3T</f>
        <v>4.4075024541406024E-21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2.7476563352280822E-2</v>
      </c>
      <c r="AE32" s="325">
        <f>(k.aM.aA+k.aM.aC+k.aM.aT)*M.aM*Molweight</f>
        <v>3.5266150909587183E-3</v>
      </c>
      <c r="AF32" s="325">
        <f>kesc.aM*M.aM*Molweight</f>
        <v>1.1093274801841296E-6</v>
      </c>
      <c r="AG32" s="326">
        <f>KDEG.aM*M.aM*Molweight</f>
        <v>2.9860156520165996E-27</v>
      </c>
      <c r="AH32" s="325">
        <f>AH33</f>
        <v>1.1974419467234699E-2</v>
      </c>
      <c r="AI32" s="325">
        <f>AI33</f>
        <v>1.4173790577231234E-14</v>
      </c>
      <c r="AJ32" s="325">
        <f>AJ36</f>
        <v>1.197441946662141E-2</v>
      </c>
      <c r="AK32" s="325">
        <f>AK36</f>
        <v>6.831799903295953E-18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3.3869016728205139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58678789494.522614</v>
      </c>
      <c r="H33" s="122">
        <f>G33/$G$51</f>
        <v>2.3078334036123131E-2</v>
      </c>
      <c r="I33" s="318">
        <f>(1-FRw.w3A)*I31</f>
        <v>38578442858.021996</v>
      </c>
      <c r="J33" s="122">
        <f>I33/$I$51</f>
        <v>2.2921218816127922E-2</v>
      </c>
      <c r="K33" s="318">
        <f>(1-FRw.w3T)*K31</f>
        <v>144999138122.56033</v>
      </c>
      <c r="L33" s="123">
        <f>K33/$K$51</f>
        <v>2.3129483615581703E-2</v>
      </c>
      <c r="M33" s="320"/>
      <c r="N33" s="320"/>
      <c r="O33" s="320">
        <f>O32*Kp.susp3M</f>
        <v>0.10085431177046113</v>
      </c>
      <c r="P33" s="320">
        <f>P32*Kp.susp3A</f>
        <v>0.10085286501359574</v>
      </c>
      <c r="Q33" s="320">
        <f>Q32*Kp.susp3T</f>
        <v>0.1083031086112048</v>
      </c>
      <c r="R33" s="120" t="s">
        <v>1494</v>
      </c>
      <c r="S33" s="325"/>
      <c r="T33" s="325"/>
      <c r="U33" s="325">
        <f>U31*(1-FRw.w3M)</f>
        <v>3.7481027640789226E-23</v>
      </c>
      <c r="V33" s="325">
        <f>V31*(1-FRw.w3A)</f>
        <v>5.433539224079326E-24</v>
      </c>
      <c r="W33" s="326">
        <f>W31*(1-FRw.w3T)</f>
        <v>1.1019390815704802E-22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23564.365822091429</v>
      </c>
      <c r="AE33" s="325">
        <f>(k.w2M.w2C+k.w2M.w2A+k.w2M.w2T+k.w2M.w3M)*M.w2M*Molweight</f>
        <v>23564.389707094269</v>
      </c>
      <c r="AF33" s="330"/>
      <c r="AG33" s="326">
        <f>KDEG.w2M*M.w2M*Molweight</f>
        <v>3.177316755081396E-10</v>
      </c>
      <c r="AH33" s="325">
        <f>k.aM.w2M*M.aM*Molweight</f>
        <v>1.1974419467234699E-2</v>
      </c>
      <c r="AI33" s="325">
        <f>k.w2M.aM*M.w2M*Molweight</f>
        <v>1.4173790577231234E-14</v>
      </c>
      <c r="AJ33" s="325"/>
      <c r="AK33" s="325"/>
      <c r="AL33" s="325">
        <f>AL36</f>
        <v>1.1910583687720591E-2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1.8896667501140709E-15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23077.683992196751</v>
      </c>
      <c r="AE34" s="325">
        <f>(k.w3M.w2M+k.w3M.w3A+k.w3M.w3T)*M.w3M*Molweight</f>
        <v>23077.515085305957</v>
      </c>
      <c r="AF34" s="330"/>
      <c r="AG34" s="326">
        <f>KDEG.w3M*M.w3M*Molweight</f>
        <v>9.5318484419716474E-9</v>
      </c>
      <c r="AH34" s="325"/>
      <c r="AI34" s="325"/>
      <c r="AJ34" s="325"/>
      <c r="AK34" s="325"/>
      <c r="AL34" s="325"/>
      <c r="AM34" s="325">
        <f>k.w3M.sdM*M.w3M*Molweight</f>
        <v>586.79052868491419</v>
      </c>
      <c r="AN34" s="326">
        <f>k.sdM.w3M*M.sdM*Molweight</f>
        <v>586.62162180365794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3.7536629876632315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3366568.3135518488</v>
      </c>
      <c r="D35" s="122">
        <f>C35/$C$51</f>
        <v>4.2383392520875675E-4</v>
      </c>
      <c r="E35" s="318">
        <f>M.sd2C*Molweight</f>
        <v>5425326517.8499098</v>
      </c>
      <c r="F35" s="122">
        <f>E35/$E$51</f>
        <v>0.24804982333567357</v>
      </c>
      <c r="G35" s="318">
        <f>M.sdM*Molweight</f>
        <v>56605428677.451897</v>
      </c>
      <c r="H35" s="122">
        <f>G35/$G$51</f>
        <v>2.2262882423607612E-2</v>
      </c>
      <c r="I35" s="318">
        <f>M.sdA*Molweight</f>
        <v>37215309219.891602</v>
      </c>
      <c r="J35" s="122">
        <f>I35/$I$51</f>
        <v>2.2111318724768628E-2</v>
      </c>
      <c r="K35" s="318">
        <f>M.sdT*Molweight</f>
        <v>139875727532.68936</v>
      </c>
      <c r="L35" s="123">
        <f>K35/$K$51</f>
        <v>2.231222467991717E-2</v>
      </c>
      <c r="M35" s="320">
        <f>C.sd2R*(Molweight*1000)/(FRACw.sdR*1000+FRACs.sdR*RHOsolid)</f>
        <v>8.6322264450047315E-2</v>
      </c>
      <c r="N35" s="320">
        <f>C.sd2C*(Molweight*1000)/(FRACw.sdC*1000+FRACs.sdC*RHOsolid)</f>
        <v>3.7461776737587799E-2</v>
      </c>
      <c r="O35" s="320">
        <f>C.sdM*(Molweight*1000)/(FRACw.sdM*1000+FRACs.sdM*RHOsolid)</f>
        <v>3.7421662224031975E-2</v>
      </c>
      <c r="P35" s="320">
        <f>C.sdA*(Molweight*1000)/(FRACw.sdA*1000+FRACs.sdA*RHOsolid)</f>
        <v>3.7421125409644644E-2</v>
      </c>
      <c r="Q35" s="320">
        <f>C.sdT*(Molweight*1000)/(FRACw.sdT*1000+FRACs.sdT*RHOsolid)</f>
        <v>4.0185513907258309E-2</v>
      </c>
      <c r="R35" s="120" t="s">
        <v>1495</v>
      </c>
      <c r="S35" s="325">
        <f>F.sd2R</f>
        <v>6.6680723722172758E-21</v>
      </c>
      <c r="T35" s="325">
        <f>F.sd2C</f>
        <v>2.8937822712312325E-21</v>
      </c>
      <c r="U35" s="325">
        <f>F.sdM</f>
        <v>2.8906835749531559E-21</v>
      </c>
      <c r="V35" s="325">
        <f>F.sdA</f>
        <v>4.1905581510314997E-22</v>
      </c>
      <c r="W35" s="326">
        <f>F.sdT</f>
        <v>8.498585562329723E-21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0.16890688102647045</v>
      </c>
      <c r="AG35" s="326">
        <f>KDEG.sdM*M.sdM*Molweight</f>
        <v>2.2988947545016136E-10</v>
      </c>
      <c r="AH35" s="325"/>
      <c r="AI35" s="325"/>
      <c r="AJ35" s="325"/>
      <c r="AK35" s="325"/>
      <c r="AL35" s="325"/>
      <c r="AM35" s="325">
        <f>k.w3M.sdM*M.w3M*Molweight</f>
        <v>586.79052868491419</v>
      </c>
      <c r="AN35" s="326">
        <f>k.sdM.w3M*M.sdM*Molweight</f>
        <v>586.62162180365794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5.1444709358554356E-13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2693254.6508414792</v>
      </c>
      <c r="D36" s="122">
        <f>C36/$C$51</f>
        <v>3.3906714016700541E-4</v>
      </c>
      <c r="E36" s="318">
        <f>E35*FRACw.sdC</f>
        <v>4340261214.2799282</v>
      </c>
      <c r="F36" s="122">
        <f>E36/$E$51</f>
        <v>0.19843985866853889</v>
      </c>
      <c r="G36" s="318">
        <f>G35*FRACw.sdM</f>
        <v>45284342941.961517</v>
      </c>
      <c r="H36" s="122">
        <f>G36/$G$51</f>
        <v>1.7810305938886089E-2</v>
      </c>
      <c r="I36" s="318">
        <f>I35*FRACw.sdA</f>
        <v>29772247375.913284</v>
      </c>
      <c r="J36" s="122">
        <f>I36/$I$51</f>
        <v>1.7689054979814905E-2</v>
      </c>
      <c r="K36" s="318">
        <f>K35*FRACw.sdT</f>
        <v>111900582026.15149</v>
      </c>
      <c r="L36" s="123">
        <f>K36/$K$51</f>
        <v>1.7849779743933734E-2</v>
      </c>
      <c r="M36" s="320">
        <f>M37/Kp.sd2R</f>
        <v>8.971773567721581E-5</v>
      </c>
      <c r="N36" s="320">
        <f>N37/Kp.sd2C</f>
        <v>3.8935329196405628E-5</v>
      </c>
      <c r="O36" s="320">
        <f>O37/Kp.sdM</f>
        <v>3.8893636785450577E-5</v>
      </c>
      <c r="P36" s="320">
        <f>P37/Kp.sdA</f>
        <v>3.8893078855562889E-5</v>
      </c>
      <c r="Q36" s="320">
        <f>Q37/Kp.sdT</f>
        <v>4.1766204092929175E-5</v>
      </c>
      <c r="R36" s="120" t="s">
        <v>1489</v>
      </c>
      <c r="S36" s="325">
        <f>S35*FRACw.sdR</f>
        <v>5.3344578977738212E-21</v>
      </c>
      <c r="T36" s="325">
        <f>T35*FRACw.sdC</f>
        <v>2.3150258169849861E-21</v>
      </c>
      <c r="U36" s="325">
        <f>U35*FRACw.sdM</f>
        <v>2.3125468599625249E-21</v>
      </c>
      <c r="V36" s="325">
        <f>V35*FRACw.sdA</f>
        <v>3.3524465208252001E-22</v>
      </c>
      <c r="W36" s="326">
        <f>W35*FRACw.sdT</f>
        <v>6.7988684498637784E-21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6.383577849152217E-5</v>
      </c>
      <c r="AG36" s="326">
        <f>KDEG.sM*M.sM*Molweight</f>
        <v>4.0928534151696106E-13</v>
      </c>
      <c r="AH36" s="325"/>
      <c r="AI36" s="325"/>
      <c r="AJ36" s="325">
        <f>k.aM.sM*M.aM*Molweight</f>
        <v>1.197441946662141E-2</v>
      </c>
      <c r="AK36" s="325">
        <f>k.sM.aM*M.sM*Molweight</f>
        <v>6.831799903295953E-18</v>
      </c>
      <c r="AL36" s="325">
        <f>k.sM.w2M*M.sM*Molweight</f>
        <v>1.1910583687720591E-2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673313.66271036956</v>
      </c>
      <c r="D37" s="122">
        <f>C37/$C$51</f>
        <v>8.4766785041751327E-5</v>
      </c>
      <c r="E37" s="318">
        <f>E35*FRACs.sdC</f>
        <v>1085065303.5699818</v>
      </c>
      <c r="F37" s="122">
        <f>E37/$E$51</f>
        <v>4.9609964667134708E-2</v>
      </c>
      <c r="G37" s="318">
        <f>G35*FRACs.sdM</f>
        <v>11321085735.490377</v>
      </c>
      <c r="H37" s="122">
        <f>G37/$G$51</f>
        <v>4.4525764847215214E-3</v>
      </c>
      <c r="I37" s="318">
        <f>I35*FRACs.sdA</f>
        <v>7443061843.9783182</v>
      </c>
      <c r="J37" s="122">
        <f>I37/$I$51</f>
        <v>4.4222637449537246E-3</v>
      </c>
      <c r="K37" s="318">
        <f>K35*FRACs.sdT</f>
        <v>27975145506.537865</v>
      </c>
      <c r="L37" s="123">
        <f>K37/$K$51</f>
        <v>4.4624449359834326E-3</v>
      </c>
      <c r="M37" s="320">
        <f>C.sd2R*FRACs.sdR/(FRACw.sdR/(Kp.sd2R*RHOsolid/1000)+FRACs.sdR)*(Molweight*1000)/(FRACs.sdR*RHOsolid)</f>
        <v>0.22429433919303954</v>
      </c>
      <c r="N37" s="320">
        <f>C.sd2C*FRACs.sdC/(FRACw.sdC/(Kp.sd2C*RHOsolid/1000)+FRACs.sdC)*(Molweight*1000)/(FRACs.sdC*RHOsolid)</f>
        <v>9.7338322991014067E-2</v>
      </c>
      <c r="O37" s="320">
        <f>C.sdM*FRACs.sdM/(FRACw.sdM/(Kp.sdM*RHOsolid/1000)+FRACs.sdM)*(Molweight*1000)/(FRACs.sdM*RHOsolid)</f>
        <v>9.7234091963626451E-2</v>
      </c>
      <c r="P37" s="320">
        <f>C.sdA*FRACs.sdA/(FRACw.sdA/(Kp.sdA*RHOsolid/1000)+FRACs.sdA)*(Molweight*1000)/(FRACs.sdA*RHOsolid)</f>
        <v>9.7232697138907226E-2</v>
      </c>
      <c r="Q37" s="320">
        <f>C.sdT*FRACs.sdT/(FRACw.sdT/(Kp.sdT*RHOsolid/1000)+FRACs.sdT)*(Molweight*1000)/(FRACs.sdT*RHOsolid)</f>
        <v>0.10441551023232294</v>
      </c>
      <c r="R37" s="120" t="s">
        <v>1494</v>
      </c>
      <c r="S37" s="325">
        <f>S35*(1-FRACw.sdR)</f>
        <v>1.3336144744434549E-21</v>
      </c>
      <c r="T37" s="325">
        <f>T35*(1-FRACw.sdC)</f>
        <v>5.7875645424624633E-22</v>
      </c>
      <c r="U37" s="325">
        <f>U35*(1-FRACw.sdM)</f>
        <v>5.7813671499063104E-22</v>
      </c>
      <c r="V37" s="325">
        <f>V35*(1-FRACw.sdA)</f>
        <v>8.381116302062998E-23</v>
      </c>
      <c r="W37" s="326">
        <f>W35*(1-FRACw.sdT)</f>
        <v>1.6997171124659442E-21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6.0042252442171244E-5</v>
      </c>
      <c r="AW37" s="75"/>
      <c r="AX37" s="75"/>
      <c r="AY37" s="300">
        <f>IF(ISERROR(output!D23),0,output!D23)</f>
        <v>1.5947330583999397E-2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1.1486858875376779E-3</v>
      </c>
      <c r="AE38" s="325">
        <f>k.aA.aM*M.aA*Molweight</f>
        <v>9.1311400710199702E-5</v>
      </c>
      <c r="AF38" s="325">
        <f>kesc.aA*M.aA*Molweight</f>
        <v>4.8313891869504751E-8</v>
      </c>
      <c r="AG38" s="326">
        <f>KDEG.aA*M.aA*Molweight</f>
        <v>2.6661007520511464E-29</v>
      </c>
      <c r="AH38" s="325">
        <f>AH39</f>
        <v>6.3439570376557831E-4</v>
      </c>
      <c r="AI38" s="325">
        <f>AI39</f>
        <v>1.7837163059952561E-15</v>
      </c>
      <c r="AJ38" s="325">
        <f>AJ42</f>
        <v>4.2293046917181394E-4</v>
      </c>
      <c r="AK38" s="325">
        <f>AK42</f>
        <v>7.7685944254117336E-20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308099933.23614472</v>
      </c>
      <c r="D39" s="122">
        <f>C39/$C$51</f>
        <v>3.8788223466126912E-2</v>
      </c>
      <c r="E39" s="318">
        <f>M.s1C*Molweight</f>
        <v>169440126.44360262</v>
      </c>
      <c r="F39" s="122">
        <f>E39/$E$51</f>
        <v>7.7469242251186031E-3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5.8734014490995044E-2</v>
      </c>
      <c r="N39" s="320">
        <f>C.s1C*(Molweight*1000)/(FRACw.s1C*1000+(1-FRACa.s1C-FRACw.s1C)*RHOsolid)</f>
        <v>2.118000839244738E-3</v>
      </c>
      <c r="O39" s="320"/>
      <c r="P39" s="320"/>
      <c r="Q39" s="320"/>
      <c r="R39" s="120" t="s">
        <v>1495</v>
      </c>
      <c r="S39" s="325">
        <f>F.s1R</f>
        <v>4.9466530063892211E-21</v>
      </c>
      <c r="T39" s="325">
        <f>F.s1C</f>
        <v>1.7838071022016016E-22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17297.004964224318</v>
      </c>
      <c r="AE39" s="325">
        <f>(k.w2A.w2M+k.w2A.w3A)*M.w2A*Molweight</f>
        <v>17297.006019900196</v>
      </c>
      <c r="AF39" s="330"/>
      <c r="AG39" s="326">
        <f>KDEG.w2A*M.w2A*Molweight</f>
        <v>5.5394626055860318E-11</v>
      </c>
      <c r="AH39" s="325">
        <f>k.aA.w2A*M.aA*Molweight</f>
        <v>6.3439570376557831E-4</v>
      </c>
      <c r="AI39" s="325">
        <f>k.w2A.aA*M.w2A*Molweight</f>
        <v>1.7837163059952561E-15</v>
      </c>
      <c r="AJ39" s="325"/>
      <c r="AK39" s="325"/>
      <c r="AL39" s="325">
        <f>AL42</f>
        <v>4.2128023343164864E-4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41074.514496219796</v>
      </c>
      <c r="D40" s="122">
        <f>C40/$C$51</f>
        <v>5.1710736523299431E-6</v>
      </c>
      <c r="E40" s="318">
        <f>E39*FRw.s1C</f>
        <v>22589.004991814771</v>
      </c>
      <c r="F40" s="122">
        <f>E40/$E$51</f>
        <v>1.0327855252791096E-6</v>
      </c>
      <c r="G40" s="318"/>
      <c r="H40" s="122"/>
      <c r="I40" s="318"/>
      <c r="J40" s="122"/>
      <c r="K40" s="318"/>
      <c r="L40" s="123"/>
      <c r="M40" s="320">
        <f>M41/Kp.s1R</f>
        <v>6.6556342244161835E-5</v>
      </c>
      <c r="N40" s="320">
        <f>N41/Kp.s1C</f>
        <v>2.4000809403519896E-6</v>
      </c>
      <c r="O40" s="320"/>
      <c r="P40" s="320"/>
      <c r="Q40" s="320"/>
      <c r="R40" s="120" t="s">
        <v>1489</v>
      </c>
      <c r="S40" s="325">
        <f>S39*FRACw.s1R</f>
        <v>9.8933060127784433E-22</v>
      </c>
      <c r="T40" s="325">
        <f>T39*FRACw.s1C</f>
        <v>3.5676142044032034E-23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17297.006019900196</v>
      </c>
      <c r="AE40" s="325">
        <f>(k.w3A.w2A+k.w3A.w3M)*M.w3A*Molweight</f>
        <v>17296.927347251203</v>
      </c>
      <c r="AF40" s="330"/>
      <c r="AG40" s="326">
        <f>KDEG.w3A*M.w3A*Molweight</f>
        <v>1.3638753684050466E-9</v>
      </c>
      <c r="AH40" s="325"/>
      <c r="AI40" s="325"/>
      <c r="AJ40" s="325"/>
      <c r="AK40" s="325"/>
      <c r="AL40" s="325"/>
      <c r="AM40" s="325">
        <f>k.w3A.sdA*M.w3A*Molweight</f>
        <v>385.78616013564118</v>
      </c>
      <c r="AN40" s="326">
        <f>k.sdA.w3A*M.sdA*Molweight</f>
        <v>385.70748748800992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3.1820925975792856E-2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308058858.72164851</v>
      </c>
      <c r="D41" s="122">
        <f>C41/$C$51</f>
        <v>3.8783052392474579E-2</v>
      </c>
      <c r="E41" s="318">
        <f>E39*FRs.s1C</f>
        <v>169417537.43861082</v>
      </c>
      <c r="F41" s="122">
        <f>E41/$E$51</f>
        <v>7.7458914395933248E-3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6.6556342244161834E-2</v>
      </c>
      <c r="N41" s="320">
        <f>C.s1C*FRs.s1C*(Molweight*1000)/(FRACs.s1C*RHOsolid)</f>
        <v>2.4000809403519896E-3</v>
      </c>
      <c r="O41" s="320"/>
      <c r="P41" s="320"/>
      <c r="Q41" s="320"/>
      <c r="R41" s="120" t="s">
        <v>1494</v>
      </c>
      <c r="S41" s="325">
        <f>S39*(1-FRACw.s1R)</f>
        <v>3.9573224051113773E-21</v>
      </c>
      <c r="T41" s="325">
        <f>T39*(1-FRACw.s1C)</f>
        <v>1.4270456817612813E-22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7.867264759828177E-2</v>
      </c>
      <c r="AG41" s="326">
        <f>KDEG.sdA*M.sdA*Molweight</f>
        <v>3.2893996891674497E-11</v>
      </c>
      <c r="AH41" s="325"/>
      <c r="AI41" s="325"/>
      <c r="AJ41" s="325"/>
      <c r="AK41" s="325"/>
      <c r="AL41" s="325"/>
      <c r="AM41" s="325">
        <f>k.w3A.sdA*M.w3A*Molweight</f>
        <v>385.78616013564118</v>
      </c>
      <c r="AN41" s="326">
        <f>k.sdA.w3A*M.sdA*Molweight</f>
        <v>385.70748748800992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1.6502357337176546E-6</v>
      </c>
      <c r="AG42" s="326">
        <f>KDEG.sA*M.sA*Molweight</f>
        <v>6.4476292901029743E-15</v>
      </c>
      <c r="AH42" s="325"/>
      <c r="AI42" s="325"/>
      <c r="AJ42" s="325">
        <f>k.aA.sA*M.aA*Molweight</f>
        <v>4.2293046917181394E-4</v>
      </c>
      <c r="AK42" s="325">
        <f>k.sA.aA*M.sA*Molweight</f>
        <v>7.7685944254117336E-20</v>
      </c>
      <c r="AL42" s="325">
        <f>k.sA.w2A*M.sA*Molweight</f>
        <v>4.2128023343164864E-4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3.4898956632226245E-2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7369216742.9456387</v>
      </c>
      <c r="D43" s="122">
        <f>C43/$C$51</f>
        <v>0.92774712020666594</v>
      </c>
      <c r="E43" s="318">
        <f>M.s2C*Molweight</f>
        <v>827447777.06447601</v>
      </c>
      <c r="F43" s="122">
        <f>E43/$E$51</f>
        <v>3.783150640704299E-2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0.15804178800817098</v>
      </c>
      <c r="N43" s="320">
        <f>C.s2C*(Molweight*1000)/(FRACw.s2C*1000+(1-FRACa.s2C-FRACw.s2C)*RHOsolid)</f>
        <v>1.1635980292376089E-3</v>
      </c>
      <c r="O43" s="320"/>
      <c r="P43" s="320"/>
      <c r="Q43" s="320"/>
      <c r="R43" s="120" t="s">
        <v>1495</v>
      </c>
      <c r="S43" s="325">
        <f>F.s2R</f>
        <v>1.3310479328900753E-20</v>
      </c>
      <c r="T43" s="325">
        <f>F.s2C</f>
        <v>9.799969812108235E-23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4.2383392520875675E-4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982431.24156054365</v>
      </c>
      <c r="D44" s="122">
        <f>C44/$C$51</f>
        <v>1.2368312494422955E-4</v>
      </c>
      <c r="E44" s="318">
        <f>E43*FRw.s2C</f>
        <v>110311.6620536563</v>
      </c>
      <c r="F44" s="122">
        <f>E44/$E$51</f>
        <v>5.0435283838212215E-6</v>
      </c>
      <c r="G44" s="318"/>
      <c r="H44" s="122"/>
      <c r="I44" s="318"/>
      <c r="J44" s="122"/>
      <c r="K44" s="318"/>
      <c r="L44" s="123"/>
      <c r="M44" s="320">
        <f>M45/Kp.s2R</f>
        <v>1.7909014772289736E-4</v>
      </c>
      <c r="N44" s="320">
        <f>N45/Kp.s2C</f>
        <v>1.3185686239860922E-6</v>
      </c>
      <c r="O44" s="320"/>
      <c r="P44" s="320"/>
      <c r="Q44" s="320"/>
      <c r="R44" s="120" t="s">
        <v>1489</v>
      </c>
      <c r="S44" s="325">
        <f>S43*FRACw.s2R</f>
        <v>2.6620958657801506E-21</v>
      </c>
      <c r="T44" s="325">
        <f>T43*FRACw.s2C</f>
        <v>1.9599939624216471E-23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1.9895823191526073E-3</v>
      </c>
      <c r="AE44" s="325">
        <f>k.aT.aM*M.aT*Molweight</f>
        <v>9.3700442573339875E-5</v>
      </c>
      <c r="AF44" s="325">
        <f>kesc.aT*M.aT*Molweight</f>
        <v>8.5871547147666563E-8</v>
      </c>
      <c r="AG44" s="326">
        <f>KDEG.aT*M.aT*Molweight</f>
        <v>3.9811981638374488E-28</v>
      </c>
      <c r="AH44" s="325">
        <f>AH45</f>
        <v>1.3270572036131573E-3</v>
      </c>
      <c r="AI44" s="325">
        <f>AI45</f>
        <v>8.5389857664548919E-14</v>
      </c>
      <c r="AJ44" s="325">
        <f>AJ48</f>
        <v>5.687388015043535E-4</v>
      </c>
      <c r="AK44" s="325">
        <f>AK48</f>
        <v>5.0490076577392604E-19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1.3672515900897298E-14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7368234311.7040787</v>
      </c>
      <c r="D45" s="122">
        <f>C45/$C$51</f>
        <v>0.92762343708172179</v>
      </c>
      <c r="E45" s="318">
        <f>E43*FRs.s2C</f>
        <v>827337465.40242243</v>
      </c>
      <c r="F45" s="122">
        <f>E45/$E$51</f>
        <v>3.7826462878659171E-2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0.17909014772289736</v>
      </c>
      <c r="N45" s="320">
        <f>C.s2C*FRs.s2C*(Molweight*1000)/(FRACs.s2C*RHOsolid)</f>
        <v>1.3185686239860922E-3</v>
      </c>
      <c r="O45" s="320"/>
      <c r="P45" s="320"/>
      <c r="Q45" s="320"/>
      <c r="R45" s="120" t="s">
        <v>1494</v>
      </c>
      <c r="S45" s="325">
        <f>S43*(1-FRACw.s2R)</f>
        <v>1.0648383463120602E-20</v>
      </c>
      <c r="T45" s="325">
        <f>T43*(1-FRACw.s2C)</f>
        <v>7.8399758496865885E-23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45029.473727050681</v>
      </c>
      <c r="AE45" s="325">
        <f>(k.w2T.w2M+k.w2T.w3T)*M.w2T*Molweight</f>
        <v>45029.475619498684</v>
      </c>
      <c r="AF45" s="330"/>
      <c r="AG45" s="326">
        <f>KDEG.w2T*M.w2T*Molweight</f>
        <v>1.8000789163072312E-9</v>
      </c>
      <c r="AH45" s="325">
        <f>k.aT.w2T*M.aT*Molweight</f>
        <v>1.3270572036131573E-3</v>
      </c>
      <c r="AI45" s="325">
        <f>k.w2T.aT*M.w2T*Molweight</f>
        <v>8.5389857664548919E-14</v>
      </c>
      <c r="AJ45" s="325"/>
      <c r="AK45" s="325"/>
      <c r="AL45" s="325">
        <f>AL48</f>
        <v>5.6539259832679573E-4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45029.769422458303</v>
      </c>
      <c r="AE46" s="325">
        <f>(k.w3T.w2T+k.w3T.w3M)*M.w3T*Molweight</f>
        <v>45029.473727050681</v>
      </c>
      <c r="AF46" s="330"/>
      <c r="AG46" s="326">
        <f>KDEG.w3T*M.w3T*Molweight</f>
        <v>5.7996314661300155E-8</v>
      </c>
      <c r="AH46" s="325"/>
      <c r="AI46" s="325"/>
      <c r="AJ46" s="325"/>
      <c r="AK46" s="325"/>
      <c r="AL46" s="325"/>
      <c r="AM46" s="325">
        <f>k.w3T.sdT*M.w3T*Molweight</f>
        <v>1449.9978893691436</v>
      </c>
      <c r="AN46" s="326">
        <f>k.sdT.w3T*M.sdT*Molweight</f>
        <v>1449.702194019502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114111086.38375729</v>
      </c>
      <c r="D47" s="122">
        <f>C47/$C$51</f>
        <v>1.4366008691158113E-2</v>
      </c>
      <c r="E47" s="318">
        <f>M.s3C*Molweight</f>
        <v>62755602.386519477</v>
      </c>
      <c r="F47" s="122">
        <f>E47/$E$51</f>
        <v>2.869231194488371E-3</v>
      </c>
      <c r="G47" s="318">
        <f>M.sM*Molweight</f>
        <v>100777872.33451454</v>
      </c>
      <c r="H47" s="122">
        <f>G47/$G$51</f>
        <v>3.9635879015581937E-5</v>
      </c>
      <c r="I47" s="318">
        <f>M.sA*Molweight</f>
        <v>7294659.8297741106</v>
      </c>
      <c r="J47" s="122">
        <f>I47/$I$51</f>
        <v>4.3340913152668311E-6</v>
      </c>
      <c r="K47" s="318">
        <f>M.sT*Molweight</f>
        <v>2844513.6183784255</v>
      </c>
      <c r="L47" s="123">
        <f>K47/$K$51</f>
        <v>4.5374153241498652E-7</v>
      </c>
      <c r="M47" s="320">
        <f>C.s3R*(Molweight*1000)/(FRACw.s3R*1000+(1-FRACa.s3R-FRACw.s3R)*RHOsolid)</f>
        <v>5.8734014490995044E-2</v>
      </c>
      <c r="N47" s="320">
        <f>C.s3C*(Molweight*1000)/(FRACw.s3C*1000+(1-FRACa.s3C-FRACw.s3C)*RHOsolid)</f>
        <v>2.1180008392447385E-3</v>
      </c>
      <c r="O47" s="320">
        <f>C.sM*(Molweight*1000)/(FRACw.sM*1000+(1-FRACa.sM-FRACw.sM)*RHOsolid)</f>
        <v>3.0568621683075512E-5</v>
      </c>
      <c r="P47" s="320">
        <f>C.sA*(Molweight*1000)/(FRACw.sA*1000+(1-FRACa.sA-FRACw.sA)*RHOsolid)</f>
        <v>5.0482074946533628E-6</v>
      </c>
      <c r="Q47" s="320">
        <f>C.sT*(Molweight*1000)/(FRACw.sT*1000+(1-FRACa.sT-FRACw.sT)*RHOsolid)</f>
        <v>8.7489846009332535E-7</v>
      </c>
      <c r="R47" s="120" t="s">
        <v>1495</v>
      </c>
      <c r="S47" s="325">
        <f>F.s3R</f>
        <v>4.9466530063892211E-21</v>
      </c>
      <c r="T47" s="325">
        <f>F.s3C</f>
        <v>1.783807102201602E-22</v>
      </c>
      <c r="U47" s="325">
        <f>F.sM</f>
        <v>2.5745279913216849E-24</v>
      </c>
      <c r="V47" s="325">
        <f>F.sA</f>
        <v>6.1636292142341901E-26</v>
      </c>
      <c r="W47" s="326">
        <f>F.sT</f>
        <v>2.0173398019497412E-25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0.29569534824262228</v>
      </c>
      <c r="AG47" s="326">
        <f>KDEG.sdT*M.sdT*Molweight</f>
        <v>1.3987572753268935E-9</v>
      </c>
      <c r="AH47" s="325"/>
      <c r="AI47" s="325"/>
      <c r="AJ47" s="325"/>
      <c r="AK47" s="325"/>
      <c r="AL47" s="325"/>
      <c r="AM47" s="325">
        <f>k.w3T.sdT*M.w3T*Molweight</f>
        <v>1449.9978893691436</v>
      </c>
      <c r="AN47" s="326">
        <f>k.sdT.w3T*M.sdT*Molweight</f>
        <v>1449.702194019502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3.0780306564197279E-3</v>
      </c>
      <c r="AW47" s="75"/>
      <c r="AX47" s="290">
        <f>output!AF16</f>
        <v>0.36676131484220259</v>
      </c>
      <c r="AY47" s="75"/>
      <c r="AZ47" s="75"/>
      <c r="BA47" s="75"/>
      <c r="BB47" s="75"/>
      <c r="BC47" s="2"/>
      <c r="BD47" s="295">
        <f>output!AF18</f>
        <v>1.9515989607352965E-4</v>
      </c>
      <c r="BE47" s="75"/>
      <c r="BF47" s="295">
        <f>output!AF20</f>
        <v>7.2281442990196169E-5</v>
      </c>
      <c r="BG47" s="75"/>
      <c r="BH47" s="299">
        <f>output!AF19</f>
        <v>2.1241415960783654E-3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15212.783146748072</v>
      </c>
      <c r="D48" s="122">
        <f>C48/$C$51</f>
        <v>1.9152124638259049E-6</v>
      </c>
      <c r="E48" s="318">
        <f>E47*FRw.s3C</f>
        <v>8366.2981451165815</v>
      </c>
      <c r="F48" s="122">
        <f>E48/$E$51</f>
        <v>3.8251315751078137E-7</v>
      </c>
      <c r="G48" s="318">
        <f>G47*FRw.sM</f>
        <v>13435.258276831693</v>
      </c>
      <c r="H48" s="122">
        <f>G48/$G$51</f>
        <v>5.2840793248342797E-9</v>
      </c>
      <c r="I48" s="318">
        <f>I47*FRw.sA</f>
        <v>972.49164508387014</v>
      </c>
      <c r="J48" s="122">
        <f>I48/$I$51</f>
        <v>5.778018017953381E-10</v>
      </c>
      <c r="K48" s="318">
        <f>K47*FRw.sT</f>
        <v>379.21792006111519</v>
      </c>
      <c r="L48" s="123">
        <f>K48/$K$51</f>
        <v>6.0490805547925131E-11</v>
      </c>
      <c r="M48" s="320">
        <f>M49/Kp.s3R</f>
        <v>6.6556342244161835E-5</v>
      </c>
      <c r="N48" s="320">
        <f>N49/Kp.s3C</f>
        <v>2.4000809403519901E-6</v>
      </c>
      <c r="O48" s="320">
        <f>O49/Kp.sM</f>
        <v>3.4639819264916929E-8</v>
      </c>
      <c r="P48" s="320">
        <f>P49/Kp.sA</f>
        <v>5.7205390887286474E-9</v>
      </c>
      <c r="Q48" s="320">
        <f>Q49/Kp.sT</f>
        <v>9.914193988525885E-10</v>
      </c>
      <c r="R48" s="120" t="s">
        <v>1489</v>
      </c>
      <c r="S48" s="325">
        <f>S47*FRACw.s3R</f>
        <v>9.8933060127784433E-22</v>
      </c>
      <c r="T48" s="325">
        <f>T47*FRACw.s3C</f>
        <v>3.5676142044032045E-23</v>
      </c>
      <c r="U48" s="325">
        <f>U47*FRACw.sM</f>
        <v>5.1490559826433703E-25</v>
      </c>
      <c r="V48" s="325">
        <f>V47*FRACw.sA</f>
        <v>1.232725842846838E-26</v>
      </c>
      <c r="W48" s="326">
        <f>W47*FRACw.sT</f>
        <v>4.0346796038994826E-26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3.3462031491121219E-6</v>
      </c>
      <c r="AG48" s="326">
        <f>KDEG.sT*M.sT*Molweight</f>
        <v>2.8445136183784251E-14</v>
      </c>
      <c r="AH48" s="325"/>
      <c r="AI48" s="325"/>
      <c r="AJ48" s="325">
        <f>k.aT.sT*M.aT*Molweight</f>
        <v>5.687388015043535E-4</v>
      </c>
      <c r="AK48" s="325">
        <f>k.sT.aT*M.sT*Molweight</f>
        <v>5.0490076577392604E-19</v>
      </c>
      <c r="AL48" s="333">
        <f>k.sT.w2T*M.sT*Molweight</f>
        <v>5.6539259832679573E-4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114095873.60061055</v>
      </c>
      <c r="D49" s="122">
        <f>C49/$C$51</f>
        <v>1.4364093478694289E-2</v>
      </c>
      <c r="E49" s="318">
        <f>E47*FRs.s3C</f>
        <v>62747236.088374369</v>
      </c>
      <c r="F49" s="122">
        <f>E49/$E$51</f>
        <v>2.8688486813308605E-3</v>
      </c>
      <c r="G49" s="318">
        <f>G47*FRs.sM</f>
        <v>100764437.07623772</v>
      </c>
      <c r="H49" s="122">
        <f>G49/$G$51</f>
        <v>3.9630594936257104E-5</v>
      </c>
      <c r="I49" s="318">
        <f>I47*FRs.sA</f>
        <v>7293687.3381290277</v>
      </c>
      <c r="J49" s="122">
        <f>I49/$I$51</f>
        <v>4.3335135134650366E-6</v>
      </c>
      <c r="K49" s="318">
        <f>K47*FRs.sT</f>
        <v>2844134.4004583647</v>
      </c>
      <c r="L49" s="123">
        <f>K49/$K$51</f>
        <v>4.5368104160943866E-7</v>
      </c>
      <c r="M49" s="320">
        <f>C.s3R*FRs.s3R*(Molweight*1000)/(FRACs.s3R*RHOsolid)</f>
        <v>6.6556342244161834E-2</v>
      </c>
      <c r="N49" s="320">
        <f>C.s3C*FRs.s3C*(Molweight*1000)/(FRACs.s3C*RHOsolid)</f>
        <v>2.40008094035199E-3</v>
      </c>
      <c r="O49" s="320">
        <f>C.sM*FRs.sM*(Molweight*1000)/(FRACs.sM*RHOsolid)</f>
        <v>3.4639819264916932E-5</v>
      </c>
      <c r="P49" s="320">
        <f>C.sA*FRs.sA*(Molweight*1000)/(FRACs.sA*RHOsolid)</f>
        <v>5.7205390887286474E-6</v>
      </c>
      <c r="Q49" s="320">
        <f>C.sT*FRs.sT*(Molweight*1000)/(FRACs.sT*RHOsolid)</f>
        <v>9.9141939885258843E-7</v>
      </c>
      <c r="R49" s="120" t="s">
        <v>1494</v>
      </c>
      <c r="S49" s="325">
        <f>S47*(1-FRACw.s3R)</f>
        <v>3.9573224051113773E-21</v>
      </c>
      <c r="T49" s="325">
        <f>T47*(1-FRACw.s3C)</f>
        <v>1.4270456817612818E-22</v>
      </c>
      <c r="U49" s="325">
        <f>U47*(1-FRACw.sM)</f>
        <v>2.0596223930573481E-24</v>
      </c>
      <c r="V49" s="325">
        <f>V47*(1-FRACw.sA)</f>
        <v>4.9309033713873521E-26</v>
      </c>
      <c r="W49" s="326">
        <f>W47*(1-FRACw.sT)</f>
        <v>1.613871841559793E-25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0.9512936866747902</v>
      </c>
      <c r="AG49" s="336">
        <f>SUM(AG11:AG48)</f>
        <v>7.2846790535717803E-8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7943130819.2086477</v>
      </c>
      <c r="D51" s="130">
        <f>C51/SUM($C$51,$E$51,$G$51,$I$51,$K$51)</f>
        <v>7.5472666469739201E-4</v>
      </c>
      <c r="E51" s="317">
        <f>SUM(E11,E15,E19,E23,E27,E31,E35,E39,E43,E47)</f>
        <v>21871922523.033138</v>
      </c>
      <c r="F51" s="130">
        <f>E51/SUM($C$51,$E$51,$G$51,$I$51,$K$51)</f>
        <v>2.0781885017440954E-3</v>
      </c>
      <c r="G51" s="317">
        <f>SUM(G11,G15,G19,G23,G27,G31,G35,G39,G43,G47)</f>
        <v>2542592086702.4556</v>
      </c>
      <c r="H51" s="130">
        <f>G51/SUM($C$51,$E$51,$G$51,$I$51,$K$51)</f>
        <v>0.24158761689312169</v>
      </c>
      <c r="I51" s="317">
        <f>SUM(I11,I15,I19,I23,I27,I31,I35,I39,I43,I47)</f>
        <v>1683088633614.7742</v>
      </c>
      <c r="J51" s="130">
        <f>I51/SUM($C$51,$E$51,$G$51,$I$51,$K$51)</f>
        <v>0.15992080449768081</v>
      </c>
      <c r="K51" s="317">
        <f>SUM(K11,K15,K19,K23,K27,K31,K35,K39,K43,K47)</f>
        <v>6269017524666.1523</v>
      </c>
      <c r="L51" s="130">
        <f>K51/SUM($C$51,$E$51,$G$51,$I$51,$K$51)</f>
        <v>0.59565866344275586</v>
      </c>
      <c r="M51" s="199"/>
      <c r="N51" s="199"/>
      <c r="O51" s="199"/>
      <c r="P51" s="199"/>
      <c r="Q51" s="199"/>
      <c r="R51" s="199"/>
      <c r="S51" s="328">
        <f>SUM(S11,S15,S19,S23,S27,S35,S39,S43,S47)</f>
        <v>1.681342322139786E-6</v>
      </c>
      <c r="T51" s="328">
        <f>SUM(T11,T15,T19,T23,T27,T35,T39,T43,T47)</f>
        <v>5.3388830940559805E-8</v>
      </c>
      <c r="U51" s="328">
        <f>SUM(U11,U15,U19,U23,U27,U35,U39,U43,U47)</f>
        <v>7.5969979734512465E-10</v>
      </c>
      <c r="V51" s="328">
        <f>SUM(V11,V15,V19,V23,V27,V35,V39,V43,V47)</f>
        <v>5.5728405658736391E-11</v>
      </c>
      <c r="W51" s="328">
        <f>SUM(W11,W15,W19,W23,W27,W35,W39,W43,W47)</f>
        <v>3.7410468252014276E-11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8.6398440653358439E-8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2.7392998218675094E-4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2.9246147368023701E-4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4.769234658281156E-5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0.51672941331239952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8.6322264450047315E-2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5.8734014490995044E-2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0.15804178800817098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5.8734014490995044E-2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Sb(III)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1.9475442662651657E-26</v>
      </c>
      <c r="AY72" s="75"/>
      <c r="AZ72" s="256">
        <f>output!AF22</f>
        <v>7.2352747782280388E-6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0.18723207404827072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3.3224530195435954E-2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9.0302644067554441E-7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1.1486460396876312E-17</v>
      </c>
      <c r="BE84" s="2"/>
      <c r="BF84" s="304">
        <f>IF(output!AK30&lt;0,"",output!AK30)</f>
        <v>4.254244591435671E-18</v>
      </c>
      <c r="BG84" s="75"/>
      <c r="BH84" s="311">
        <f>IF(output!AK29&lt;0,"",output!AK29)</f>
        <v>2.5525467547569226E-17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1.3584672394720587E-15</v>
      </c>
      <c r="AV85" s="87"/>
      <c r="AW85" s="75"/>
      <c r="AX85" s="304">
        <f>output!AL24</f>
        <v>6.5948289525886661E-2</v>
      </c>
      <c r="AY85" s="87"/>
      <c r="AZ85" s="201"/>
      <c r="BA85" s="311">
        <f>IF(output!AI23&lt;0,"",output!AI23)</f>
        <v>4.660100154741761E-19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2.0132863509742811E-2</v>
      </c>
      <c r="BE86" s="87"/>
      <c r="BF86" s="304">
        <f>IF(output!AJ30&lt;0,"",output!AJ30)</f>
        <v>7.4566161147195578E-3</v>
      </c>
      <c r="BG86" s="75"/>
      <c r="BH86" s="311">
        <f>IF(output!AJ29&lt;0,"",output!AJ29)</f>
        <v>4.4739696688317357E-2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7.9434147430746019E-2</v>
      </c>
      <c r="AV87" s="200"/>
      <c r="AW87" s="84"/>
      <c r="AX87" s="304">
        <f>IF(output!AH24&lt;0,"",output!AH24)</f>
        <v>2.0505694316544018E-3</v>
      </c>
      <c r="AY87" s="291">
        <f>output!AL24</f>
        <v>6.5948289525886661E-2</v>
      </c>
      <c r="AZ87" s="75"/>
      <c r="BA87" s="311">
        <f>IF(output!AH23&lt;0,"",output!AH23)</f>
        <v>1.864154028776729E-4</v>
      </c>
      <c r="BB87" s="291">
        <f>output!AL23</f>
        <v>5.9952990478078783E-3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6.1817144506751062E-3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3.8862856661413918E-2</v>
      </c>
      <c r="AT89" s="83"/>
      <c r="AU89" s="302"/>
      <c r="AV89" s="75"/>
      <c r="AW89" s="81"/>
      <c r="AX89" s="265">
        <f>output!AD24</f>
        <v>6.1817144506751062E-3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487.39971066136917</v>
      </c>
      <c r="AT90" s="81"/>
      <c r="AU90" s="278">
        <f>output!AD25</f>
        <v>487.32027651402143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1.0446474583731846E-14</v>
      </c>
      <c r="BB91" s="309">
        <f>IF(ISERROR(output!F15),0,output!F15)</f>
        <v>1.1789809630499276E-4</v>
      </c>
      <c r="BC91" s="2"/>
      <c r="BD91" s="295">
        <f>output!AG28</f>
        <v>6.8814074371359886E-13</v>
      </c>
      <c r="BE91" s="2"/>
      <c r="BF91" s="312">
        <f>output!AG30</f>
        <v>2.5486694211614765E-13</v>
      </c>
      <c r="BG91" s="75"/>
      <c r="BH91" s="295">
        <f>output!AG29</f>
        <v>3.3604821989013041E-12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2.4459440205327835E-5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2.021088969013845E-15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0.32880427471927426</v>
      </c>
      <c r="AZ96" s="75"/>
      <c r="BA96" s="75"/>
      <c r="BB96" s="43"/>
      <c r="BC96" s="2"/>
      <c r="BD96" s="277">
        <f>IF(ISERROR(output!F39),0,output!F39)</f>
        <v>7.7469242251186031E-3</v>
      </c>
      <c r="BE96" s="43"/>
      <c r="BF96" s="277">
        <f>IF(ISERROR(output!F47),0,output!F47)</f>
        <v>2.869231194488371E-3</v>
      </c>
      <c r="BG96" s="43"/>
      <c r="BH96" s="277">
        <f>IF(ISERROR(output!F43),0,output!F43)</f>
        <v>3.783150640704299E-2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6.0905100829377476E-11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0.36412199146607449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4.9903654333367695E-14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0.70279745084685274</v>
      </c>
      <c r="AW101" s="56"/>
      <c r="AX101" s="307"/>
      <c r="AY101" s="276">
        <f>IF(ISERROR(output!F23),0,output!F23)</f>
        <v>5.6180342787261585E-4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56.240722667017067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56.240722667039101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0.24804982333567357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2.20336723256931E-11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3.5317716746750293E-2</v>
      </c>
      <c r="AY111" s="75"/>
      <c r="AZ111" s="75"/>
      <c r="BA111" s="75"/>
      <c r="BB111" s="76"/>
      <c r="BC111" s="2"/>
      <c r="BD111" s="295">
        <f>output!AF28</f>
        <v>1.0732854473575669E-4</v>
      </c>
      <c r="BE111" s="76"/>
      <c r="BF111" s="295">
        <f>output!AF30</f>
        <v>3.9751312865095071E-5</v>
      </c>
      <c r="BG111" s="43"/>
      <c r="BH111" s="294">
        <f>output!AF29</f>
        <v>2.3850787718080791E-4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2.7434697151378115E-9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2.9590090514721284E-6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1.8602532605599244E-6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2.0697325900328207E-5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3.2867494095738196E-3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3.7461776737587799E-2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2.118000839244738E-3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1.1635980292376089E-3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2.1180008392447385E-3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Sb(III)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3.5266150909587183E-3</v>
      </c>
      <c r="AT136" s="81">
        <f>output!AD32</f>
        <v>2.7476563352280822E-2</v>
      </c>
      <c r="AU136" s="268">
        <f>output!AF32</f>
        <v>1.1093274801841296E-6</v>
      </c>
      <c r="AV136" s="221"/>
      <c r="AW136" s="221"/>
      <c r="AX136" s="221"/>
      <c r="AY136" s="279">
        <f>output!AE38</f>
        <v>9.1311400710199702E-5</v>
      </c>
      <c r="AZ136" s="266">
        <f>output!AD38</f>
        <v>1.1486858875376779E-3</v>
      </c>
      <c r="BA136" s="268">
        <f>output!AF38</f>
        <v>4.8313891869504751E-8</v>
      </c>
      <c r="BB136" s="75"/>
      <c r="BC136" s="75"/>
      <c r="BD136" s="75"/>
      <c r="BE136" s="279">
        <f>output!AE44</f>
        <v>9.3700442573339875E-5</v>
      </c>
      <c r="BF136" s="266">
        <f>output!AD44</f>
        <v>1.9895823191526073E-3</v>
      </c>
      <c r="BG136" s="268">
        <f>output!AF44</f>
        <v>8.5871547147666563E-8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2.9860156520165996E-27</v>
      </c>
      <c r="AV141" s="223" t="s">
        <v>446</v>
      </c>
      <c r="AW141" s="221"/>
      <c r="AX141" s="221"/>
      <c r="AY141" s="2"/>
      <c r="AZ141" s="202"/>
      <c r="BA141" s="269">
        <f>output!AG38</f>
        <v>2.6661007520511464E-29</v>
      </c>
      <c r="BB141" s="47" t="s">
        <v>446</v>
      </c>
      <c r="BC141" s="75"/>
      <c r="BD141" s="75"/>
      <c r="BE141" s="2"/>
      <c r="BF141" s="202"/>
      <c r="BG141" s="269">
        <f>output!AG44</f>
        <v>3.9811981638374488E-28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1.1910101885913127E-9</v>
      </c>
      <c r="AW142" s="221"/>
      <c r="AX142" s="221"/>
      <c r="AY142" s="203"/>
      <c r="AZ142" s="202"/>
      <c r="BA142" s="75"/>
      <c r="BB142" s="277">
        <f>IF(ISERROR(output!J11),0,output!J11)</f>
        <v>7.8360542168709254E-11</v>
      </c>
      <c r="BC142" s="75"/>
      <c r="BD142" s="75"/>
      <c r="BE142" s="203"/>
      <c r="BF142" s="75"/>
      <c r="BG142" s="75"/>
      <c r="BH142" s="277">
        <f>IF(ISERROR(output!L11),0,output!L11)</f>
        <v>3.7392301775068728E-11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6.831799903295953E-18</v>
      </c>
      <c r="AY144" s="2"/>
      <c r="AZ144" s="75"/>
      <c r="BA144" s="75"/>
      <c r="BB144" s="75"/>
      <c r="BC144" s="75"/>
      <c r="BD144" s="270">
        <f>k.sA.aA*M.sA*Molweight</f>
        <v>7.7685944254117336E-20</v>
      </c>
      <c r="BE144" s="2"/>
      <c r="BF144" s="75"/>
      <c r="BG144" s="75"/>
      <c r="BH144" s="75"/>
      <c r="BI144" s="75"/>
      <c r="BJ144" s="270">
        <f>k.sT.aT*M.sT*Molweight</f>
        <v>5.0490076577392604E-19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1.4173790577231234E-14</v>
      </c>
      <c r="AV145" s="221"/>
      <c r="AW145" s="221"/>
      <c r="AX145" s="221"/>
      <c r="AY145" s="2"/>
      <c r="AZ145" s="75"/>
      <c r="BA145" s="270">
        <f>k.w2A.aA*M.w2A*Molweight</f>
        <v>1.7837163059952561E-15</v>
      </c>
      <c r="BB145" s="75"/>
      <c r="BC145" s="75"/>
      <c r="BD145" s="221"/>
      <c r="BE145" s="2"/>
      <c r="BF145" s="75"/>
      <c r="BG145" s="270">
        <f>k.w2T.aT*M.w2T*Molweight</f>
        <v>8.5389857664548919E-14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1.197441946662141E-2</v>
      </c>
      <c r="AY146" s="2"/>
      <c r="AZ146" s="75"/>
      <c r="BA146" s="221"/>
      <c r="BB146" s="75"/>
      <c r="BC146" s="75"/>
      <c r="BD146" s="270">
        <f>IF(output!AJ42&lt;0,"",output!AJ42)</f>
        <v>4.2293046917181394E-4</v>
      </c>
      <c r="BE146" s="2"/>
      <c r="BF146" s="75"/>
      <c r="BG146" s="221"/>
      <c r="BH146" s="75"/>
      <c r="BI146" s="75"/>
      <c r="BJ146" s="270">
        <f>IF(output!AJ48&lt;0,"",output!AJ48)</f>
        <v>5.687388015043535E-4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23564.389707094269</v>
      </c>
      <c r="AT147" s="81">
        <f>output!AD33</f>
        <v>23564.365822091429</v>
      </c>
      <c r="AU147" s="270">
        <f>IF(output!AH33&lt;0,"",output!AH33)</f>
        <v>1.1974419467234699E-2</v>
      </c>
      <c r="AV147" s="272">
        <f>output!AL33</f>
        <v>1.1910583687720591E-2</v>
      </c>
      <c r="AW147" s="221"/>
      <c r="AX147" s="221"/>
      <c r="AY147" s="279">
        <f>output!AE39</f>
        <v>17297.006019900196</v>
      </c>
      <c r="AZ147" s="266">
        <f>output!AD39</f>
        <v>17297.004964224318</v>
      </c>
      <c r="BA147" s="270">
        <f>IF(output!AH39&lt;0,"",output!AH39)</f>
        <v>6.3439570376557831E-4</v>
      </c>
      <c r="BB147" s="272">
        <f>output!AL39</f>
        <v>4.2128023343164864E-4</v>
      </c>
      <c r="BC147" s="75"/>
      <c r="BD147" s="75"/>
      <c r="BE147" s="279">
        <f>output!AE45</f>
        <v>45029.475619498684</v>
      </c>
      <c r="BF147" s="266">
        <f>output!AD45</f>
        <v>45029.473727050681</v>
      </c>
      <c r="BG147" s="270">
        <f>IF(output!AH45&lt;0,"",output!AH45)</f>
        <v>1.3270572036131573E-3</v>
      </c>
      <c r="BH147" s="272">
        <f>output!AL45</f>
        <v>5.6539259832679573E-4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3.1538954444370722E-2</v>
      </c>
      <c r="AW150" s="221"/>
      <c r="AX150" s="221"/>
      <c r="AY150" s="2"/>
      <c r="AZ150" s="75"/>
      <c r="BA150" s="59"/>
      <c r="BB150" s="273">
        <f>IF(ISERROR(output!J27),0,output!J27)</f>
        <v>3.8167183090745904E-2</v>
      </c>
      <c r="BC150" s="78"/>
      <c r="BD150" s="75"/>
      <c r="BE150" s="2"/>
      <c r="BF150" s="75"/>
      <c r="BG150" s="59"/>
      <c r="BH150" s="273">
        <f>IF(ISERROR(output!L27),0,output!L27)</f>
        <v>2.9431780563204099E-2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4.0928534151696106E-13</v>
      </c>
      <c r="AY151" s="2"/>
      <c r="AZ151" s="75"/>
      <c r="BA151" s="59"/>
      <c r="BB151" s="49"/>
      <c r="BC151" s="75"/>
      <c r="BD151" s="274">
        <f>output!AJ42</f>
        <v>4.2293046917181394E-4</v>
      </c>
      <c r="BE151" s="2"/>
      <c r="BF151" s="75"/>
      <c r="BG151" s="59"/>
      <c r="BH151" s="59"/>
      <c r="BI151" s="75"/>
      <c r="BJ151" s="274">
        <f>output!AG48</f>
        <v>2.8445136183784251E-14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3.177316755081396E-10</v>
      </c>
      <c r="AW152" s="221"/>
      <c r="AX152" s="221"/>
      <c r="AY152" s="2"/>
      <c r="AZ152" s="75"/>
      <c r="BA152" s="59"/>
      <c r="BB152" s="257">
        <f>output!AG39</f>
        <v>5.5394626055860318E-11</v>
      </c>
      <c r="BC152" s="2"/>
      <c r="BD152" s="75"/>
      <c r="BE152" s="2"/>
      <c r="BF152" s="75"/>
      <c r="BG152" s="59"/>
      <c r="BH152" s="257">
        <f>output!AG45</f>
        <v>1.8000789163072312E-9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19976.240641458007</v>
      </c>
      <c r="AU153" s="224"/>
      <c r="AV153" s="225"/>
      <c r="AW153" s="221"/>
      <c r="AX153" s="221"/>
      <c r="AY153" s="2"/>
      <c r="AZ153" s="275">
        <f>k.w3A.w2A*M.w3A*Molweight</f>
        <v>14195.697391239368</v>
      </c>
      <c r="BA153" s="59"/>
      <c r="BB153" s="49"/>
      <c r="BC153" s="2"/>
      <c r="BD153" s="75"/>
      <c r="BE153" s="2"/>
      <c r="BF153" s="275">
        <f>k.w3T.w2T*M.w3T*Molweight</f>
        <v>45029.473727050681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19976.45403618491</v>
      </c>
      <c r="AU155" s="221"/>
      <c r="AV155" s="223" t="s">
        <v>2166</v>
      </c>
      <c r="AW155" s="221"/>
      <c r="AX155" s="271">
        <f>IF(ISERROR(output!H47),0,output!H47)</f>
        <v>3.9635879015581937E-5</v>
      </c>
      <c r="AY155" s="2"/>
      <c r="AZ155" s="275">
        <f>k.w2A.w3A*M.w2A*Molweight</f>
        <v>17297.006019900196</v>
      </c>
      <c r="BA155" s="75"/>
      <c r="BB155" s="223" t="s">
        <v>2166</v>
      </c>
      <c r="BC155" s="47"/>
      <c r="BD155" s="271">
        <f>IF(ISERROR(output!J47),0,output!J47)</f>
        <v>4.3340913152668311E-6</v>
      </c>
      <c r="BE155" s="2"/>
      <c r="BF155" s="275">
        <f>k.w2T.w3T*M.w2T*Molweight</f>
        <v>41928.494978610361</v>
      </c>
      <c r="BG155" s="75"/>
      <c r="BH155" s="223" t="s">
        <v>2166</v>
      </c>
      <c r="BI155" s="47"/>
      <c r="BJ155" s="271">
        <f>IF(ISERROR(output!L47),0,output!L47)</f>
        <v>4.5374153241498652E-7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0.94615852606199602</v>
      </c>
      <c r="AW156" s="221"/>
      <c r="AX156" s="221"/>
      <c r="AY156" s="203"/>
      <c r="AZ156" s="2"/>
      <c r="BA156" s="75"/>
      <c r="BB156" s="273">
        <f>IF(ISERROR(output!J31),0,output!J31)</f>
        <v>0.93971716401480965</v>
      </c>
      <c r="BC156" s="75"/>
      <c r="BD156" s="75"/>
      <c r="BE156" s="203"/>
      <c r="BF156" s="2"/>
      <c r="BG156" s="75"/>
      <c r="BH156" s="273">
        <f>IF(ISERROR(output!L31),0,output!L31)</f>
        <v>0.94825554097795395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23077.515085305957</v>
      </c>
      <c r="AT157" s="266">
        <f>output!AD34</f>
        <v>23077.683992196751</v>
      </c>
      <c r="AU157" s="221"/>
      <c r="AV157" s="225"/>
      <c r="AW157" s="226"/>
      <c r="AX157" s="221"/>
      <c r="AY157" s="279">
        <f>output!AE40</f>
        <v>17296.927347251203</v>
      </c>
      <c r="AZ157" s="266">
        <f>output!AD40</f>
        <v>17297.006019900196</v>
      </c>
      <c r="BA157" s="75"/>
      <c r="BB157" s="2"/>
      <c r="BC157" s="76"/>
      <c r="BD157" s="75"/>
      <c r="BE157" s="279">
        <f>output!AE46</f>
        <v>45029.473727050681</v>
      </c>
      <c r="BF157" s="266">
        <f>output!AD46</f>
        <v>45029.769422458303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9.5318484419716474E-9</v>
      </c>
      <c r="AW158" s="226"/>
      <c r="AX158" s="221"/>
      <c r="AY158" s="2"/>
      <c r="AZ158" s="75"/>
      <c r="BA158" s="75"/>
      <c r="BB158" s="274">
        <f>output!AG40</f>
        <v>1.3638753684050466E-9</v>
      </c>
      <c r="BC158" s="2"/>
      <c r="BD158" s="75"/>
      <c r="BE158" s="2"/>
      <c r="BF158" s="75"/>
      <c r="BG158" s="75"/>
      <c r="BH158" s="274">
        <f>output!AG46</f>
        <v>5.7996314661300155E-8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586.62162180365794</v>
      </c>
      <c r="AU159" s="221"/>
      <c r="AV159" s="221"/>
      <c r="AW159" s="226"/>
      <c r="AX159" s="221"/>
      <c r="AY159" s="2"/>
      <c r="AZ159" s="272">
        <f>k.sdA.w3A*M.sdA*Molweight</f>
        <v>385.70748748800992</v>
      </c>
      <c r="BA159" s="2"/>
      <c r="BB159" s="75"/>
      <c r="BC159" s="2"/>
      <c r="BD159" s="75"/>
      <c r="BE159" s="2"/>
      <c r="BF159" s="275">
        <f>k.sdT.w3T*M.sdT*Molweight</f>
        <v>1449.702194019502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586.79052868491419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385.78616013564118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1449.9978893691436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2.2262882423607612E-2</v>
      </c>
      <c r="AW162" s="221"/>
      <c r="AX162" s="221"/>
      <c r="AY162" s="2"/>
      <c r="AZ162" s="75"/>
      <c r="BA162" s="47"/>
      <c r="BB162" s="276">
        <f>IF(ISERROR(output!J35),0,output!J35)</f>
        <v>2.2111318724768628E-2</v>
      </c>
      <c r="BC162" s="75"/>
      <c r="BD162" s="75"/>
      <c r="BE162" s="2"/>
      <c r="BF162" s="75"/>
      <c r="BG162" s="47"/>
      <c r="BH162" s="276">
        <f>IF(ISERROR(output!L35),0,output!L35)</f>
        <v>2.231222467991717E-2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2.2988947545016136E-10</v>
      </c>
      <c r="AV164" s="269">
        <f>output!AF35</f>
        <v>0.16890688102647045</v>
      </c>
      <c r="AW164" s="221"/>
      <c r="AX164" s="274">
        <f>output!AF36</f>
        <v>6.383577849152217E-5</v>
      </c>
      <c r="AY164" s="2"/>
      <c r="AZ164" s="2"/>
      <c r="BA164" s="269">
        <f>output!AG41</f>
        <v>3.2893996891674497E-11</v>
      </c>
      <c r="BB164" s="269">
        <f>output!AF41</f>
        <v>7.867264759828177E-2</v>
      </c>
      <c r="BC164" s="75"/>
      <c r="BD164" s="274">
        <f>output!AF42</f>
        <v>1.6502357337176546E-6</v>
      </c>
      <c r="BE164" s="2"/>
      <c r="BF164" s="2"/>
      <c r="BG164" s="269">
        <f>output!AG47</f>
        <v>1.3987572753268935E-9</v>
      </c>
      <c r="BH164" s="269">
        <f>output!AF47</f>
        <v>0.29569534824262228</v>
      </c>
      <c r="BI164" s="75"/>
      <c r="BJ164" s="274">
        <f>output!AF48</f>
        <v>3.3462031491121219E-6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3028.2530806942709</v>
      </c>
      <c r="BA172" s="128">
        <f>output!I11</f>
        <v>131.88773784804576</v>
      </c>
      <c r="BB172" s="128">
        <f>output!K11</f>
        <v>234.41299511551114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80190695993.126236</v>
      </c>
      <c r="BA173" s="128">
        <f>output!I27</f>
        <v>64238752037.128441</v>
      </c>
      <c r="BB173" s="128">
        <f>output!K27</f>
        <v>184508348132.85513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2405695181131.29</v>
      </c>
      <c r="BA174" s="128">
        <f>output!I31</f>
        <v>1581627277566.0366</v>
      </c>
      <c r="BB174" s="128">
        <f>output!K31</f>
        <v>5944630604252.5762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56605428677.451897</v>
      </c>
      <c r="BA175" s="128">
        <f>output!I35</f>
        <v>37215309219.891602</v>
      </c>
      <c r="BB175" s="128">
        <f>output!K35</f>
        <v>139875727532.68936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100777872.33451454</v>
      </c>
      <c r="BA176" s="128">
        <f>output!I47</f>
        <v>7294659.8297741106</v>
      </c>
      <c r="BB176" s="128">
        <f>output!K47</f>
        <v>2844513.6183784255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9" priority="40" operator="equal">
      <formula>0</formula>
    </cfRule>
  </conditionalFormatting>
  <conditionalFormatting sqref="M50">
    <cfRule type="cellIs" dxfId="168" priority="39" operator="equal">
      <formula>0</formula>
    </cfRule>
  </conditionalFormatting>
  <conditionalFormatting sqref="BN19 BN21 BN23 BN25 BN27 BN29 BN31 BO9:BO10">
    <cfRule type="cellIs" dxfId="167" priority="38" operator="equal">
      <formula>0</formula>
    </cfRule>
  </conditionalFormatting>
  <conditionalFormatting sqref="BN2:BQ2">
    <cfRule type="cellIs" dxfId="166" priority="37" operator="equal">
      <formula>0</formula>
    </cfRule>
  </conditionalFormatting>
  <conditionalFormatting sqref="BP281:BP291">
    <cfRule type="cellIs" dxfId="165" priority="28" operator="equal">
      <formula>0</formula>
    </cfRule>
  </conditionalFormatting>
  <conditionalFormatting sqref="BR2:BS2">
    <cfRule type="cellIs" dxfId="164" priority="21" operator="equal">
      <formula>0</formula>
    </cfRule>
  </conditionalFormatting>
  <conditionalFormatting sqref="BQ9:BQ10">
    <cfRule type="cellIs" dxfId="163" priority="13" operator="equal">
      <formula>0</formula>
    </cfRule>
  </conditionalFormatting>
  <conditionalFormatting sqref="BQ285">
    <cfRule type="cellIs" dxfId="162" priority="9" operator="equal">
      <formula>0</formula>
    </cfRule>
  </conditionalFormatting>
  <conditionalFormatting sqref="BN282:BN1047">
    <cfRule type="cellIs" dxfId="161" priority="6" operator="equal">
      <formula>0</formula>
    </cfRule>
  </conditionalFormatting>
  <conditionalFormatting sqref="BO282:BO1047">
    <cfRule type="cellIs" dxfId="160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Sb(III)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350817.1099441874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1052451.3298325622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1052451.3298325622</v>
      </c>
      <c r="G11" s="508">
        <f>2*Scale*(M.tot/Emis.tot)/(3600*24*365)</f>
        <v>2104902.6596651245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2.6042864638440033</v>
      </c>
      <c r="H15" s="482">
        <v>0</v>
      </c>
      <c r="I15" s="482">
        <v>2.6042864638440033</v>
      </c>
      <c r="J15" s="482">
        <v>0</v>
      </c>
      <c r="K15" s="482">
        <v>0</v>
      </c>
      <c r="L15" s="482">
        <v>0</v>
      </c>
      <c r="M15" s="482">
        <v>0</v>
      </c>
      <c r="N15" s="482">
        <v>2.6042864638440033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1013" activePane="bottomLeft" state="frozen"/>
      <selection pane="bottomLeft" activeCell="B1033" sqref="B1033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1026</v>
      </c>
      <c r="B6" s="439" t="str">
        <f t="shared" ref="B6:Z6" si="0">IF(ISBLANK(VLOOKUP($A6,$A$8:$Z$1041,COLUMN(),0)),"",VLOOKUP($A6,$A$8:$Z$1041,COLUMN(),0))</f>
        <v>Sb(III)</v>
      </c>
      <c r="C6" s="439" t="str">
        <f t="shared" si="0"/>
        <v>7440-36-0</v>
      </c>
      <c r="D6" s="439" t="str">
        <f t="shared" si="0"/>
        <v>Metal</v>
      </c>
      <c r="E6" s="544" t="str">
        <f t="shared" si="0"/>
        <v/>
      </c>
      <c r="F6" s="544">
        <f t="shared" si="0"/>
        <v>121.76</v>
      </c>
      <c r="G6" s="544" t="str">
        <f t="shared" si="0"/>
        <v/>
      </c>
      <c r="H6" s="545" t="str">
        <f t="shared" si="0"/>
        <v/>
      </c>
      <c r="I6" s="545" t="str">
        <f t="shared" si="0"/>
        <v/>
      </c>
      <c r="J6" s="545">
        <f t="shared" si="0"/>
        <v>9.9999999999999995E-21</v>
      </c>
      <c r="K6" s="545" t="str">
        <f t="shared" si="0"/>
        <v/>
      </c>
      <c r="L6" s="545">
        <f t="shared" si="0"/>
        <v>2500</v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9.9999999999999995E-21</v>
      </c>
      <c r="R6" s="545">
        <f t="shared" si="0"/>
        <v>9.9999999999999995E-21</v>
      </c>
      <c r="S6" s="545">
        <f t="shared" si="0"/>
        <v>9.9999999999999995E-21</v>
      </c>
      <c r="T6" s="545">
        <f t="shared" si="0"/>
        <v>9.9999999999999995E-21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9" priority="12" operator="equal">
      <formula>0</formula>
    </cfRule>
  </conditionalFormatting>
  <conditionalFormatting sqref="E8:AB1041">
    <cfRule type="cellIs" dxfId="158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7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0.99997877209453978</v>
      </c>
      <c r="M220" s="452">
        <f t="shared" si="0"/>
        <v>0.99997877209453978</v>
      </c>
      <c r="N220" s="452">
        <f t="shared" si="0"/>
        <v>0.99997877209453978</v>
      </c>
      <c r="O220" s="452">
        <f t="shared" si="0"/>
        <v>0.99997877209453978</v>
      </c>
      <c r="P220" s="452">
        <f t="shared" si="0"/>
        <v>0.99997877209453978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2.1227905460237182E-5</v>
      </c>
      <c r="M222" s="452">
        <f>(0.00015*0.172)/((IF(Tm&gt;298,EXP(-6.79*(1-Tm/298))*Pvap25*EXP((H0vap/8.314)*(1/298-1/TEMP.R)),Pvap25*EXP((H0vap/8.314)*(1/298-1/TEMP.R))))+(0.00015*0.172))</f>
        <v>2.1227905460237182E-5</v>
      </c>
      <c r="N222" s="452">
        <f>(0.00015*0.172)/((IF(Tm&gt;298,EXP(-6.79*(1-Tm/298))*Pvap25*EXP((H0vap/8.314)*(1/298-1/TEMP.R)),Pvap25*EXP((H0vap/8.314)*(1/298-1/TEMP.R))))+(0.00015*0.172))</f>
        <v>2.1227905460237182E-5</v>
      </c>
      <c r="O222" s="452">
        <f>(0.00015*0.172)/((IF(Tm&gt;298,EXP(-6.79*(1-Tm/298))*Pvap25*EXP((H0vap/8.314)*(1/298-1/TEMP.R)),Pvap25*EXP((H0vap/8.314)*(1/298-1/TEMP.R))))+(0.00015*0.172))</f>
        <v>2.1227905460237182E-5</v>
      </c>
      <c r="P222" s="452">
        <f>(0.00015*0.172)/((IF(Tm&gt;298,EXP(-6.79*(1-Tm/298))*Pvap25*EXP((H0vap/8.314)*(1/298-1/TEMP.R)),Pvap25*EXP((H0vap/8.314)*(1/298-1/TEMP.R))))+(0.00015*0.172))</f>
        <v>2.1227905460237182E-5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0.99750533889795012</v>
      </c>
      <c r="M226" s="452">
        <f t="shared" si="1"/>
        <v>0.99750533889795012</v>
      </c>
      <c r="N226" s="452">
        <f t="shared" si="1"/>
        <v>0.99750533889795012</v>
      </c>
      <c r="O226" s="452">
        <f t="shared" si="1"/>
        <v>0.99750533889795012</v>
      </c>
      <c r="P226" s="452">
        <f t="shared" si="1"/>
        <v>0.99750533889795012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0.9302317793408359</v>
      </c>
      <c r="M232" s="452">
        <f t="shared" si="2"/>
        <v>0.9302317793408359</v>
      </c>
      <c r="N232" s="452">
        <f t="shared" si="2"/>
        <v>0.9302317793408359</v>
      </c>
      <c r="O232" s="452">
        <f t="shared" si="2"/>
        <v>0.9302317793408359</v>
      </c>
      <c r="P232" s="452">
        <f t="shared" si="2"/>
        <v>0.9302317793408359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0.97560889946535656</v>
      </c>
      <c r="M238" s="452">
        <f t="shared" si="3"/>
        <v>0.97560889946535656</v>
      </c>
      <c r="N238" s="452">
        <f t="shared" si="3"/>
        <v>0.97560889946535656</v>
      </c>
      <c r="O238" s="452">
        <f t="shared" si="3"/>
        <v>0.97560889946535656</v>
      </c>
      <c r="P238" s="452">
        <f t="shared" si="3"/>
        <v>0.97560889946535656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2.6423791702775198E-2</v>
      </c>
      <c r="M268" s="451">
        <f>((DRYDEPaerosol.R+AerosolWashout.R+GasWashout.R+GASABS.aR.wR)/HEIGHT.aR)*AREAFRAC.w0R</f>
        <v>2.6423791702775198E-2</v>
      </c>
      <c r="N268" s="451">
        <f>((DRYDEPaerosol.R+AerosolWashout.R+GasWashout.R+GASABS.aR.wR)/HEIGHT.aR)*AREAFRAC.w0R</f>
        <v>2.6423791702775198E-2</v>
      </c>
      <c r="O268" s="451">
        <f>((DRYDEPaerosol.R+AerosolWashout.R+GasWashout.R+GASABS.aR.wR)/HEIGHT.aR)*AREAFRAC.w0R</f>
        <v>2.6423791702775198E-2</v>
      </c>
      <c r="P268" s="451">
        <f>((DRYDEPaerosol.R+AerosolWashout.R+GasWashout.R+GASABS.aR.wR)/HEIGHT.aR)*AREAFRAC.w0R</f>
        <v>2.6423791702775198E-2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0.29066170873052721</v>
      </c>
      <c r="M269" s="451">
        <f>((DRYDEPaerosol.R+AerosolWashout.R+GasWashout.R+GASABS.aR.wR)/HEIGHT.aR)*AREAFRAC.w1R</f>
        <v>0.29066170873052721</v>
      </c>
      <c r="N269" s="451">
        <f>((DRYDEPaerosol.R+AerosolWashout.R+GasWashout.R+GASABS.aR.wR)/HEIGHT.aR)*AREAFRAC.w1R</f>
        <v>0.29066170873052721</v>
      </c>
      <c r="O269" s="451">
        <f>((DRYDEPaerosol.R+AerosolWashout.R+GasWashout.R+GASABS.aR.wR)/HEIGHT.aR)*AREAFRAC.w1R</f>
        <v>0.29066170873052721</v>
      </c>
      <c r="P269" s="451">
        <f>((DRYDEPaerosol.R+AerosolWashout.R+GasWashout.R+GASABS.aR.wR)/HEIGHT.aR)*AREAFRAC.w1R</f>
        <v>0.29066170873052721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4.6241924491884724E-2</v>
      </c>
      <c r="M270" s="451">
        <f>((DRYDEPaerosol.R+AerosolWashout.R+GasWashout.R+GASABS.aR.wR)/HEIGHT.aR)*AREAFRAC.w2R</f>
        <v>4.6241924491884724E-2</v>
      </c>
      <c r="N270" s="451">
        <f>((DRYDEPaerosol.R+AerosolWashout.R+GasWashout.R+GASABS.aR.wR)/HEIGHT.aR)*AREAFRAC.w2R</f>
        <v>4.6241924491884724E-2</v>
      </c>
      <c r="O270" s="451">
        <f>((DRYDEPaerosol.R+AerosolWashout.R+GasWashout.R+GASABS.aR.wR)/HEIGHT.aR)*AREAFRAC.w2R</f>
        <v>4.6241924491884724E-2</v>
      </c>
      <c r="P270" s="451">
        <f>((DRYDEPaerosol.R+AerosolWashout.R+GasWashout.R+GASABS.aR.wR)/HEIGHT.aR)*AREAFRAC.w2R</f>
        <v>4.6241924491884724E-2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2.8537695038997222</v>
      </c>
      <c r="M271" s="451">
        <f>((DRYDEPaerosol.R+AerosolWashout.R+GasWashout.R+GASABS.aR.sR)/HEIGHT.aR)*AREAFRAC.s1R</f>
        <v>2.8537695038997222</v>
      </c>
      <c r="N271" s="451">
        <f>((DRYDEPaerosol.R+AerosolWashout.R+GasWashout.R+GASABS.aR.sR)/HEIGHT.aR)*AREAFRAC.s1R</f>
        <v>2.8537695038997222</v>
      </c>
      <c r="O271" s="451">
        <f>((DRYDEPaerosol.R+AerosolWashout.R+GasWashout.R+GASABS.aR.sR)/HEIGHT.aR)*AREAFRAC.s1R</f>
        <v>2.8537695038997222</v>
      </c>
      <c r="P271" s="451">
        <f>((DRYDEPaerosol.R+AerosolWashout.R+GasWashout.R+GASABS.aR.sR)/HEIGHT.aR)*AREAFRAC.s1R</f>
        <v>2.8537695038997222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6.3417100086660474</v>
      </c>
      <c r="M272" s="451">
        <f>((DRYDEPaerosol.R+AerosolWashout.R+GasWashout.R+GASABS.aR.sR)/HEIGHT.aR)*AREAFRAC.s2R</f>
        <v>6.3417100086660474</v>
      </c>
      <c r="N272" s="451">
        <f>((DRYDEPaerosol.R+AerosolWashout.R+GasWashout.R+GASABS.aR.sR)/HEIGHT.aR)*AREAFRAC.s2R</f>
        <v>6.3417100086660474</v>
      </c>
      <c r="O272" s="451">
        <f>((DRYDEPaerosol.R+AerosolWashout.R+GasWashout.R+GASABS.aR.sR)/HEIGHT.aR)*AREAFRAC.s2R</f>
        <v>6.3417100086660474</v>
      </c>
      <c r="P272" s="451">
        <f>((DRYDEPaerosol.R+AerosolWashout.R+GasWashout.R+GASABS.aR.sR)/HEIGHT.aR)*AREAFRAC.s2R</f>
        <v>6.3417100086660474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1.056951668111008</v>
      </c>
      <c r="M273" s="451">
        <f>((DRYDEPaerosol.R+AerosolWashout.R+GasWashout.R+GASABS.aR.sR)/HEIGHT.aR)*AREAFRAC.s3R</f>
        <v>1.056951668111008</v>
      </c>
      <c r="N273" s="451">
        <f>((DRYDEPaerosol.R+AerosolWashout.R+GasWashout.R+GASABS.aR.sR)/HEIGHT.aR)*AREAFRAC.s3R</f>
        <v>1.056951668111008</v>
      </c>
      <c r="O273" s="451">
        <f>((DRYDEPaerosol.R+AerosolWashout.R+GasWashout.R+GASABS.aR.sR)/HEIGHT.aR)*AREAFRAC.s3R</f>
        <v>1.056951668111008</v>
      </c>
      <c r="P273" s="451">
        <f>((DRYDEPaerosol.R+AerosolWashout.R+GasWashout.R+GASABS.aR.sR)/HEIGHT.aR)*AREAFRAC.s3R</f>
        <v>1.056951668111008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4.2609589573335867E-4</v>
      </c>
      <c r="M286" s="451">
        <f>AEROSOLdeprate.R*FRaers.aR</f>
        <v>4.2609589573335867E-4</v>
      </c>
      <c r="N286" s="451">
        <f>AEROSOLdeprate.R*FRaers.aR</f>
        <v>4.2609589573335867E-4</v>
      </c>
      <c r="O286" s="451">
        <f>AEROSOLdeprate.R*FRaers.aR</f>
        <v>4.2609589573335867E-4</v>
      </c>
      <c r="P286" s="451">
        <f>AEROSOLdeprate.R*FRaers.aR</f>
        <v>4.2609589573335867E-4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4.4393708772405205E-3</v>
      </c>
      <c r="M287" s="452">
        <f t="shared" si="4"/>
        <v>4.4393708772405205E-3</v>
      </c>
      <c r="N287" s="452">
        <f t="shared" si="4"/>
        <v>4.4393708772405205E-3</v>
      </c>
      <c r="O287" s="452">
        <f t="shared" si="4"/>
        <v>4.4393708772405205E-3</v>
      </c>
      <c r="P287" s="452">
        <f t="shared" si="4"/>
        <v>4.4393708772405205E-3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636.94356473840719</v>
      </c>
      <c r="M288" s="452">
        <f t="shared" si="5"/>
        <v>636.94356473840719</v>
      </c>
      <c r="N288" s="452">
        <f t="shared" si="5"/>
        <v>636.94356473840719</v>
      </c>
      <c r="O288" s="452">
        <f t="shared" si="5"/>
        <v>636.94356473840719</v>
      </c>
      <c r="P288" s="452">
        <f t="shared" si="5"/>
        <v>636.94356473840719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2.8900000000000001E-5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0.99997877209453978</v>
      </c>
      <c r="M445" s="452">
        <f t="shared" si="6"/>
        <v>0.99997877209453978</v>
      </c>
      <c r="N445" s="452">
        <f t="shared" si="6"/>
        <v>0.99997877209453978</v>
      </c>
      <c r="O445" s="452">
        <f t="shared" si="6"/>
        <v>0.99997877209453978</v>
      </c>
      <c r="P445" s="452">
        <f t="shared" si="6"/>
        <v>0.99997877209453978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2.1227905460237186E-5</v>
      </c>
      <c r="M447" s="452">
        <f t="shared" si="7"/>
        <v>2.1227905460237186E-5</v>
      </c>
      <c r="N447" s="452">
        <f t="shared" si="7"/>
        <v>2.1227905460237186E-5</v>
      </c>
      <c r="O447" s="452">
        <f t="shared" si="7"/>
        <v>2.1227905460237186E-5</v>
      </c>
      <c r="P447" s="452">
        <f t="shared" si="7"/>
        <v>2.1227905460237186E-5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0.99750533889795012</v>
      </c>
      <c r="M451" s="452">
        <f t="shared" si="8"/>
        <v>0.99750533889795012</v>
      </c>
      <c r="N451" s="452">
        <f t="shared" si="8"/>
        <v>0.99750533889795012</v>
      </c>
      <c r="O451" s="452">
        <f t="shared" si="8"/>
        <v>0.99750533889795012</v>
      </c>
      <c r="P451" s="452">
        <f t="shared" si="8"/>
        <v>0.99750533889795012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0.9302317793408359</v>
      </c>
      <c r="M457" s="452">
        <f t="shared" si="9"/>
        <v>0.9302317793408359</v>
      </c>
      <c r="N457" s="452">
        <f t="shared" si="9"/>
        <v>0.9302317793408359</v>
      </c>
      <c r="O457" s="452">
        <f t="shared" si="9"/>
        <v>0.9302317793408359</v>
      </c>
      <c r="P457" s="452">
        <f t="shared" si="9"/>
        <v>0.9302317793408359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0.97560889946535656</v>
      </c>
      <c r="M463" s="452">
        <f t="shared" si="10"/>
        <v>0.97560889946535656</v>
      </c>
      <c r="N463" s="452">
        <f t="shared" si="10"/>
        <v>0.97560889946535656</v>
      </c>
      <c r="O463" s="452">
        <f t="shared" si="10"/>
        <v>0.97560889946535656</v>
      </c>
      <c r="P463" s="452">
        <f t="shared" si="10"/>
        <v>0.97560889946535656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1.2850239947824965E-2</v>
      </c>
      <c r="M493" s="451">
        <f>((DRYDEPaerosol.C+AerosolWashout.C+GasWashout.C+GASABS.aC.wC)/HEIGHT.aC)*AREAFRAC.w0C</f>
        <v>1.2850239947824965E-2</v>
      </c>
      <c r="N493" s="451">
        <f>((DRYDEPaerosol.C+AerosolWashout.C+GasWashout.C+GASABS.aC.wC)/HEIGHT.aC)*AREAFRAC.w0C</f>
        <v>1.2850239947824965E-2</v>
      </c>
      <c r="O493" s="451">
        <f>((DRYDEPaerosol.C+AerosolWashout.C+GasWashout.C+GASABS.aC.wC)/HEIGHT.aC)*AREAFRAC.w0C</f>
        <v>1.2850239947824965E-2</v>
      </c>
      <c r="P493" s="451">
        <f>((DRYDEPaerosol.C+AerosolWashout.C+GasWashout.C+GASABS.aC.wC)/HEIGHT.aC)*AREAFRAC.w0C</f>
        <v>1.2850239947824965E-2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0.14135263942607462</v>
      </c>
      <c r="M494" s="451">
        <f>((DRYDEPaerosol.C+AerosolWashout.C+GasWashout.C+GASABS.aC.wC)/HEIGHT.aC)*AREAFRAC.w1C</f>
        <v>0.14135263942607462</v>
      </c>
      <c r="N494" s="451">
        <f>((DRYDEPaerosol.C+AerosolWashout.C+GasWashout.C+GASABS.aC.wC)/HEIGHT.aC)*AREAFRAC.w1C</f>
        <v>0.14135263942607462</v>
      </c>
      <c r="O494" s="451">
        <f>((DRYDEPaerosol.C+AerosolWashout.C+GasWashout.C+GASABS.aC.wC)/HEIGHT.aC)*AREAFRAC.w1C</f>
        <v>0.14135263942607462</v>
      </c>
      <c r="P494" s="451">
        <f>((DRYDEPaerosol.C+AerosolWashout.C+GasWashout.C+GASABS.aC.wC)/HEIGHT.aC)*AREAFRAC.w1C</f>
        <v>0.14135263942607462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5.475662626471979</v>
      </c>
      <c r="M495" s="451">
        <f>((DRYDEPaerosol.C+AerosolWashout.C+GasWashout.C+GASABS.aC.wC)/HEIGHT.aC)*AREAFRAC.w2C</f>
        <v>5.475662626471979</v>
      </c>
      <c r="N495" s="451">
        <f>((DRYDEPaerosol.C+AerosolWashout.C+GasWashout.C+GASABS.aC.wC)/HEIGHT.aC)*AREAFRAC.w2C</f>
        <v>5.475662626471979</v>
      </c>
      <c r="O495" s="451">
        <f>((DRYDEPaerosol.C+AerosolWashout.C+GasWashout.C+GASABS.aC.wC)/HEIGHT.aC)*AREAFRAC.w2C</f>
        <v>5.475662626471979</v>
      </c>
      <c r="P495" s="451">
        <f>((DRYDEPaerosol.C+AerosolWashout.C+GasWashout.C+GASABS.aC.wC)/HEIGHT.aC)*AREAFRAC.w2C</f>
        <v>5.475662626471979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1.3878259143650966</v>
      </c>
      <c r="M496" s="451">
        <f>((DRYDEPaerosol.C+AerosolWashout.C+GasWashout.C+GASABS.aC.sC)/HEIGHT.aC)*AREAFRAC.s1C</f>
        <v>1.3878259143650966</v>
      </c>
      <c r="N496" s="451">
        <f>((DRYDEPaerosol.C+AerosolWashout.C+GasWashout.C+GASABS.aC.sC)/HEIGHT.aC)*AREAFRAC.s1C</f>
        <v>1.3878259143650966</v>
      </c>
      <c r="O496" s="451">
        <f>((DRYDEPaerosol.C+AerosolWashout.C+GasWashout.C+GASABS.aC.sC)/HEIGHT.aC)*AREAFRAC.s1C</f>
        <v>1.3878259143650966</v>
      </c>
      <c r="P496" s="451">
        <f>((DRYDEPaerosol.C+AerosolWashout.C+GasWashout.C+GASABS.aC.sC)/HEIGHT.aC)*AREAFRAC.s1C</f>
        <v>1.3878259143650966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3.0840575874779921</v>
      </c>
      <c r="M497" s="451">
        <f>((DRYDEPaerosol.C+AerosolWashout.C+GasWashout.C+GASABS.aC.sC)/HEIGHT.aC)*AREAFRAC.s2C</f>
        <v>3.0840575874779921</v>
      </c>
      <c r="N497" s="451">
        <f>((DRYDEPaerosol.C+AerosolWashout.C+GasWashout.C+GASABS.aC.sC)/HEIGHT.aC)*AREAFRAC.s2C</f>
        <v>3.0840575874779921</v>
      </c>
      <c r="O497" s="451">
        <f>((DRYDEPaerosol.C+AerosolWashout.C+GasWashout.C+GASABS.aC.sC)/HEIGHT.aC)*AREAFRAC.s2C</f>
        <v>3.0840575874779921</v>
      </c>
      <c r="P497" s="451">
        <f>((DRYDEPaerosol.C+AerosolWashout.C+GasWashout.C+GASABS.aC.sC)/HEIGHT.aC)*AREAFRAC.s2C</f>
        <v>3.0840575874779921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0.51400959791299861</v>
      </c>
      <c r="M498" s="451">
        <f>((DRYDEPaerosol.C+AerosolWashout.C+GasWashout.C+GASABS.aC.sC)/HEIGHT.aC)*AREAFRAC.s3C</f>
        <v>0.51400959791299861</v>
      </c>
      <c r="N498" s="451">
        <f>((DRYDEPaerosol.C+AerosolWashout.C+GasWashout.C+GASABS.aC.sC)/HEIGHT.aC)*AREAFRAC.s3C</f>
        <v>0.51400959791299861</v>
      </c>
      <c r="O498" s="451">
        <f>((DRYDEPaerosol.C+AerosolWashout.C+GasWashout.C+GASABS.aC.sC)/HEIGHT.aC)*AREAFRAC.s3C</f>
        <v>0.51400959791299861</v>
      </c>
      <c r="P498" s="451">
        <f>((DRYDEPaerosol.C+AerosolWashout.C+GasWashout.C+GASABS.aC.sC)/HEIGHT.aC)*AREAFRAC.s3C</f>
        <v>0.51400959791299861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4.2609589573335867E-4</v>
      </c>
      <c r="M511" s="452">
        <f>AEROSOLdeprate.C*FRaers.aC</f>
        <v>4.2609589573335867E-4</v>
      </c>
      <c r="N511" s="452">
        <f>AEROSOLdeprate.C*FRaers.aC</f>
        <v>4.2609589573335867E-4</v>
      </c>
      <c r="O511" s="452">
        <f>AEROSOLdeprate.C*FRaers.aC</f>
        <v>4.2609589573335867E-4</v>
      </c>
      <c r="P511" s="452">
        <f>AEROSOLdeprate.C*FRaers.aC</f>
        <v>4.2609589573335867E-4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4.4393708772405205E-3</v>
      </c>
      <c r="M512" s="452">
        <f t="shared" si="11"/>
        <v>4.4393708772405205E-3</v>
      </c>
      <c r="N512" s="452">
        <f t="shared" si="11"/>
        <v>4.4393708772405205E-3</v>
      </c>
      <c r="O512" s="452">
        <f t="shared" si="11"/>
        <v>4.4393708772405205E-3</v>
      </c>
      <c r="P512" s="452">
        <f t="shared" si="11"/>
        <v>4.4393708772405205E-3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636.94356473840719</v>
      </c>
      <c r="M513" s="452">
        <f t="shared" si="12"/>
        <v>636.94356473840719</v>
      </c>
      <c r="N513" s="452">
        <f t="shared" si="12"/>
        <v>636.94356473840719</v>
      </c>
      <c r="O513" s="452">
        <f t="shared" si="12"/>
        <v>636.94356473840719</v>
      </c>
      <c r="P513" s="452">
        <f t="shared" si="12"/>
        <v>636.94356473840719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2.8900000000000001E-5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0.99997877209453978</v>
      </c>
      <c r="M650" s="452">
        <f t="shared" si="13"/>
        <v>0.99997877209453978</v>
      </c>
      <c r="N650" s="452">
        <f t="shared" si="13"/>
        <v>0.99997877209453978</v>
      </c>
      <c r="O650" s="452">
        <f t="shared" si="13"/>
        <v>0.99997877209453978</v>
      </c>
      <c r="P650" s="452">
        <f t="shared" si="13"/>
        <v>0.99997877209453978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2.1227905460237186E-5</v>
      </c>
      <c r="M652" s="452">
        <f t="shared" si="14"/>
        <v>2.1227905460237186E-5</v>
      </c>
      <c r="N652" s="452">
        <f t="shared" si="14"/>
        <v>2.1227905460237186E-5</v>
      </c>
      <c r="O652" s="452">
        <f t="shared" si="14"/>
        <v>2.1227905460237186E-5</v>
      </c>
      <c r="P652" s="452">
        <f t="shared" si="14"/>
        <v>2.1227905460237186E-5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0.97560889946535656</v>
      </c>
      <c r="M657" s="452">
        <f t="shared" si="15"/>
        <v>0.97560889946535656</v>
      </c>
      <c r="N657" s="452">
        <f t="shared" si="15"/>
        <v>0.97560889946535656</v>
      </c>
      <c r="O657" s="452">
        <f t="shared" si="15"/>
        <v>0.97560889946535656</v>
      </c>
      <c r="P657" s="452">
        <f t="shared" si="15"/>
        <v>0.97560889946535656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0.97560889946535656</v>
      </c>
      <c r="M658" s="452">
        <f t="shared" si="16"/>
        <v>0.97560889946535656</v>
      </c>
      <c r="N658" s="452">
        <f t="shared" si="16"/>
        <v>0.97560889946535656</v>
      </c>
      <c r="O658" s="452">
        <f t="shared" si="16"/>
        <v>0.97560889946535656</v>
      </c>
      <c r="P658" s="452">
        <f t="shared" si="16"/>
        <v>0.97560889946535656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5.3078793028009823</v>
      </c>
      <c r="M680" s="451">
        <f>((DRYDEPaerosol.M+AerosolWashout.M+GasWashout.M+GASABS.aM.wM)/HEIGHT.aC)*AREAFRAC.wM</f>
        <v>5.3078793028009823</v>
      </c>
      <c r="N680" s="451">
        <f>((DRYDEPaerosol.M+AerosolWashout.M+GasWashout.M+GASABS.aM.wM)/HEIGHT.aC)*AREAFRAC.wM</f>
        <v>5.3078793028009823</v>
      </c>
      <c r="O680" s="451">
        <f>((DRYDEPaerosol.M+AerosolWashout.M+GasWashout.M+GASABS.aM.wM)/HEIGHT.aC)*AREAFRAC.wM</f>
        <v>5.3078793028009823</v>
      </c>
      <c r="P680" s="451">
        <f>((DRYDEPaerosol.M+AerosolWashout.M+GasWashout.M+GASABS.aM.wM)/HEIGHT.aC)*AREAFRAC.wM</f>
        <v>5.3078793028009823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5.3078793028009823</v>
      </c>
      <c r="M681" s="452">
        <f>((DRYDEPaerosol.M+AerosolWashout.M+GasWashout.M+GASABS.aM.sM)/HEIGHT.aC)*AREAFRAC.sM</f>
        <v>5.3078793028009823</v>
      </c>
      <c r="N681" s="452">
        <f>((DRYDEPaerosol.M+AerosolWashout.M+GasWashout.M+GASABS.aM.sM)/HEIGHT.aC)*AREAFRAC.sM</f>
        <v>5.3078793028009823</v>
      </c>
      <c r="O681" s="452">
        <f>((DRYDEPaerosol.M+AerosolWashout.M+GasWashout.M+GASABS.aM.sM)/HEIGHT.aC)*AREAFRAC.sM</f>
        <v>5.3078793028009823</v>
      </c>
      <c r="P681" s="452">
        <f>((DRYDEPaerosol.M+AerosolWashout.M+GasWashout.M+GASABS.aM.sM)/HEIGHT.aC)*AREAFRAC.sM</f>
        <v>5.3078793028009823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4.2609589573335867E-4</v>
      </c>
      <c r="M690" s="452">
        <f>AEROSOLdeprate.M*FRaers.aM</f>
        <v>4.2609589573335867E-4</v>
      </c>
      <c r="N690" s="452">
        <f>AEROSOLdeprate.M*FRaers.aM</f>
        <v>4.2609589573335867E-4</v>
      </c>
      <c r="O690" s="452">
        <f>AEROSOLdeprate.M*FRaers.aM</f>
        <v>4.2609589573335867E-4</v>
      </c>
      <c r="P690" s="452">
        <f>AEROSOLdeprate.M*FRaers.aM</f>
        <v>4.2609589573335867E-4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4.4393708772405205E-3</v>
      </c>
      <c r="M691" s="452">
        <f t="shared" si="17"/>
        <v>4.4393708772405205E-3</v>
      </c>
      <c r="N691" s="452">
        <f t="shared" si="17"/>
        <v>4.4393708772405205E-3</v>
      </c>
      <c r="O691" s="452">
        <f t="shared" si="17"/>
        <v>4.4393708772405205E-3</v>
      </c>
      <c r="P691" s="452">
        <f t="shared" si="17"/>
        <v>4.4393708772405205E-3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636.94356473840719</v>
      </c>
      <c r="M692" s="452">
        <f t="shared" si="18"/>
        <v>636.94356473840719</v>
      </c>
      <c r="N692" s="452">
        <f t="shared" si="18"/>
        <v>636.94356473840719</v>
      </c>
      <c r="O692" s="452">
        <f t="shared" si="18"/>
        <v>636.94356473840719</v>
      </c>
      <c r="P692" s="452">
        <f t="shared" si="18"/>
        <v>636.94356473840719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2.8900000000000001E-5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0.9997916145254897</v>
      </c>
      <c r="M786" s="452">
        <f t="shared" si="19"/>
        <v>0.9997916145254897</v>
      </c>
      <c r="N786" s="452">
        <f t="shared" si="19"/>
        <v>0.9997916145254897</v>
      </c>
      <c r="O786" s="452">
        <f t="shared" si="19"/>
        <v>0.9997916145254897</v>
      </c>
      <c r="P786" s="452">
        <f t="shared" si="19"/>
        <v>0.9997916145254897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2.0838547451026477E-4</v>
      </c>
      <c r="M788" s="452">
        <f t="shared" si="20"/>
        <v>2.0838547451026477E-4</v>
      </c>
      <c r="N788" s="452">
        <f t="shared" si="20"/>
        <v>2.0838547451026477E-4</v>
      </c>
      <c r="O788" s="452">
        <f t="shared" si="20"/>
        <v>2.0838547451026477E-4</v>
      </c>
      <c r="P788" s="452">
        <f t="shared" si="20"/>
        <v>2.0838547451026477E-4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0.97560889946535656</v>
      </c>
      <c r="M793" s="452">
        <f t="shared" si="21"/>
        <v>0.97560889946535656</v>
      </c>
      <c r="N793" s="452">
        <f t="shared" si="21"/>
        <v>0.97560889946535656</v>
      </c>
      <c r="O793" s="452">
        <f t="shared" si="21"/>
        <v>0.97560889946535656</v>
      </c>
      <c r="P793" s="452">
        <f t="shared" si="21"/>
        <v>0.97560889946535656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0.97560889946535656</v>
      </c>
      <c r="M794" s="452">
        <f t="shared" si="22"/>
        <v>0.97560889946535656</v>
      </c>
      <c r="N794" s="452">
        <f t="shared" si="22"/>
        <v>0.97560889946535656</v>
      </c>
      <c r="O794" s="452">
        <f t="shared" si="22"/>
        <v>0.97560889946535656</v>
      </c>
      <c r="P794" s="452">
        <f t="shared" si="22"/>
        <v>0.97560889946535656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3.5497205089395751</v>
      </c>
      <c r="M816" s="451">
        <f>((DRYDEPaerosol.A+AerosolWashout.A+GasWashout.A+GASABS.aA.wA)/HEIGHT.aC)*AREAFRAC.wA</f>
        <v>3.5497205089395751</v>
      </c>
      <c r="N816" s="451">
        <f>((DRYDEPaerosol.A+AerosolWashout.A+GasWashout.A+GASABS.aA.wA)/HEIGHT.aC)*AREAFRAC.wA</f>
        <v>3.5497205089395751</v>
      </c>
      <c r="O816" s="451">
        <f>((DRYDEPaerosol.A+AerosolWashout.A+GasWashout.A+GASABS.aA.wA)/HEIGHT.aC)*AREAFRAC.wA</f>
        <v>3.5497205089395751</v>
      </c>
      <c r="P816" s="451">
        <f>((DRYDEPaerosol.A+AerosolWashout.A+GasWashout.A+GASABS.aA.wA)/HEIGHT.aC)*AREAFRAC.wA</f>
        <v>3.5497205089395751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2.3664803392930502</v>
      </c>
      <c r="M817" s="451">
        <f>((DRYDEPaerosol.A+AerosolWashout.A+GasWashout.A+GASABS.aA.sA)/HEIGHT.aC)*AREAFRAC.sA</f>
        <v>2.3664803392930502</v>
      </c>
      <c r="N817" s="451">
        <f>((DRYDEPaerosol.A+AerosolWashout.A+GasWashout.A+GASABS.aA.sA)/HEIGHT.aC)*AREAFRAC.sA</f>
        <v>2.3664803392930502</v>
      </c>
      <c r="O817" s="451">
        <f>((DRYDEPaerosol.A+AerosolWashout.A+GasWashout.A+GASABS.aA.sA)/HEIGHT.aC)*AREAFRAC.sA</f>
        <v>2.3664803392930502</v>
      </c>
      <c r="P817" s="451">
        <f>((DRYDEPaerosol.A+AerosolWashout.A+GasWashout.A+GASABS.aA.sA)/HEIGHT.aC)*AREAFRAC.sA</f>
        <v>2.3664803392930502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1.0445346185785231E-4</v>
      </c>
      <c r="M826" s="451">
        <f>AEROSOLdeprate.A*FRaers.aA</f>
        <v>1.0445346185785231E-4</v>
      </c>
      <c r="N826" s="451">
        <f>AEROSOLdeprate.A*FRaers.aA</f>
        <v>1.0445346185785231E-4</v>
      </c>
      <c r="O826" s="451">
        <f>AEROSOLdeprate.A*FRaers.aA</f>
        <v>1.0445346185785231E-4</v>
      </c>
      <c r="P826" s="451">
        <f>AEROSOLdeprate.A*FRaers.aA</f>
        <v>1.0445346185785231E-4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1.585489599145634E-3</v>
      </c>
      <c r="M827" s="452">
        <f t="shared" si="23"/>
        <v>1.585489599145634E-3</v>
      </c>
      <c r="N827" s="452">
        <f t="shared" si="23"/>
        <v>1.585489599145634E-3</v>
      </c>
      <c r="O827" s="452">
        <f t="shared" si="23"/>
        <v>1.585489599145634E-3</v>
      </c>
      <c r="P827" s="452">
        <f t="shared" si="23"/>
        <v>1.585489599145634E-3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354.97182528408018</v>
      </c>
      <c r="M828" s="452">
        <f t="shared" si="24"/>
        <v>354.97182528408018</v>
      </c>
      <c r="N828" s="452">
        <f t="shared" si="24"/>
        <v>354.97182528408018</v>
      </c>
      <c r="O828" s="452">
        <f t="shared" si="24"/>
        <v>354.97182528408018</v>
      </c>
      <c r="P828" s="452">
        <f t="shared" si="24"/>
        <v>354.97182528408018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2.8900000000000001E-5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0.99999355004160229</v>
      </c>
      <c r="M922" s="452">
        <f t="shared" si="25"/>
        <v>0.99999355004160229</v>
      </c>
      <c r="N922" s="452">
        <f t="shared" si="25"/>
        <v>0.99999355004160229</v>
      </c>
      <c r="O922" s="452">
        <f t="shared" si="25"/>
        <v>0.99999355004160229</v>
      </c>
      <c r="P922" s="452">
        <f t="shared" si="25"/>
        <v>0.99999355004160229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6.4499583977683341E-6</v>
      </c>
      <c r="M924" s="452">
        <f t="shared" si="26"/>
        <v>6.4499583977683341E-6</v>
      </c>
      <c r="N924" s="452">
        <f t="shared" si="26"/>
        <v>6.4499583977683341E-6</v>
      </c>
      <c r="O924" s="452">
        <f t="shared" si="26"/>
        <v>6.4499583977683341E-6</v>
      </c>
      <c r="P924" s="452">
        <f t="shared" si="26"/>
        <v>6.4499583977683341E-6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0.97560889946535656</v>
      </c>
      <c r="M929" s="452">
        <f t="shared" si="27"/>
        <v>0.97560889946535656</v>
      </c>
      <c r="N929" s="452">
        <f t="shared" si="27"/>
        <v>0.97560889946535656</v>
      </c>
      <c r="O929" s="452">
        <f t="shared" si="27"/>
        <v>0.97560889946535656</v>
      </c>
      <c r="P929" s="452">
        <f t="shared" si="27"/>
        <v>0.97560889946535656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0.97560889946535656</v>
      </c>
      <c r="M930" s="452">
        <f t="shared" si="28"/>
        <v>0.97560889946535656</v>
      </c>
      <c r="N930" s="452">
        <f t="shared" si="28"/>
        <v>0.97560889946535656</v>
      </c>
      <c r="O930" s="452">
        <f t="shared" si="28"/>
        <v>0.97560889946535656</v>
      </c>
      <c r="P930" s="452">
        <f t="shared" si="28"/>
        <v>0.97560889946535656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8.1680626551044622</v>
      </c>
      <c r="M952" s="451">
        <f>((DRYDEPaerosol.T+AerosolWashout.T+GasWashout.T+GASABS.aT.wT)/HEIGHT.aT)*AREAFRAC.wT</f>
        <v>8.1680626551044622</v>
      </c>
      <c r="N952" s="451">
        <f>((DRYDEPaerosol.T+AerosolWashout.T+GasWashout.T+GASABS.aT.wT)/HEIGHT.aT)*AREAFRAC.wT</f>
        <v>8.1680626551044622</v>
      </c>
      <c r="O952" s="451">
        <f>((DRYDEPaerosol.T+AerosolWashout.T+GasWashout.T+GASABS.aT.wT)/HEIGHT.aT)*AREAFRAC.wT</f>
        <v>8.1680626551044622</v>
      </c>
      <c r="P952" s="451">
        <f>((DRYDEPaerosol.T+AerosolWashout.T+GasWashout.T+GASABS.aT.wT)/HEIGHT.aT)*AREAFRAC.wT</f>
        <v>8.1680626551044622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3.5005982807590561</v>
      </c>
      <c r="M953" s="451">
        <f>((DRYDEPaerosol.T+AerosolWashout.T+GasWashout.T+GASABS.aT.sT)/HEIGHT.aT)*AREAFRAC.sT</f>
        <v>3.5005982807590561</v>
      </c>
      <c r="N953" s="451">
        <f>((DRYDEPaerosol.T+AerosolWashout.T+GasWashout.T+GASABS.aT.sT)/HEIGHT.aT)*AREAFRAC.sT</f>
        <v>3.5005982807590561</v>
      </c>
      <c r="O953" s="451">
        <f>((DRYDEPaerosol.T+AerosolWashout.T+GasWashout.T+GASABS.aT.sT)/HEIGHT.aT)*AREAFRAC.sT</f>
        <v>3.5005982807590561</v>
      </c>
      <c r="P953" s="451">
        <f>((DRYDEPaerosol.T+AerosolWashout.T+GasWashout.T+GASABS.aT.sT)/HEIGHT.aT)*AREAFRAC.sT</f>
        <v>3.5005982807590561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6.6032608684437396E-4</v>
      </c>
      <c r="M962" s="451">
        <f>AEROSOLdeprate.T*FRaers.aT</f>
        <v>6.6032608684437396E-4</v>
      </c>
      <c r="N962" s="451">
        <f>AEROSOLdeprate.T*FRaers.aT</f>
        <v>6.6032608684437396E-4</v>
      </c>
      <c r="O962" s="451">
        <f>AEROSOLdeprate.T*FRaers.aT</f>
        <v>6.6032608684437396E-4</v>
      </c>
      <c r="P962" s="451">
        <f>AEROSOLdeprate.T*FRaers.aT</f>
        <v>6.6032608684437396E-4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8.2445459143785649E-3</v>
      </c>
      <c r="M963" s="452">
        <f t="shared" si="29"/>
        <v>8.2445459143785649E-3</v>
      </c>
      <c r="N963" s="452">
        <f t="shared" si="29"/>
        <v>8.2445459143785649E-3</v>
      </c>
      <c r="O963" s="452">
        <f t="shared" si="29"/>
        <v>8.2445459143785649E-3</v>
      </c>
      <c r="P963" s="452">
        <f t="shared" si="29"/>
        <v>8.2445459143785649E-3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700.11415206306867</v>
      </c>
      <c r="M964" s="452">
        <f t="shared" si="30"/>
        <v>700.11415206306867</v>
      </c>
      <c r="N964" s="452">
        <f t="shared" si="30"/>
        <v>700.11415206306867</v>
      </c>
      <c r="O964" s="452">
        <f t="shared" si="30"/>
        <v>700.11415206306867</v>
      </c>
      <c r="P964" s="452">
        <f t="shared" si="30"/>
        <v>700.11415206306867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2.8900000000000001E-5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6" priority="73" operator="equal">
      <formula>0</formula>
    </cfRule>
  </conditionalFormatting>
  <conditionalFormatting sqref="J343:Q343">
    <cfRule type="cellIs" dxfId="155" priority="72" operator="equal">
      <formula>0</formula>
    </cfRule>
  </conditionalFormatting>
  <conditionalFormatting sqref="J517:Q520">
    <cfRule type="cellIs" dxfId="154" priority="68" operator="equal">
      <formula>0</formula>
    </cfRule>
  </conditionalFormatting>
  <conditionalFormatting sqref="J532:Q532">
    <cfRule type="cellIs" dxfId="153" priority="67" operator="equal">
      <formula>0</formula>
    </cfRule>
  </conditionalFormatting>
  <conditionalFormatting sqref="J535:Q535">
    <cfRule type="cellIs" dxfId="152" priority="66" operator="equal">
      <formula>0</formula>
    </cfRule>
  </conditionalFormatting>
  <conditionalFormatting sqref="J538:Q538">
    <cfRule type="cellIs" dxfId="151" priority="65" operator="equal">
      <formula>0</formula>
    </cfRule>
  </conditionalFormatting>
  <conditionalFormatting sqref="L703:O703 Q703">
    <cfRule type="cellIs" dxfId="150" priority="58" operator="equal">
      <formula>0</formula>
    </cfRule>
  </conditionalFormatting>
  <conditionalFormatting sqref="L839:Q839">
    <cfRule type="cellIs" dxfId="149" priority="55" operator="equal">
      <formula>0</formula>
    </cfRule>
  </conditionalFormatting>
  <conditionalFormatting sqref="L975:Q975">
    <cfRule type="cellIs" dxfId="148" priority="52" operator="equal">
      <formula>0</formula>
    </cfRule>
  </conditionalFormatting>
  <conditionalFormatting sqref="L493:P498">
    <cfRule type="cellIs" dxfId="147" priority="49" operator="equal">
      <formula>0</formula>
    </cfRule>
  </conditionalFormatting>
  <conditionalFormatting sqref="M493:P498">
    <cfRule type="cellIs" dxfId="146" priority="48" operator="equal">
      <formula>0</formula>
    </cfRule>
  </conditionalFormatting>
  <conditionalFormatting sqref="M493:P498">
    <cfRule type="cellIs" dxfId="145" priority="47" operator="equal">
      <formula>0</formula>
    </cfRule>
  </conditionalFormatting>
  <conditionalFormatting sqref="I1:I1048576">
    <cfRule type="cellIs" dxfId="144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E1" transitionEvaluation="1" transitionEntry="1" codeName="Sheet2"/>
  <dimension ref="A1:O219"/>
  <sheetViews>
    <sheetView topLeftCell="E1" zoomScaleNormal="100" workbookViewId="0">
      <selection activeCell="I157" sqref="I157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f>3</f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1.0959261276255461E-10</v>
      </c>
      <c r="L60" s="664">
        <f t="shared" ref="L60:L65" si="2">IF(ISBLANK(I60),IF(ISNUMBER(J60)=FALSE,K60,J60),I60)</f>
        <v>1.0959261276255461E-10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0.57390410415704873</v>
      </c>
      <c r="L61" s="664">
        <f t="shared" si="2"/>
        <v>0.57390410415704873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0.42609589573335865</v>
      </c>
      <c r="L62" s="664">
        <f t="shared" si="2"/>
        <v>0.42609589573335865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3.8191943560330707E-21</v>
      </c>
      <c r="L63" s="664">
        <f t="shared" si="2"/>
        <v>3.8191943560330707E-21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2.6183532619132853E+20</v>
      </c>
      <c r="L64" s="664">
        <f t="shared" si="2"/>
        <v>2.6183532619132853E+20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1.944E+20</v>
      </c>
      <c r="L65" s="664">
        <f t="shared" si="2"/>
        <v>1.944E+20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0.99750480158911303</v>
      </c>
      <c r="L66" s="664">
        <f>IF(ISBLANK(I66),IF(ISNUMBER(J66)=FALSE,K66,J66),I66)</f>
        <v>0.99750480158911303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5000</v>
      </c>
      <c r="L67" s="664">
        <f>IF(ISBLANK(I67),IF(ISNUMBER(J67)=FALSE,K67,J67),I67)</f>
        <v>5000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1.44</v>
      </c>
      <c r="L70" s="664">
        <f>IF(ISBLANK(I70),IF(ISNUMBER(J70)=FALSE,K70,J70),I70)</f>
        <v>1.44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0.93023131206224252</v>
      </c>
      <c r="L72" s="664">
        <f t="shared" ref="L72:L104" si="3">IF(ISBLANK(I72),IF(ISNUMBER(J72)=FALSE,K72,J72),I72)</f>
        <v>0.93023131206224252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3"/>
        <v>5000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 t="shared" si="3"/>
        <v>1.44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0.97560838548675621</v>
      </c>
      <c r="L78" s="664">
        <f t="shared" si="3"/>
        <v>0.97560838548675621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5000</v>
      </c>
      <c r="L79" s="664">
        <f t="shared" si="3"/>
        <v>5000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3"/>
        <v>1.44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1250.7999999999997</v>
      </c>
      <c r="L84" s="664">
        <f t="shared" si="3"/>
        <v>1250.7999999999997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2500</v>
      </c>
      <c r="L85" s="664">
        <f t="shared" si="3"/>
        <v>2500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1250.7999999999997</v>
      </c>
      <c r="L87" s="664">
        <f t="shared" si="3"/>
        <v>1250.7999999999997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2500</v>
      </c>
      <c r="L88" s="664">
        <f t="shared" si="3"/>
        <v>2500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1500.2000000000003</v>
      </c>
      <c r="L90" s="664">
        <f t="shared" si="3"/>
        <v>1500.2000000000003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1.3331555792560991E-4</v>
      </c>
      <c r="L91" s="664">
        <f t="shared" si="3"/>
        <v>1.3331555792560991E-4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0.99986668444207449</v>
      </c>
      <c r="L92" s="664">
        <f t="shared" si="3"/>
        <v>0.99986668444207449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1000</v>
      </c>
      <c r="L93" s="664">
        <f t="shared" si="3"/>
        <v>1000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1500.2000000000003</v>
      </c>
      <c r="L95" s="664">
        <f t="shared" si="3"/>
        <v>1500.2000000000003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1.3331555792560991E-4</v>
      </c>
      <c r="L96" s="664">
        <f t="shared" si="3"/>
        <v>1.3331555792560991E-4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0.99986668444207449</v>
      </c>
      <c r="L97" s="664">
        <f t="shared" si="3"/>
        <v>0.99986668444207449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1000</v>
      </c>
      <c r="L98" s="664">
        <f t="shared" si="3"/>
        <v>1000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1500.2000000000003</v>
      </c>
      <c r="L100" s="664">
        <f t="shared" si="3"/>
        <v>1500.2000000000003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1.3331555792560991E-4</v>
      </c>
      <c r="L101" s="664">
        <f t="shared" si="3"/>
        <v>1.3331555792560991E-4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0.99986668444207449</v>
      </c>
      <c r="L102" s="664">
        <f t="shared" si="3"/>
        <v>0.99986668444207449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1000</v>
      </c>
      <c r="L103" s="664">
        <f t="shared" si="3"/>
        <v>1000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1.7089765072772757E-8</v>
      </c>
      <c r="L108" s="664">
        <f>IF(ISBLANK(I108),IF(ISNUMBER(J108)=FALSE,K108,J108),I108)</f>
        <v>1.7089765072772757E-8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1.8798741580050034E-7</v>
      </c>
      <c r="L109" s="664">
        <f t="shared" ref="L109:L137" si="4">IF(ISBLANK(I109),IF(ISNUMBER(J109)=FALSE,K109,J109),I109)</f>
        <v>1.8798741580050034E-7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2.9907275797826093E-8</v>
      </c>
      <c r="L110" s="664">
        <f t="shared" si="4"/>
        <v>2.9907275797826093E-8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1.8456946277505723E-6</v>
      </c>
      <c r="L111" s="664">
        <f t="shared" si="4"/>
        <v>1.8456946277505723E-6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4.1015436172234928E-6</v>
      </c>
      <c r="L112" s="664">
        <f t="shared" si="4"/>
        <v>4.1015436172234928E-6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6.8359060287058217E-7</v>
      </c>
      <c r="L113" s="664">
        <f t="shared" si="4"/>
        <v>6.8359060287058217E-7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1.8071803644175064E-25</v>
      </c>
      <c r="L114" s="664">
        <f>IF(ISBLANK(I114),IF(ISNUMBER(J114)=FALSE,K114,J114),I114)</f>
        <v>1.8071803644175064E-25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5.6176697390230937E-24</v>
      </c>
      <c r="L115" s="664">
        <f t="shared" si="4"/>
        <v>5.6176697390230937E-24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1.7675106072712202E-24</v>
      </c>
      <c r="L116" s="664">
        <f t="shared" si="4"/>
        <v>1.7675106072712202E-24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6.7790674133494165E-26</v>
      </c>
      <c r="L117" s="664">
        <f t="shared" si="4"/>
        <v>6.7790674133494165E-26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3.0848433284968799E-26</v>
      </c>
      <c r="L118" s="664">
        <f t="shared" si="4"/>
        <v>3.0848433284968799E-26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6.7790674133494165E-26</v>
      </c>
      <c r="L119" s="664">
        <f t="shared" si="4"/>
        <v>6.7790674133494165E-26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6.865813304387058E-6</v>
      </c>
      <c r="L120" s="664">
        <f t="shared" si="4"/>
        <v>6.865813304387058E-6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1.6285956044164883E-5</v>
      </c>
      <c r="L121" s="664">
        <f t="shared" si="4"/>
        <v>1.6285956044164883E-5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1.0420142739668233E-5</v>
      </c>
      <c r="L122" s="664">
        <f t="shared" si="4"/>
        <v>1.0420142739668233E-5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10.615767025744704</v>
      </c>
      <c r="L123" s="664">
        <f t="shared" si="4"/>
        <v>10.615767025744704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9.9999999989040756E-4</v>
      </c>
      <c r="L126" s="664">
        <f t="shared" si="4"/>
        <v>9.9999999989040756E-4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3.152662851062818E-2</v>
      </c>
      <c r="L127" s="664">
        <f t="shared" si="4"/>
        <v>3.152662851062818E-2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10615.726078973454</v>
      </c>
      <c r="L128" s="664">
        <f t="shared" si="4"/>
        <v>10615.726078973454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5.1987151897085809E-13</v>
      </c>
      <c r="L131" s="664">
        <f t="shared" ref="L131:L134" si="5">IF(ISBLANK(I131),IF(ISNUMBER(J131)=FALSE,K131,J131),I131)</f>
        <v>5.1987151897085809E-13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1.1482581379516648E-13</v>
      </c>
      <c r="L132" s="664">
        <f t="shared" si="5"/>
        <v>1.1482581379516648E-13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1.8071803644175064E-23</v>
      </c>
      <c r="L133" s="664">
        <f t="shared" si="5"/>
        <v>1.8071803644175064E-23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1.6853009217069281E-23</v>
      </c>
      <c r="L134" s="664">
        <f t="shared" si="5"/>
        <v>1.6853009217069281E-23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1.7675106072712202E-23</v>
      </c>
      <c r="L135" s="664">
        <f t="shared" si="4"/>
        <v>1.7675106072712202E-23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4.7436730073880193E-3</v>
      </c>
      <c r="L136" s="664">
        <f t="shared" si="4"/>
        <v>4.7436730073880193E-3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5.4415788550341428E-6</v>
      </c>
      <c r="L137" s="664">
        <f t="shared" si="4"/>
        <v>5.4415788550341428E-6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3.3895337066747085E-27</v>
      </c>
      <c r="L138" s="664">
        <f t="shared" ref="L138:L145" si="6">IF(ISBLANK(I138),IF(ISNUMBER(J138)=FALSE,K138,J138),I138)</f>
        <v>3.3895337066747085E-27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6.1696866569937601E-27</v>
      </c>
      <c r="L139" s="664">
        <f t="shared" si="6"/>
        <v>6.1696866569937601E-27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3.3895337066747085E-27</v>
      </c>
      <c r="L140" s="664">
        <f t="shared" si="6"/>
        <v>3.3895337066747085E-27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4.0612619817811774E-22</v>
      </c>
      <c r="L142" s="664">
        <f t="shared" si="6"/>
        <v>4.0612619817811774E-22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6.8063368252946949E-7</v>
      </c>
      <c r="L147" s="664">
        <f t="shared" ref="L147:L167" si="7">IF(ISBLANK(I147),IF(ISNUMBER(J147)=FALSE,K147,J147),I147)</f>
        <v>6.8063368252946949E-7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7.3175171977811383E-8</v>
      </c>
      <c r="L148" s="664">
        <f t="shared" si="7"/>
        <v>7.3175171977811383E-8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2.6737627972563896E-8</v>
      </c>
      <c r="L149" s="664">
        <f t="shared" si="7"/>
        <v>2.6737627972563896E-8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9.4520363206949596E-9</v>
      </c>
      <c r="L150" s="664">
        <f t="shared" si="7"/>
        <v>9.4520363206949596E-9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94">
        <f>L157*(1-L72)</f>
        <v>2.0163150814011913E-6</v>
      </c>
      <c r="L151" s="664">
        <f t="shared" si="7"/>
        <v>2.0163150814011913E-6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7.8013895230847304E-10</v>
      </c>
      <c r="L152" s="664">
        <f t="shared" si="7"/>
        <v>7.8013895230847304E-10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94">
        <f>L157*(1-L78)</f>
        <v>7.0491765943274545E-7</v>
      </c>
      <c r="L153" s="664">
        <f t="shared" si="7"/>
        <v>7.0491765943274545E-7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2.61571202752405E-10</v>
      </c>
      <c r="L154" s="664">
        <f t="shared" si="7"/>
        <v>2.61571202752405E-10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8.6700000000000021E-10</v>
      </c>
      <c r="L155" s="664">
        <f t="shared" si="7"/>
        <v>8.6700000000000021E-10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2.8900000000000009E-10</v>
      </c>
      <c r="L156" s="664">
        <f t="shared" si="7"/>
        <v>2.8900000000000009E-10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92">
        <f>0.0000289</f>
        <v>2.8900000000000001E-5</v>
      </c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93">
        <f t="shared" si="7"/>
        <v>2.8900000000000001E-5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2.558596618721693E-8</v>
      </c>
      <c r="L162" s="664">
        <f t="shared" si="7"/>
        <v>2.558596618721693E-8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2.1989886868443808E-11</v>
      </c>
      <c r="L163" s="664">
        <f t="shared" si="7"/>
        <v>2.1989886868443808E-11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2.6834060345368406E-8</v>
      </c>
      <c r="L164" s="664">
        <f t="shared" si="7"/>
        <v>2.6834060345368406E-8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2.1989886868443808E-11</v>
      </c>
      <c r="L165" s="664">
        <f t="shared" si="7"/>
        <v>2.1989886868443808E-11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1.0833762208073512E-10</v>
      </c>
      <c r="L169" s="664">
        <f t="shared" ref="L169:L183" si="8">IF(ISBLANK(I169),IF(ISNUMBER(J169)=FALSE,K169,J169),I169)</f>
        <v>1.0833762208073512E-10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4.9299493621032966E-11</v>
      </c>
      <c r="L170" s="664">
        <f t="shared" si="8"/>
        <v>4.9299493621032966E-11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1.0833762208073512E-10</v>
      </c>
      <c r="L171" s="664">
        <f t="shared" si="8"/>
        <v>1.0833762208073512E-10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9.8488747346122823E-12</v>
      </c>
      <c r="L172" s="664">
        <f t="shared" si="8"/>
        <v>9.8488747346122823E-12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4.4817721473666332E-12</v>
      </c>
      <c r="L173" s="664">
        <f t="shared" si="8"/>
        <v>4.4817721473666332E-12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9.8488747346122823E-12</v>
      </c>
      <c r="L174" s="664">
        <f t="shared" si="8"/>
        <v>9.8488747346122823E-12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3.663258818281463E-10</v>
      </c>
      <c r="L187" s="664">
        <f t="shared" ref="L187:L211" si="9">IF(ISBLANK(I187),IF(ISNUMBER(J187)=FALSE,K187,J187),I187)</f>
        <v>3.663258818281463E-10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4.0511283273380411E-21</v>
      </c>
      <c r="L188" s="664">
        <f>IF(ISBLANK(I188),IF(ISNUMBER(J188)=FALSE,K188,J188),I188)</f>
        <v>4.0511283273380411E-21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3.777913061940808E-21</v>
      </c>
      <c r="L189" s="664">
        <f t="shared" si="9"/>
        <v>3.777913061940808E-21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3.9622012450842787E-21</v>
      </c>
      <c r="L190" s="664">
        <f t="shared" si="9"/>
        <v>3.9622012450842787E-21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2.8953682563883001E-9</v>
      </c>
      <c r="L191" s="664">
        <f t="shared" si="9"/>
        <v>2.8953682563883001E-9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9.1429324159056462E-10</v>
      </c>
      <c r="L192" s="664">
        <f t="shared" si="9"/>
        <v>9.1429324159056462E-10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6.3343050832543649E-13</v>
      </c>
      <c r="L193" s="664">
        <f t="shared" si="9"/>
        <v>6.3343050832543649E-13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2.88245236922916E-13</v>
      </c>
      <c r="L194" s="664">
        <f t="shared" si="9"/>
        <v>2.88245236922916E-13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6.3343050832543649E-13</v>
      </c>
      <c r="L195" s="664">
        <f t="shared" si="9"/>
        <v>6.3343050832543649E-13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9.8605221309046349E-31</v>
      </c>
      <c r="L197" s="664">
        <f t="shared" si="9"/>
        <v>9.8605221309046349E-31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4.0511283273380411E-21</v>
      </c>
      <c r="L200" s="664">
        <f>IF(ISBLANK(I200),IF(ISNUMBER(J200)=FALSE,K200,J200),I200)</f>
        <v>4.0511283273380411E-21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3.777913061940808E-21</v>
      </c>
      <c r="L201" s="664">
        <f t="shared" si="9"/>
        <v>3.777913061940808E-21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3.9622012450842787E-21</v>
      </c>
      <c r="L202" s="664">
        <f t="shared" si="9"/>
        <v>3.9622012450842787E-21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4.0612619817811774E-21</v>
      </c>
      <c r="L207" s="664">
        <f t="shared" si="9"/>
        <v>4.0612619817811774E-21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4.0612619817811774E-21</v>
      </c>
      <c r="L208" s="664">
        <f t="shared" si="9"/>
        <v>4.0612619817811774E-21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4.0612619817811774E-21</v>
      </c>
      <c r="L209" s="664">
        <f t="shared" si="9"/>
        <v>4.0612619817811774E-21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4.0612619817811774E-21</v>
      </c>
      <c r="L210" s="664">
        <f t="shared" si="9"/>
        <v>4.0612619817811774E-21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4.0612619817811774E-21</v>
      </c>
      <c r="L211" s="664">
        <f t="shared" si="9"/>
        <v>4.0612619817811774E-21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61 I63:I65 I67:I71 I73:I77 I32:I59 L124:L125 K1:L123 I79:I1048576 K196:L1048576 L187:L195 K126:L186 I1:I29">
    <cfRule type="cellIs" dxfId="143" priority="85" operator="equal">
      <formula>0</formula>
    </cfRule>
  </conditionalFormatting>
  <conditionalFormatting sqref="J1:J1048576">
    <cfRule type="expression" dxfId="142" priority="82">
      <formula>"HLOOKUP(CaseName,CaseData,ROW()+157,FALSE)&lt;&gt;"""""</formula>
    </cfRule>
  </conditionalFormatting>
  <conditionalFormatting sqref="I30:I31">
    <cfRule type="cellIs" dxfId="141" priority="81" operator="equal">
      <formula>0</formula>
    </cfRule>
  </conditionalFormatting>
  <conditionalFormatting sqref="I60">
    <cfRule type="cellIs" dxfId="140" priority="73" operator="equal">
      <formula>0</formula>
    </cfRule>
  </conditionalFormatting>
  <conditionalFormatting sqref="I62">
    <cfRule type="cellIs" dxfId="139" priority="72" operator="equal">
      <formula>0</formula>
    </cfRule>
  </conditionalFormatting>
  <conditionalFormatting sqref="I66">
    <cfRule type="cellIs" dxfId="138" priority="71" operator="equal">
      <formula>0</formula>
    </cfRule>
  </conditionalFormatting>
  <conditionalFormatting sqref="I72">
    <cfRule type="cellIs" dxfId="137" priority="70" operator="equal">
      <formula>0</formula>
    </cfRule>
  </conditionalFormatting>
  <conditionalFormatting sqref="I78">
    <cfRule type="cellIs" dxfId="136" priority="69" operator="equal">
      <formula>0</formula>
    </cfRule>
  </conditionalFormatting>
  <conditionalFormatting sqref="I121">
    <cfRule type="cellIs" dxfId="135" priority="68" operator="equal">
      <formula>0</formula>
    </cfRule>
  </conditionalFormatting>
  <conditionalFormatting sqref="I127:I128">
    <cfRule type="cellIs" dxfId="134" priority="67" operator="equal">
      <formula>0</formula>
    </cfRule>
  </conditionalFormatting>
  <conditionalFormatting sqref="K191:K195">
    <cfRule type="cellIs" dxfId="133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55" transitionEvaluation="1" transitionEntry="1" codeName="Sheet3"/>
  <dimension ref="A1:O225"/>
  <sheetViews>
    <sheetView topLeftCell="A55" zoomScaleNormal="100" workbookViewId="0">
      <selection activeCell="I84" sqref="I84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1.0959261276255461E-10</v>
      </c>
      <c r="L66" s="664">
        <f t="shared" ref="L66:L110" si="2">IF(ISBLANK(I66),IF(ISNUMBER(J66)=FALSE,K66,J66),I66)</f>
        <v>1.0959261276255461E-10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0.57390410415704873</v>
      </c>
      <c r="L67" s="664">
        <f t="shared" si="2"/>
        <v>0.57390410415704873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0.42609589573335865</v>
      </c>
      <c r="L68" s="664">
        <f t="shared" si="2"/>
        <v>0.42609589573335865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3.8191943560330707E-21</v>
      </c>
      <c r="L69" s="664">
        <f t="shared" ref="L69:L71" si="3">IF(ISBLANK(I69),IF(ISNUMBER(J69)=FALSE,K69,J69),I69)</f>
        <v>3.8191943560330707E-21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2.6183532619132853E+20</v>
      </c>
      <c r="L70" s="664">
        <f t="shared" si="3"/>
        <v>2.6183532619132853E+20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1.944E+20</v>
      </c>
      <c r="L71" s="664">
        <f t="shared" si="3"/>
        <v>1.944E+20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0.99750480158911303</v>
      </c>
      <c r="L72" s="664">
        <f t="shared" si="2"/>
        <v>0.99750480158911303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2"/>
        <v>5000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>IF(ISBLANK(I76),IF(ISNUMBER(J76)=FALSE,K76,J76),I76)</f>
        <v>1.44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0.93023131206224252</v>
      </c>
      <c r="L78" s="677">
        <f t="shared" si="2"/>
        <v>0.93023131206224252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5000</v>
      </c>
      <c r="L79" s="664">
        <f t="shared" si="2"/>
        <v>5000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2"/>
        <v>1.44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95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0.97560838548675621</v>
      </c>
      <c r="L84" s="664">
        <f t="shared" si="2"/>
        <v>0.97560838548675621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5000</v>
      </c>
      <c r="L85" s="664">
        <f t="shared" si="2"/>
        <v>5000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1.44</v>
      </c>
      <c r="L88" s="664">
        <f t="shared" si="2"/>
        <v>1.44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1250.7999999999997</v>
      </c>
      <c r="L90" s="664">
        <f t="shared" si="2"/>
        <v>1250.7999999999997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2500</v>
      </c>
      <c r="L91" s="664">
        <f t="shared" si="2"/>
        <v>2500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1250.7999999999997</v>
      </c>
      <c r="L93" s="664">
        <f t="shared" si="2"/>
        <v>1250.7999999999997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2500</v>
      </c>
      <c r="L94" s="664">
        <f t="shared" si="2"/>
        <v>2500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1500.2000000000003</v>
      </c>
      <c r="L96" s="664">
        <f t="shared" si="2"/>
        <v>1500.2000000000003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1.3331555792560991E-4</v>
      </c>
      <c r="L97" s="664">
        <f t="shared" si="2"/>
        <v>1.3331555792560991E-4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0.99986668444207449</v>
      </c>
      <c r="L98" s="664">
        <f t="shared" si="2"/>
        <v>0.99986668444207449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1000</v>
      </c>
      <c r="L99" s="664">
        <f t="shared" si="2"/>
        <v>1000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1500.2000000000003</v>
      </c>
      <c r="L101" s="664">
        <f t="shared" si="2"/>
        <v>1500.2000000000003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1.3331555792560991E-4</v>
      </c>
      <c r="L102" s="664">
        <f t="shared" si="2"/>
        <v>1.3331555792560991E-4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0.99986668444207449</v>
      </c>
      <c r="L103" s="664">
        <f t="shared" si="2"/>
        <v>0.99986668444207449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1000</v>
      </c>
      <c r="L104" s="664">
        <f t="shared" si="2"/>
        <v>1000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1500.2000000000003</v>
      </c>
      <c r="L106" s="664">
        <f t="shared" si="2"/>
        <v>1500.2000000000003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1.3331555792560991E-4</v>
      </c>
      <c r="L107" s="664">
        <f t="shared" si="2"/>
        <v>1.3331555792560991E-4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0.99986668444207449</v>
      </c>
      <c r="L108" s="664">
        <f t="shared" si="2"/>
        <v>0.99986668444207449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1000</v>
      </c>
      <c r="L109" s="664">
        <f t="shared" si="2"/>
        <v>1000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9.4383128407235164E-9</v>
      </c>
      <c r="L114" s="664">
        <f>IF(ISBLANK(I114),IF(ISNUMBER(J114)=FALSE,K114,J114),I114)</f>
        <v>9.4383128407235164E-9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1.0382144124795866E-7</v>
      </c>
      <c r="L115" s="664">
        <f t="shared" ref="L115:L136" si="4">IF(ISBLANK(I115),IF(ISNUMBER(J115)=FALSE,K115,J115),I115)</f>
        <v>1.0382144124795866E-7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4.0217939189258379E-6</v>
      </c>
      <c r="L116" s="664">
        <f t="shared" si="4"/>
        <v>4.0217939189258379E-6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1.0193377867451872E-6</v>
      </c>
      <c r="L117" s="664">
        <f t="shared" si="4"/>
        <v>1.0193377867451872E-6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2.2651950816559713E-6</v>
      </c>
      <c r="L118" s="664">
        <f t="shared" si="4"/>
        <v>2.2651950816559713E-6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3.7753251360932848E-7</v>
      </c>
      <c r="L119" s="664">
        <f t="shared" si="4"/>
        <v>3.7753251360932848E-7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1.8071803644175064E-25</v>
      </c>
      <c r="L120" s="664">
        <f>IF(ISBLANK(I120),IF(ISNUMBER(J120)=FALSE,K120,J120),I120)</f>
        <v>1.8071803644175064E-25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5.6176697390230937E-24</v>
      </c>
      <c r="L121" s="664">
        <f t="shared" si="4"/>
        <v>5.6176697390230937E-24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8.8375530363561007E-26</v>
      </c>
      <c r="L122" s="664">
        <f t="shared" si="4"/>
        <v>8.8375530363561007E-26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6.7790674133494165E-26</v>
      </c>
      <c r="L123" s="664">
        <f t="shared" si="4"/>
        <v>6.7790674133494165E-26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3.0848433284968799E-26</v>
      </c>
      <c r="L124" s="664">
        <f t="shared" si="4"/>
        <v>3.0848433284968799E-26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6.7790674133494165E-26</v>
      </c>
      <c r="L125" s="664">
        <f t="shared" si="4"/>
        <v>6.7790674133494165E-26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7.7971190546953727E-6</v>
      </c>
      <c r="L126" s="664">
        <f t="shared" si="4"/>
        <v>7.7971190546953727E-6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9.4792950186516016E-6</v>
      </c>
      <c r="L127" s="664">
        <f t="shared" si="4"/>
        <v>9.4792950186516016E-6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2.682175963846637E-6</v>
      </c>
      <c r="L128" s="664">
        <f t="shared" si="4"/>
        <v>2.682175963846637E-6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10.615759287777928</v>
      </c>
      <c r="L129" s="664">
        <f t="shared" si="4"/>
        <v>10.615759287777928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9.9999999989040756E-4</v>
      </c>
      <c r="L132" s="664">
        <f t="shared" si="4"/>
        <v>9.9999999989040756E-4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3.152662851062818E-2</v>
      </c>
      <c r="L133" s="664">
        <f t="shared" si="4"/>
        <v>3.152662851062818E-2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10615.726078973454</v>
      </c>
      <c r="L134" s="664">
        <f t="shared" si="4"/>
        <v>10615.726078973454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5.1987151897085809E-13</v>
      </c>
      <c r="L137" s="664">
        <f t="shared" ref="L137:L151" si="5">IF(ISBLANK(I137),IF(ISNUMBER(J137)=FALSE,K137,J137),I137)</f>
        <v>5.1987151897085809E-13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1.1482581379516648E-13</v>
      </c>
      <c r="L138" s="664">
        <f t="shared" si="5"/>
        <v>1.1482581379516648E-13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1.8071803644175064E-23</v>
      </c>
      <c r="L139" s="664">
        <f t="shared" si="5"/>
        <v>1.8071803644175064E-23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1.6853009217069281E-23</v>
      </c>
      <c r="L140" s="664">
        <f t="shared" si="5"/>
        <v>1.6853009217069281E-23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1.7675106072712202E-23</v>
      </c>
      <c r="L141" s="664">
        <f t="shared" si="5"/>
        <v>1.7675106072712202E-23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4.7436730073880193E-3</v>
      </c>
      <c r="L142" s="664">
        <f t="shared" si="5"/>
        <v>4.7436730073880193E-3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5.4415788550341428E-6</v>
      </c>
      <c r="L143" s="664">
        <f t="shared" si="5"/>
        <v>5.4415788550341428E-6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3.3895337066747085E-27</v>
      </c>
      <c r="L144" s="664">
        <f t="shared" si="5"/>
        <v>3.3895337066747085E-27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6.1696866569937601E-27</v>
      </c>
      <c r="L145" s="664">
        <f t="shared" si="5"/>
        <v>6.1696866569937601E-27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3.3895337066747085E-27</v>
      </c>
      <c r="L146" s="664">
        <f t="shared" si="5"/>
        <v>3.3895337066747085E-27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4.0612619817811774E-22</v>
      </c>
      <c r="L148" s="664">
        <f t="shared" si="5"/>
        <v>4.0612619817811774E-22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6.8063368252946949E-7</v>
      </c>
      <c r="L153" s="664">
        <f t="shared" ref="L153:L173" si="6">IF(ISBLANK(I153),IF(ISNUMBER(J153)=FALSE,K153,J153),I153)</f>
        <v>6.8063368252946949E-7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3.6587585988905691E-9</v>
      </c>
      <c r="L154" s="664">
        <f t="shared" si="6"/>
        <v>3.6587585988905691E-9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2.6758767833794573E-8</v>
      </c>
      <c r="L155" s="664">
        <f t="shared" si="6"/>
        <v>2.6758767833794573E-8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1.0366329562281463E-8</v>
      </c>
      <c r="L156" s="664">
        <f t="shared" si="6"/>
        <v>1.0366329562281463E-8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2.0163150814011913E-6</v>
      </c>
      <c r="L157" s="664">
        <f t="shared" si="6"/>
        <v>2.0163150814011913E-6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7.807731481453934E-10</v>
      </c>
      <c r="L158" s="664">
        <f t="shared" si="6"/>
        <v>7.807731481453934E-10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7.0491765943274545E-7</v>
      </c>
      <c r="L159" s="664">
        <f t="shared" si="6"/>
        <v>7.0491765943274545E-7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2.8900000000000009E-10</v>
      </c>
      <c r="L160" s="664">
        <f t="shared" si="6"/>
        <v>2.8900000000000009E-10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8.6700000000000021E-10</v>
      </c>
      <c r="L161" s="664">
        <f t="shared" si="6"/>
        <v>8.6700000000000021E-10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2.8900000000000009E-10</v>
      </c>
      <c r="L162" s="664">
        <f t="shared" si="6"/>
        <v>2.8900000000000009E-10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92">
        <f>0.0000289</f>
        <v>2.8900000000000001E-5</v>
      </c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2.8900000000000001E-5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2.5585966187216927E-8</v>
      </c>
      <c r="L168" s="664">
        <f t="shared" si="6"/>
        <v>2.5585966187216927E-8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2.1989886868443805E-11</v>
      </c>
      <c r="L169" s="664">
        <f t="shared" si="6"/>
        <v>2.1989886868443805E-11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2.6834060345368403E-8</v>
      </c>
      <c r="L170" s="664">
        <f t="shared" si="6"/>
        <v>2.6834060345368403E-8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2.1989886868443805E-11</v>
      </c>
      <c r="L171" s="664">
        <f t="shared" si="6"/>
        <v>2.1989886868443805E-11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1.0833762208073512E-10</v>
      </c>
      <c r="L175" s="664">
        <f t="shared" ref="L175:L177" si="7">IF(ISBLANK(I175),IF(ISNUMBER(J175)=FALSE,K175,J175),I175)</f>
        <v>1.0833762208073512E-10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4.9299493621032966E-11</v>
      </c>
      <c r="L176" s="664">
        <f t="shared" si="7"/>
        <v>4.9299493621032966E-11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1.0833762208073512E-10</v>
      </c>
      <c r="L177" s="664">
        <f t="shared" si="7"/>
        <v>1.0833762208073512E-10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9.8488747346122855E-12</v>
      </c>
      <c r="L178" s="664">
        <f t="shared" ref="L178:L180" si="8">IF(ISBLANK(I178),IF(ISNUMBER(J178)=FALSE,K178,J178),I178)</f>
        <v>9.8488747346122855E-12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4.481772147366634E-12</v>
      </c>
      <c r="L179" s="664">
        <f t="shared" si="8"/>
        <v>4.481772147366634E-12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9.8488747346122855E-12</v>
      </c>
      <c r="L180" s="664">
        <f t="shared" si="8"/>
        <v>9.8488747346122855E-12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3.663258818281463E-10</v>
      </c>
      <c r="L193" s="664">
        <f t="shared" ref="L193:L217" si="11">IF(ISBLANK(I193),IF(ISNUMBER(J193)=FALSE,K193,J193),I193)</f>
        <v>3.663258818281463E-10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4.0511283273380411E-21</v>
      </c>
      <c r="L194" s="664">
        <f>IF(ISBLANK(I194),IF(ISNUMBER(J194)=FALSE,K194,J194),I194)</f>
        <v>4.0511283273380411E-21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3.777913061940808E-21</v>
      </c>
      <c r="L195" s="664">
        <f t="shared" si="11"/>
        <v>3.777913061940808E-21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3.9622012450842787E-21</v>
      </c>
      <c r="L196" s="664">
        <f t="shared" si="11"/>
        <v>3.9622012450842787E-21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2.8742283951576208E-9</v>
      </c>
      <c r="L197" s="664">
        <f t="shared" si="11"/>
        <v>2.8742283951576208E-9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4.0612619817811774E-21</v>
      </c>
      <c r="L198" s="664">
        <f t="shared" si="11"/>
        <v>4.0612619817811774E-21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6.3343050832543649E-13</v>
      </c>
      <c r="L199" s="664">
        <f t="shared" si="11"/>
        <v>6.3343050832543649E-13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2.88245236922916E-13</v>
      </c>
      <c r="L200" s="664">
        <f t="shared" si="11"/>
        <v>2.88245236922916E-13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6.3343050832543649E-13</v>
      </c>
      <c r="L201" s="664">
        <f t="shared" si="11"/>
        <v>6.3343050832543649E-13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9.8605221309046349E-31</v>
      </c>
      <c r="L203" s="664">
        <f t="shared" si="11"/>
        <v>9.8605221309046349E-31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4.0511283273380411E-21</v>
      </c>
      <c r="L206" s="664">
        <f>IF(ISBLANK(I206),IF(ISNUMBER(J206)=FALSE,K206,J206),I206)</f>
        <v>4.0511283273380411E-21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3.777913061940808E-21</v>
      </c>
      <c r="L207" s="664">
        <f t="shared" si="11"/>
        <v>3.777913061940808E-21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3.9622012450842787E-21</v>
      </c>
      <c r="L208" s="664">
        <f t="shared" si="11"/>
        <v>3.9622012450842787E-21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4.0612619817811774E-21</v>
      </c>
      <c r="L213" s="664">
        <f t="shared" si="11"/>
        <v>4.0612619817811774E-21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4.0612619817811774E-21</v>
      </c>
      <c r="L214" s="664">
        <f t="shared" si="11"/>
        <v>4.0612619817811774E-21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4.0612619817811774E-21</v>
      </c>
      <c r="L215" s="664">
        <f t="shared" si="11"/>
        <v>4.0612619817811774E-21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4.0612619817811774E-21</v>
      </c>
      <c r="L216" s="664">
        <f t="shared" si="11"/>
        <v>4.0612619817811774E-21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4.0612619817811774E-21</v>
      </c>
      <c r="L217" s="664">
        <f t="shared" si="11"/>
        <v>4.0612619817811774E-21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32" priority="74" operator="equal">
      <formula>0</formula>
    </cfRule>
  </conditionalFormatting>
  <conditionalFormatting sqref="I68">
    <cfRule type="cellIs" dxfId="131" priority="65" operator="equal">
      <formula>0</formula>
    </cfRule>
  </conditionalFormatting>
  <conditionalFormatting sqref="I72">
    <cfRule type="cellIs" dxfId="130" priority="64" operator="equal">
      <formula>0</formula>
    </cfRule>
  </conditionalFormatting>
  <conditionalFormatting sqref="I188">
    <cfRule type="cellIs" dxfId="129" priority="72" operator="equal">
      <formula>0</formula>
    </cfRule>
  </conditionalFormatting>
  <conditionalFormatting sqref="I189">
    <cfRule type="cellIs" dxfId="128" priority="71" operator="equal">
      <formula>0</formula>
    </cfRule>
  </conditionalFormatting>
  <conditionalFormatting sqref="I221">
    <cfRule type="cellIs" dxfId="127" priority="70" operator="equal">
      <formula>0</formula>
    </cfRule>
  </conditionalFormatting>
  <conditionalFormatting sqref="I222">
    <cfRule type="cellIs" dxfId="126" priority="69" operator="equal">
      <formula>0</formula>
    </cfRule>
  </conditionalFormatting>
  <conditionalFormatting sqref="I223">
    <cfRule type="cellIs" dxfId="125" priority="68" operator="equal">
      <formula>0</formula>
    </cfRule>
  </conditionalFormatting>
  <conditionalFormatting sqref="I30:I31">
    <cfRule type="cellIs" dxfId="124" priority="67" operator="equal">
      <formula>0</formula>
    </cfRule>
  </conditionalFormatting>
  <conditionalFormatting sqref="I66">
    <cfRule type="cellIs" dxfId="123" priority="66" operator="equal">
      <formula>0</formula>
    </cfRule>
  </conditionalFormatting>
  <conditionalFormatting sqref="I78">
    <cfRule type="cellIs" dxfId="122" priority="63" operator="equal">
      <formula>0</formula>
    </cfRule>
  </conditionalFormatting>
  <conditionalFormatting sqref="K44:K45">
    <cfRule type="cellIs" dxfId="121" priority="52" operator="equal">
      <formula>0</formula>
    </cfRule>
  </conditionalFormatting>
  <conditionalFormatting sqref="I137">
    <cfRule type="cellIs" dxfId="120" priority="46" operator="equal">
      <formula>0</formula>
    </cfRule>
  </conditionalFormatting>
  <conditionalFormatting sqref="I149">
    <cfRule type="cellIs" dxfId="119" priority="45" operator="equal">
      <formula>0</formula>
    </cfRule>
  </conditionalFormatting>
  <conditionalFormatting sqref="I150">
    <cfRule type="cellIs" dxfId="118" priority="44" operator="equal">
      <formula>0</formula>
    </cfRule>
  </conditionalFormatting>
  <conditionalFormatting sqref="I114:I120">
    <cfRule type="cellIs" dxfId="117" priority="43" operator="equal">
      <formula>0</formula>
    </cfRule>
  </conditionalFormatting>
  <conditionalFormatting sqref="K114:K119">
    <cfRule type="cellIs" dxfId="116" priority="42" operator="equal">
      <formula>0</formula>
    </cfRule>
  </conditionalFormatting>
  <conditionalFormatting sqref="K137">
    <cfRule type="cellIs" dxfId="115" priority="41" operator="equal">
      <formula>0</formula>
    </cfRule>
  </conditionalFormatting>
  <conditionalFormatting sqref="I197:I201">
    <cfRule type="cellIs" dxfId="114" priority="37" operator="equal">
      <formula>0</formula>
    </cfRule>
  </conditionalFormatting>
  <conditionalFormatting sqref="J1:J2 J152 J224:J1048576 J4 J43 J47 J174">
    <cfRule type="cellIs" dxfId="113" priority="33" operator="notEqual">
      <formula>""""""</formula>
    </cfRule>
  </conditionalFormatting>
  <conditionalFormatting sqref="J63 J65">
    <cfRule type="cellIs" dxfId="112" priority="32" operator="notEqual">
      <formula>""""""</formula>
    </cfRule>
  </conditionalFormatting>
  <conditionalFormatting sqref="J111 J113">
    <cfRule type="cellIs" dxfId="111" priority="31" operator="notEqual">
      <formula>""""""</formula>
    </cfRule>
  </conditionalFormatting>
  <conditionalFormatting sqref="J190 J192">
    <cfRule type="cellIs" dxfId="110" priority="30" operator="notEqual">
      <formula>""""""</formula>
    </cfRule>
  </conditionalFormatting>
  <conditionalFormatting sqref="K197:K201">
    <cfRule type="cellIs" dxfId="109" priority="13" operator="equal">
      <formula>0</formula>
    </cfRule>
  </conditionalFormatting>
  <conditionalFormatting sqref="K157">
    <cfRule type="cellIs" dxfId="108" priority="12" operator="equal">
      <formula>0</formula>
    </cfRule>
  </conditionalFormatting>
  <conditionalFormatting sqref="K159">
    <cfRule type="cellIs" dxfId="107" priority="11" operator="equal">
      <formula>0</formula>
    </cfRule>
  </conditionalFormatting>
  <conditionalFormatting sqref="J5:J42">
    <cfRule type="expression" dxfId="106" priority="10">
      <formula>"HLOOKUP(CaseName,CaseData,ROW()+157,FALSE)&lt;&gt;"""""</formula>
    </cfRule>
  </conditionalFormatting>
  <conditionalFormatting sqref="J44:J46">
    <cfRule type="expression" dxfId="105" priority="9">
      <formula>"HLOOKUP(CaseName,CaseData,ROW()+157,FALSE)&lt;&gt;"""""</formula>
    </cfRule>
  </conditionalFormatting>
  <conditionalFormatting sqref="J48:J62">
    <cfRule type="expression" dxfId="104" priority="8">
      <formula>"HLOOKUP(CaseName,CaseData,ROW()+157,FALSE)&lt;&gt;"""""</formula>
    </cfRule>
  </conditionalFormatting>
  <conditionalFormatting sqref="J66:J110">
    <cfRule type="expression" dxfId="103" priority="7">
      <formula>"HLOOKUP(CaseName,CaseData,ROW()+157,FALSE)&lt;&gt;"""""</formula>
    </cfRule>
  </conditionalFormatting>
  <conditionalFormatting sqref="J114:J151">
    <cfRule type="expression" dxfId="102" priority="6">
      <formula>"HLOOKUP(CaseName,CaseData,ROW()+157,FALSE)&lt;&gt;"""""</formula>
    </cfRule>
  </conditionalFormatting>
  <conditionalFormatting sqref="J153:J173">
    <cfRule type="expression" dxfId="101" priority="5">
      <formula>"HLOOKUP(CaseName,CaseData,ROW()+157,FALSE)&lt;&gt;"""""</formula>
    </cfRule>
  </conditionalFormatting>
  <conditionalFormatting sqref="J175:J189">
    <cfRule type="expression" dxfId="100" priority="4">
      <formula>"HLOOKUP(CaseName,CaseData,ROW()+157,FALSE)&lt;&gt;"""""</formula>
    </cfRule>
  </conditionalFormatting>
  <conditionalFormatting sqref="J193:J223">
    <cfRule type="expression" dxfId="99" priority="3">
      <formula>"HLOOKUP(CaseName,CaseData,ROW()+157,FALSE)&lt;&gt;"""""</formula>
    </cfRule>
  </conditionalFormatting>
  <conditionalFormatting sqref="I21:I29">
    <cfRule type="cellIs" dxfId="98" priority="2" operator="equal">
      <formula>0</formula>
    </cfRule>
  </conditionalFormatting>
  <conditionalFormatting sqref="I163">
    <cfRule type="cellIs" dxfId="9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3" transitionEvaluation="1" transitionEntry="1" codeName="Sheet4"/>
  <dimension ref="A1:O414"/>
  <sheetViews>
    <sheetView topLeftCell="A83" zoomScaleNormal="100" workbookViewId="0">
      <selection activeCell="I108" sqref="I10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1.0959261276255461E-10</v>
      </c>
      <c r="L46" s="664">
        <f>IF(ISBLANK(I46),IF(ISNUMBER(J46)=FALSE,K46,J46),I46)</f>
        <v>1.0959261276255461E-10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0.57390410415704873</v>
      </c>
      <c r="L47" s="664">
        <f>IF(ISBLANK(I47),IF(ISNUMBER(J47)=FALSE,K47,J47),I47)</f>
        <v>0.57390410415704873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0.42609589573335865</v>
      </c>
      <c r="L48" s="664">
        <f>IF(ISBLANK(I48),IF(ISNUMBER(J48)=FALSE,K48,J48),I48)</f>
        <v>0.42609589573335865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3.8191943560330707E-21</v>
      </c>
      <c r="L49" s="664">
        <f>IF(ISBLANK(I49),IF(ISNUMBER(J49)=FALSE,K49,J49),I49)</f>
        <v>3.8191943560330707E-21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2.6183532619132853E+20</v>
      </c>
      <c r="L51" s="664">
        <f t="shared" ref="L51:L58" si="2">IF(ISBLANK(I51),IF(ISNUMBER(J51)=FALSE,K51,J51),I51)</f>
        <v>2.6183532619132853E+20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1.944E+20</v>
      </c>
      <c r="L52" s="664">
        <f t="shared" si="2"/>
        <v>1.944E+20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0.97560838548675621</v>
      </c>
      <c r="L53" s="664">
        <f t="shared" si="2"/>
        <v>0.97560838548675621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0.97560838548675621</v>
      </c>
      <c r="L54" s="664">
        <f t="shared" si="2"/>
        <v>0.97560838548675621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5000</v>
      </c>
      <c r="L55" s="664">
        <f t="shared" si="2"/>
        <v>5000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5000</v>
      </c>
      <c r="L56" s="664">
        <f t="shared" si="2"/>
        <v>5000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1.44</v>
      </c>
      <c r="L61" s="664">
        <f>IF(ISBLANK(I61),IF(ISNUMBER(J61)=FALSE,K61,J61),I61)</f>
        <v>1.44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1.44</v>
      </c>
      <c r="L62" s="664">
        <f>IF(ISBLANK(I62),IF(ISNUMBER(J62)=FALSE,K62,J62),I62)</f>
        <v>1.44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1250.7999999999997</v>
      </c>
      <c r="L65" s="664">
        <f t="shared" ref="L65:L72" si="3">IF(ISBLANK(I65),IF(ISNUMBER(J65)=FALSE,K65,J65),I65)</f>
        <v>1250.7999999999997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2500</v>
      </c>
      <c r="L66" s="664">
        <f t="shared" si="3"/>
        <v>2500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1500.2000000000003</v>
      </c>
      <c r="L68" s="664">
        <f t="shared" si="3"/>
        <v>1500.2000000000003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1.3331555792560991E-4</v>
      </c>
      <c r="L69" s="664">
        <f t="shared" si="3"/>
        <v>1.3331555792560991E-4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0.99986668444207449</v>
      </c>
      <c r="L70" s="664">
        <f t="shared" si="3"/>
        <v>0.99986668444207449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1000</v>
      </c>
      <c r="L71" s="664">
        <f t="shared" si="3"/>
        <v>1000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3.9542333973253616E-6</v>
      </c>
      <c r="L76" s="664">
        <f t="shared" ref="L76:L89" si="4">IF(ISBLANK(I76),IF(ISNUMBER(J76)=FALSE,K76,J76),I76)</f>
        <v>3.9542333973253616E-6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3.9542333971228385E-6</v>
      </c>
      <c r="L77" s="664">
        <f t="shared" si="4"/>
        <v>3.9542333971228385E-6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1.7675106072712201E-25</v>
      </c>
      <c r="L78" s="664">
        <f t="shared" si="4"/>
        <v>1.7675106072712201E-25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6.7790674133494165E-26</v>
      </c>
      <c r="L79" s="664">
        <f t="shared" si="4"/>
        <v>6.7790674133494165E-26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7.9084667941308516E-6</v>
      </c>
      <c r="L80" s="664">
        <f t="shared" si="4"/>
        <v>7.9084667941308516E-6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9.0730375872401248E-6</v>
      </c>
      <c r="L81" s="664">
        <f t="shared" si="4"/>
        <v>9.0730375872401248E-6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2.1645707929996818E-6</v>
      </c>
      <c r="L82" s="664">
        <f t="shared" si="4"/>
        <v>2.1645707929996818E-6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10.615758770172757</v>
      </c>
      <c r="L83" s="664">
        <f t="shared" si="4"/>
        <v>10.615758770172757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9.9999999989040756E-4</v>
      </c>
      <c r="L86" s="664">
        <f t="shared" si="4"/>
        <v>9.9999999989040756E-4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3.152662851062818E-2</v>
      </c>
      <c r="L87" s="664">
        <f t="shared" si="4"/>
        <v>3.152662851062818E-2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10615.726078973454</v>
      </c>
      <c r="L88" s="664">
        <f t="shared" si="4"/>
        <v>10615.726078973454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5.1987151897085809E-13</v>
      </c>
      <c r="L92" s="664">
        <f t="shared" si="5"/>
        <v>5.1987151897085809E-13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1.1482581379516648E-13</v>
      </c>
      <c r="L93" s="664">
        <f>IF(ISBLANK(I93),IF(ISNUMBER(J93)=FALSE,K93,J93),I93)</f>
        <v>1.1482581379516648E-13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1.7675106072712202E-23</v>
      </c>
      <c r="L94" s="664">
        <f>IF(ISBLANK(I94),IF(ISNUMBER(J94)=FALSE,K94,J94),I94)</f>
        <v>1.7675106072712202E-23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3.3895337066747085E-27</v>
      </c>
      <c r="L95" s="664">
        <f>IF(ISBLANK(I95),IF(ISNUMBER(J95)=FALSE,K95,J95),I95)</f>
        <v>3.3895337066747085E-27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4.7436730073880193E-3</v>
      </c>
      <c r="L96" s="664">
        <f t="shared" si="5"/>
        <v>4.7436730073880193E-3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5.4415788550341428E-6</v>
      </c>
      <c r="L97" s="664">
        <f t="shared" si="5"/>
        <v>5.4415788550341428E-6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4.0612619817811774E-22</v>
      </c>
      <c r="L100" s="664">
        <f>IF(ISBLANK(I100),IF(ISNUMBER(J100)=FALSE,K100,J100),I100)</f>
        <v>4.0612619817811774E-22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2.4391723992603794E-10</v>
      </c>
      <c r="L103" s="664">
        <f t="shared" ref="L103:L109" si="6">IF(ISBLANK(I103),IF(ISNUMBER(J103)=FALSE,K103,J103),I103)</f>
        <v>2.4391723992603794E-10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1.0363345627966805E-8</v>
      </c>
      <c r="L104" s="664">
        <f t="shared" si="6"/>
        <v>1.0363345627966805E-8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7.0491765943274545E-7</v>
      </c>
      <c r="L105" s="664">
        <f t="shared" si="6"/>
        <v>7.0491765943274545E-7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2.8891048197056038E-10</v>
      </c>
      <c r="L106" s="664">
        <f t="shared" si="6"/>
        <v>2.8891048197056038E-10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2.8900000000000009E-10</v>
      </c>
      <c r="L107" s="664">
        <f t="shared" si="6"/>
        <v>2.8900000000000009E-10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92">
        <f>0.0000289</f>
        <v>2.8900000000000001E-5</v>
      </c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2.8900000000000001E-5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2.6834060345368403E-8</v>
      </c>
      <c r="L111" s="664">
        <f>IF(ISBLANK(I111),IF(ISNUMBER(J111)=FALSE,K111,J111),I111)</f>
        <v>2.6834060345368403E-8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2.1989886868443805E-11</v>
      </c>
      <c r="L112" s="664">
        <f>IF(ISBLANK(I112),IF(ISNUMBER(J112)=FALSE,K112,J112),I112)</f>
        <v>2.1989886868443805E-11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1.1818649681534741E-10</v>
      </c>
      <c r="L116" s="664">
        <f>IF(ISBLANK(I116),IF(ISNUMBER(J116)=FALSE,K116,J116),I116)</f>
        <v>1.1818649681534741E-10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3.663258818281463E-10</v>
      </c>
      <c r="L123" s="664">
        <f t="shared" ref="L123:L138" si="7">IF(ISBLANK(I123),IF(ISNUMBER(J123)=FALSE,K123,J123),I123)</f>
        <v>3.663258818281463E-10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3.9622012450842787E-21</v>
      </c>
      <c r="L124" s="664">
        <f t="shared" si="7"/>
        <v>3.9622012450842787E-21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3.9622012450842787E-21</v>
      </c>
      <c r="L125" s="664">
        <f t="shared" si="7"/>
        <v>3.9622012450842787E-21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2.9839343187174201E-12</v>
      </c>
      <c r="L126" s="664">
        <f t="shared" si="7"/>
        <v>2.9839343187174201E-12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6.3343050832543649E-13</v>
      </c>
      <c r="L127" s="664">
        <f t="shared" si="7"/>
        <v>6.3343050832543649E-13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9.8605221309046349E-31</v>
      </c>
      <c r="L129" s="664">
        <f t="shared" si="7"/>
        <v>9.8605221309046349E-31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3.9622012450842787E-21</v>
      </c>
      <c r="L132" s="664">
        <f t="shared" si="7"/>
        <v>3.9622012450842787E-21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3.9622012450842787E-21</v>
      </c>
      <c r="L133" s="664">
        <f t="shared" si="7"/>
        <v>3.9622012450842787E-21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4.0612619817811774E-21</v>
      </c>
      <c r="L137" s="664">
        <f t="shared" si="7"/>
        <v>4.0612619817811774E-21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4.0612619817811774E-21</v>
      </c>
      <c r="L138" s="664">
        <f t="shared" si="7"/>
        <v>4.0612619817811774E-21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2.6865745739179658E-11</v>
      </c>
      <c r="L182" s="664">
        <f>IF(ISBLANK(I182),IF(ISNUMBER(J182)=FALSE,K182,J182),I182)</f>
        <v>2.6865745739179658E-11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0.89554653811528195</v>
      </c>
      <c r="L183" s="664">
        <f>IF(ISBLANK(I183),IF(ISNUMBER(J183)=FALSE,K183,J183),I183)</f>
        <v>0.89554653811528195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0.1044534618578523</v>
      </c>
      <c r="L184" s="664">
        <f>IF(ISBLANK(I184),IF(ISNUMBER(J184)=FALSE,K184,J184),I184)</f>
        <v>0.1044534618578523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5.9998227197068703E-22</v>
      </c>
      <c r="L185" s="664">
        <f>IF(ISBLANK(I185),IF(ISNUMBER(J185)=FALSE,K185,J185),I185)</f>
        <v>5.9998227197068703E-22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1.6667159126475929E+21</v>
      </c>
      <c r="L187" s="664">
        <f t="shared" ref="L187:L194" si="10">IF(ISBLANK(I187),IF(ISNUMBER(J187)=FALSE,K187,J187),I187)</f>
        <v>1.6667159126475929E+21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1.944E+20</v>
      </c>
      <c r="L188" s="664">
        <f t="shared" si="10"/>
        <v>1.944E+20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0.97560838548675621</v>
      </c>
      <c r="L189" s="664">
        <f t="shared" si="10"/>
        <v>0.97560838548675621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0.97560838548675621</v>
      </c>
      <c r="L190" s="664">
        <f t="shared" si="10"/>
        <v>0.97560838548675621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5000</v>
      </c>
      <c r="L191" s="664">
        <f t="shared" si="10"/>
        <v>5000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5000</v>
      </c>
      <c r="L192" s="664">
        <f t="shared" si="10"/>
        <v>5000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1.44</v>
      </c>
      <c r="L197" s="664">
        <f>IF(ISBLANK(I197),IF(ISNUMBER(J197)=FALSE,K197,J197),I197)</f>
        <v>1.44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1.44</v>
      </c>
      <c r="L198" s="664">
        <f>IF(ISBLANK(I198),IF(ISNUMBER(J198)=FALSE,K198,J198),I198)</f>
        <v>1.44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1250.7999999999997</v>
      </c>
      <c r="L201" s="664">
        <f t="shared" ref="L201:L208" si="11">IF(ISBLANK(I201),IF(ISNUMBER(J201)=FALSE,K201,J201),I201)</f>
        <v>1250.7999999999997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2500</v>
      </c>
      <c r="L202" s="664">
        <f t="shared" si="11"/>
        <v>2500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1500.2000000000003</v>
      </c>
      <c r="L204" s="664">
        <f t="shared" si="11"/>
        <v>1500.2000000000003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1.3331555792560991E-4</v>
      </c>
      <c r="L205" s="664">
        <f t="shared" si="11"/>
        <v>1.3331555792560991E-4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0.99986668444207449</v>
      </c>
      <c r="L206" s="664">
        <f t="shared" si="11"/>
        <v>0.99986668444207449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1000</v>
      </c>
      <c r="L207" s="664">
        <f t="shared" si="11"/>
        <v>1000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4.8101189247517175E-6</v>
      </c>
      <c r="L212" s="664">
        <f t="shared" ref="L212:L225" si="12">IF(ISBLANK(I212),IF(ISNUMBER(J212)=FALSE,K212,J212),I212)</f>
        <v>4.8101189247517175E-6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3.2067459497947611E-6</v>
      </c>
      <c r="L213" s="664">
        <f t="shared" si="12"/>
        <v>3.2067459497947611E-6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2.7766982536714156E-26</v>
      </c>
      <c r="L214" s="664">
        <f t="shared" si="12"/>
        <v>2.7766982536714156E-26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1.0649700749174345E-26</v>
      </c>
      <c r="L215" s="664">
        <f t="shared" si="12"/>
        <v>1.0649700749174345E-26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8.0168648744587536E-6</v>
      </c>
      <c r="L216" s="664">
        <f t="shared" si="12"/>
        <v>8.0168648744587536E-6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8.7092067267920898E-6</v>
      </c>
      <c r="L217" s="664">
        <f t="shared" si="12"/>
        <v>8.7092067267920898E-6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1.6923418523064712E-6</v>
      </c>
      <c r="L218" s="664">
        <f t="shared" si="12"/>
        <v>1.6923418523064712E-6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5.9162005405744775</v>
      </c>
      <c r="L219" s="664">
        <f t="shared" si="12"/>
        <v>5.9162005405744775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9.9999999997313436E-4</v>
      </c>
      <c r="L222" s="664">
        <f t="shared" si="12"/>
        <v>9.9999999997313436E-4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2.7601646229138211E-3</v>
      </c>
      <c r="L223" s="664">
        <f t="shared" si="12"/>
        <v>2.7601646229138211E-3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5916.1970880680028</v>
      </c>
      <c r="L224" s="664">
        <f t="shared" si="12"/>
        <v>5916.1970880680028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1.2744231288629623E-13</v>
      </c>
      <c r="L228" s="664">
        <f t="shared" si="13"/>
        <v>1.2744231288629623E-13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2.8148674221817987E-14</v>
      </c>
      <c r="L229" s="664">
        <f>IF(ISBLANK(I229),IF(ISNUMBER(J229)=FALSE,K229,J229),I229)</f>
        <v>2.8148674221817987E-14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2.7766982536714157E-24</v>
      </c>
      <c r="L230" s="664">
        <f t="shared" si="13"/>
        <v>2.7766982536714157E-24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5.3248503745871726E-28</v>
      </c>
      <c r="L231" s="664">
        <f>IF(ISBLANK(I231),IF(ISNUMBER(J231)=FALSE,K231,J231),I231)</f>
        <v>5.3248503745871726E-28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4.7436730073880193E-3</v>
      </c>
      <c r="L232" s="664">
        <f t="shared" si="13"/>
        <v>4.7436730073880193E-3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5.4415788550341428E-6</v>
      </c>
      <c r="L233" s="664">
        <f t="shared" si="13"/>
        <v>5.4415788550341428E-6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8.8388347648318441E-23</v>
      </c>
      <c r="L236" s="664">
        <f>IF(ISBLANK(I236),IF(ISNUMBER(J236)=FALSE,K236,J236),I236)</f>
        <v>8.8388347648318441E-23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2.4391723992603794E-10</v>
      </c>
      <c r="L239" s="664">
        <f t="shared" ref="L239:L245" si="14">IF(ISBLANK(I239),IF(ISNUMBER(J239)=FALSE,K239,J239),I239)</f>
        <v>2.4391723992603794E-10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1.0364215576149212E-8</v>
      </c>
      <c r="L240" s="664">
        <f t="shared" si="14"/>
        <v>1.0364215576149212E-8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7.0491765943274545E-7</v>
      </c>
      <c r="L241" s="664">
        <f t="shared" si="14"/>
        <v>7.0491765943274545E-7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2.8893658041603256E-10</v>
      </c>
      <c r="L242" s="664">
        <f t="shared" si="14"/>
        <v>2.8893658041603256E-10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2.8900000000000009E-10</v>
      </c>
      <c r="L243" s="687">
        <f t="shared" si="14"/>
        <v>2.8900000000000009E-10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92">
        <f>0.0000289</f>
        <v>2.8900000000000001E-5</v>
      </c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2.8900000000000001E-5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2.6834060345368403E-8</v>
      </c>
      <c r="L247" s="664">
        <f>IF(ISBLANK(I247),IF(ISNUMBER(J247)=FALSE,K247,J247),I247)</f>
        <v>2.6834060345368403E-8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2.1989886868443805E-11</v>
      </c>
      <c r="L248" s="664">
        <f>IF(ISBLANK(I248),IF(ISNUMBER(J248)=FALSE,K248,J248),I248)</f>
        <v>2.1989886868443805E-11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5.7751868251914663E-11</v>
      </c>
      <c r="L252" s="664">
        <f>IF(ISBLANK(I252),IF(ISNUMBER(J252)=FALSE,K252,J252),I252)</f>
        <v>5.7751868251914663E-11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3.663258818281463E-10</v>
      </c>
      <c r="L259" s="664">
        <f t="shared" ref="L259:L274" si="15">IF(ISBLANK(I259),IF(ISNUMBER(J259)=FALSE,K259,J259),I259)</f>
        <v>3.663258818281463E-10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8.6232413145018086E-22</v>
      </c>
      <c r="L260" s="664">
        <f t="shared" si="15"/>
        <v>8.6232413145018086E-22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8.6232413145018086E-22</v>
      </c>
      <c r="L261" s="664">
        <f t="shared" si="15"/>
        <v>8.6232413145018086E-22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2.1139861331348332E-12</v>
      </c>
      <c r="L262" s="664">
        <f t="shared" si="15"/>
        <v>2.1139861331348332E-12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2.2622518097823154E-13</v>
      </c>
      <c r="L263" s="664">
        <f t="shared" si="15"/>
        <v>2.2622518097823154E-13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2.0214925174642772E-31</v>
      </c>
      <c r="L265" s="664">
        <f t="shared" si="15"/>
        <v>2.0214925174642772E-31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8.6232413145018086E-22</v>
      </c>
      <c r="L268" s="664">
        <f t="shared" si="15"/>
        <v>8.6232413145018086E-22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8.6232413145018086E-22</v>
      </c>
      <c r="L269" s="664">
        <f t="shared" si="15"/>
        <v>8.6232413145018086E-22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8.8388347648318438E-22</v>
      </c>
      <c r="L273" s="664">
        <f t="shared" si="15"/>
        <v>8.8388347648318438E-22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8.8388347648318438E-22</v>
      </c>
      <c r="L274" s="664">
        <f t="shared" si="15"/>
        <v>8.8388347648318438E-22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1.6983692230354563E-10</v>
      </c>
      <c r="L318" s="664">
        <f>IF(ISBLANK(I318),IF(ISNUMBER(J318)=FALSE,K318,J318),I318)</f>
        <v>1.6983692230354563E-10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0.33967391298578903</v>
      </c>
      <c r="L319" s="664">
        <f>IF(ISBLANK(I319),IF(ISNUMBER(J319)=FALSE,K319,J319),I319)</f>
        <v>0.33967391298578903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0.66032608684437399</v>
      </c>
      <c r="L320" s="664">
        <f>IF(ISBLANK(I320),IF(ISNUMBER(J320)=FALSE,K320,J320),I320)</f>
        <v>0.66032608684437399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9.9999999999999995E-21</v>
      </c>
      <c r="L321" s="664">
        <f>IF(ISBLANK(I321),IF(ISNUMBER(J321)=FALSE,K321,J321),I321)</f>
        <v>9.9999999999999995E-21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1E+20</v>
      </c>
      <c r="L323" s="664">
        <f t="shared" ref="L323:L330" si="18">IF(ISBLANK(I323),IF(ISNUMBER(J323)=FALSE,K323,J323),I323)</f>
        <v>1E+20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1.944E+20</v>
      </c>
      <c r="L324" s="664">
        <f t="shared" si="18"/>
        <v>1.944E+20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0.97560838548675621</v>
      </c>
      <c r="L325" s="664">
        <f t="shared" si="18"/>
        <v>0.97560838548675621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0.97560838548675621</v>
      </c>
      <c r="L326" s="664">
        <f t="shared" si="18"/>
        <v>0.97560838548675621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5000</v>
      </c>
      <c r="L327" s="664">
        <f t="shared" si="18"/>
        <v>5000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5000</v>
      </c>
      <c r="L328" s="664">
        <f t="shared" si="18"/>
        <v>5000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1.44</v>
      </c>
      <c r="L333" s="664">
        <f>IF(ISBLANK(I333),IF(ISNUMBER(J333)=FALSE,K333,J333),I333)</f>
        <v>1.44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1.44</v>
      </c>
      <c r="L334" s="664">
        <f>IF(ISBLANK(I334),IF(ISNUMBER(J334)=FALSE,K334,J334),I334)</f>
        <v>1.44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1250.7999999999997</v>
      </c>
      <c r="L337" s="664">
        <f t="shared" ref="L337:L344" si="19">IF(ISBLANK(I337),IF(ISNUMBER(J337)=FALSE,K337,J337),I337)</f>
        <v>1250.7999999999997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2500</v>
      </c>
      <c r="L338" s="664">
        <f t="shared" si="19"/>
        <v>2500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1500.2000000000003</v>
      </c>
      <c r="L340" s="664">
        <f t="shared" si="19"/>
        <v>1500.2000000000003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1.3331555792560991E-4</v>
      </c>
      <c r="L341" s="664">
        <f t="shared" si="19"/>
        <v>1.3331555792560991E-4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0.99986668444207449</v>
      </c>
      <c r="L342" s="664">
        <f t="shared" si="19"/>
        <v>0.99986668444207449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1000</v>
      </c>
      <c r="L343" s="664">
        <f t="shared" si="19"/>
        <v>1000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5.6611929853087981E-6</v>
      </c>
      <c r="L348" s="664">
        <f t="shared" ref="L348:L361" si="20">IF(ISBLANK(I348),IF(ISNUMBER(J348)=FALSE,K348,J348),I348)</f>
        <v>5.6611929853087981E-6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2.4262255649440315E-6</v>
      </c>
      <c r="L349" s="664">
        <f t="shared" si="20"/>
        <v>2.4262255649440315E-6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4.627967164014931E-25</v>
      </c>
      <c r="L350" s="664">
        <f t="shared" si="20"/>
        <v>4.627967164014931E-25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1.7749985885522155E-25</v>
      </c>
      <c r="L351" s="664">
        <f t="shared" si="20"/>
        <v>1.7749985885522155E-25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8.0874185496354908E-6</v>
      </c>
      <c r="L352" s="664">
        <f t="shared" si="20"/>
        <v>8.0874185496354908E-6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8.4871423050180791E-6</v>
      </c>
      <c r="L353" s="664">
        <f t="shared" si="20"/>
        <v>8.4871423050180791E-6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1.3997237552127508E-6</v>
      </c>
      <c r="L354" s="664">
        <f t="shared" si="20"/>
        <v>1.3997237552127508E-6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11.668660335587274</v>
      </c>
      <c r="L355" s="664">
        <f t="shared" si="20"/>
        <v>11.668660335587274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9.99999999830163E-4</v>
      </c>
      <c r="L358" s="664">
        <f t="shared" si="20"/>
        <v>9.99999999830163E-4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9.0734812372916265E-2</v>
      </c>
      <c r="L359" s="664">
        <f t="shared" si="20"/>
        <v>9.0734812372916265E-2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11668.569201051147</v>
      </c>
      <c r="L360" s="664">
        <f t="shared" si="20"/>
        <v>11668.569201051147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8.0565082398918567E-13</v>
      </c>
      <c r="L364" s="664">
        <f t="shared" si="21"/>
        <v>8.0565082398918567E-13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1.7794679957205657E-13</v>
      </c>
      <c r="L365" s="664">
        <f>IF(ISBLANK(I365),IF(ISNUMBER(J365)=FALSE,K365,J365),I365)</f>
        <v>1.7794679957205657E-13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4.6279671640149306E-23</v>
      </c>
      <c r="L366" s="664">
        <f t="shared" si="21"/>
        <v>4.6279671640149306E-23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8.8749929427610786E-27</v>
      </c>
      <c r="L367" s="664">
        <f>IF(ISBLANK(I367),IF(ISNUMBER(J367)=FALSE,K367,J367),I367)</f>
        <v>8.8749929427610786E-27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4.7436730073880193E-3</v>
      </c>
      <c r="L368" s="664">
        <f t="shared" si="21"/>
        <v>4.7436730073880193E-3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5.4415788550341428E-6</v>
      </c>
      <c r="L369" s="664">
        <f t="shared" si="21"/>
        <v>5.4415788550341428E-6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9.9999999999999991E-22</v>
      </c>
      <c r="L372" s="664">
        <f>IF(ISBLANK(I372),IF(ISNUMBER(J372)=FALSE,K372,J372),I372)</f>
        <v>9.9999999999999991E-22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2.4391723992603794E-10</v>
      </c>
      <c r="L375" s="664">
        <f t="shared" ref="L375:L381" si="22">IF(ISBLANK(I375),IF(ISNUMBER(J375)=FALSE,K375,J375),I375)</f>
        <v>2.4391723992603794E-10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1.0364215576149212E-8</v>
      </c>
      <c r="L376" s="664">
        <f t="shared" si="22"/>
        <v>1.0364215576149212E-8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7.0491765943274545E-7</v>
      </c>
      <c r="L377" s="664">
        <f t="shared" si="22"/>
        <v>7.0491765943274545E-7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2.8893658041603256E-10</v>
      </c>
      <c r="L378" s="664">
        <f t="shared" si="22"/>
        <v>2.8893658041603256E-10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2.8900000000000009E-10</v>
      </c>
      <c r="L379" s="687">
        <f t="shared" si="22"/>
        <v>2.8900000000000009E-10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92">
        <f>0.0000289</f>
        <v>2.8900000000000001E-5</v>
      </c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2.8900000000000001E-5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2.6834060345368403E-8</v>
      </c>
      <c r="L383" s="664">
        <f>IF(ISBLANK(I383),IF(ISNUMBER(J383)=FALSE,K383,J383),I383)</f>
        <v>2.6834060345368403E-8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2.1989886868443805E-11</v>
      </c>
      <c r="L384" s="664">
        <f>IF(ISBLANK(I384),IF(ISNUMBER(J384)=FALSE,K384,J384),I384)</f>
        <v>2.1989886868443805E-11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1.9876600156659107E-10</v>
      </c>
      <c r="L388" s="664">
        <f>IF(ISBLANK(I388),IF(ISNUMBER(J388)=FALSE,K388,J388),I388)</f>
        <v>1.9876600156659107E-10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3.663258818281463E-10</v>
      </c>
      <c r="L395" s="664">
        <f t="shared" ref="L395:L410" si="23">IF(ISBLANK(I395),IF(ISNUMBER(J395)=FALSE,K395,J395),I395)</f>
        <v>3.663258818281463E-10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9.7560838548675609E-21</v>
      </c>
      <c r="L396" s="664">
        <f t="shared" si="23"/>
        <v>9.7560838548675609E-21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9.7560838548675609E-21</v>
      </c>
      <c r="L397" s="664">
        <f t="shared" si="23"/>
        <v>9.7560838548675609E-21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2.1139861422509831E-12</v>
      </c>
      <c r="L398" s="664">
        <f t="shared" si="23"/>
        <v>2.1139861422509831E-12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1.17637094649061E-12</v>
      </c>
      <c r="L399" s="664">
        <f t="shared" si="23"/>
        <v>1.17637094649061E-12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1.6983692230354561E-30</v>
      </c>
      <c r="L401" s="664">
        <f t="shared" si="23"/>
        <v>1.6983692230354561E-30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9.7560838548675609E-21</v>
      </c>
      <c r="L404" s="664">
        <f t="shared" si="23"/>
        <v>9.7560838548675609E-21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9.7560838548675609E-21</v>
      </c>
      <c r="L405" s="664">
        <f t="shared" si="23"/>
        <v>9.7560838548675609E-21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9.9999999999999995E-21</v>
      </c>
      <c r="L409" s="664">
        <f t="shared" si="23"/>
        <v>9.9999999999999995E-21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9.9999999999999995E-21</v>
      </c>
      <c r="L410" s="664">
        <f t="shared" si="23"/>
        <v>9.9999999999999995E-21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07 I116:I118 K116:L118 I120:I139 K120:L139 I145:I160 I163:I167 K145:L167 I171:L171 I169:I170 K169:L170 I172:I181 I191:I237 I241:I243 K242:L250 I256:I275 K256:L275 I281:I296 I299:I303 K281:L303 I307:L307 I305:I306 K305:L306 I308:I317 K308:L347 I377:I379 K378:L386 I392:I411 K392:L411 K172:L211 I245:I250 I381:I386 I109:I114">
    <cfRule type="cellIs" dxfId="96" priority="198" operator="equal">
      <formula>0</formula>
    </cfRule>
  </conditionalFormatting>
  <conditionalFormatting sqref="J1 J416:J1048576 J102 J141:J144 J168 J238 J277:J280 J304 J374 J115 J171 J251 J307 J387">
    <cfRule type="expression" dxfId="95" priority="197">
      <formula>"HLOOKUP(CaseName,CaseData,ROW()+682,FALSE)&lt;&gt;"""""</formula>
    </cfRule>
  </conditionalFormatting>
  <conditionalFormatting sqref="I101">
    <cfRule type="cellIs" dxfId="94" priority="170" operator="equal">
      <formula>0</formula>
    </cfRule>
  </conditionalFormatting>
  <conditionalFormatting sqref="I119">
    <cfRule type="cellIs" dxfId="93" priority="169" operator="equal">
      <formula>0</formula>
    </cfRule>
  </conditionalFormatting>
  <conditionalFormatting sqref="I140">
    <cfRule type="cellIs" dxfId="92" priority="168" operator="equal">
      <formula>0</formula>
    </cfRule>
  </conditionalFormatting>
  <conditionalFormatting sqref="I373">
    <cfRule type="cellIs" dxfId="91" priority="164" operator="equal">
      <formula>0</formula>
    </cfRule>
  </conditionalFormatting>
  <conditionalFormatting sqref="I255">
    <cfRule type="cellIs" dxfId="90" priority="166" operator="equal">
      <formula>0</formula>
    </cfRule>
  </conditionalFormatting>
  <conditionalFormatting sqref="I276">
    <cfRule type="cellIs" dxfId="89" priority="165" operator="equal">
      <formula>0</formula>
    </cfRule>
  </conditionalFormatting>
  <conditionalFormatting sqref="I391">
    <cfRule type="cellIs" dxfId="88" priority="163" operator="equal">
      <formula>0</formula>
    </cfRule>
  </conditionalFormatting>
  <conditionalFormatting sqref="I412">
    <cfRule type="cellIs" dxfId="87" priority="162" operator="equal">
      <formula>0</formula>
    </cfRule>
  </conditionalFormatting>
  <conditionalFormatting sqref="I18:I19">
    <cfRule type="cellIs" dxfId="86" priority="161" operator="equal">
      <formula>0</formula>
    </cfRule>
  </conditionalFormatting>
  <conditionalFormatting sqref="I46">
    <cfRule type="cellIs" dxfId="85" priority="160" operator="equal">
      <formula>0</formula>
    </cfRule>
  </conditionalFormatting>
  <conditionalFormatting sqref="I48">
    <cfRule type="cellIs" dxfId="84" priority="159" operator="equal">
      <formula>0</formula>
    </cfRule>
  </conditionalFormatting>
  <conditionalFormatting sqref="I53:I54">
    <cfRule type="cellIs" dxfId="83" priority="158" operator="equal">
      <formula>0</formula>
    </cfRule>
  </conditionalFormatting>
  <conditionalFormatting sqref="I161:I162">
    <cfRule type="cellIs" dxfId="82" priority="155" operator="equal">
      <formula>0</formula>
    </cfRule>
  </conditionalFormatting>
  <conditionalFormatting sqref="I87:I88">
    <cfRule type="cellIs" dxfId="81" priority="156" operator="equal">
      <formula>0</formula>
    </cfRule>
  </conditionalFormatting>
  <conditionalFormatting sqref="I182:I184">
    <cfRule type="cellIs" dxfId="80" priority="154" operator="equal">
      <formula>0</formula>
    </cfRule>
  </conditionalFormatting>
  <conditionalFormatting sqref="I189:I190">
    <cfRule type="cellIs" dxfId="79" priority="152" operator="equal">
      <formula>0</formula>
    </cfRule>
  </conditionalFormatting>
  <conditionalFormatting sqref="I318">
    <cfRule type="cellIs" dxfId="78" priority="148" operator="equal">
      <formula>0</formula>
    </cfRule>
  </conditionalFormatting>
  <conditionalFormatting sqref="I320">
    <cfRule type="cellIs" dxfId="77" priority="147" operator="equal">
      <formula>0</formula>
    </cfRule>
  </conditionalFormatting>
  <conditionalFormatting sqref="I297:I298">
    <cfRule type="cellIs" dxfId="76" priority="149" operator="equal">
      <formula>0</formula>
    </cfRule>
  </conditionalFormatting>
  <conditionalFormatting sqref="I325:I326">
    <cfRule type="cellIs" dxfId="75" priority="146" operator="equal">
      <formula>0</formula>
    </cfRule>
  </conditionalFormatting>
  <conditionalFormatting sqref="K101">
    <cfRule type="cellIs" dxfId="74" priority="143" operator="equal">
      <formula>0</formula>
    </cfRule>
  </conditionalFormatting>
  <conditionalFormatting sqref="K119">
    <cfRule type="cellIs" dxfId="73" priority="142" operator="equal">
      <formula>0</formula>
    </cfRule>
  </conditionalFormatting>
  <conditionalFormatting sqref="K140">
    <cfRule type="cellIs" dxfId="72" priority="141" operator="equal">
      <formula>0</formula>
    </cfRule>
  </conditionalFormatting>
  <conditionalFormatting sqref="K237">
    <cfRule type="cellIs" dxfId="71" priority="140" operator="equal">
      <formula>0</formula>
    </cfRule>
  </conditionalFormatting>
  <conditionalFormatting sqref="K255">
    <cfRule type="cellIs" dxfId="70" priority="139" operator="equal">
      <formula>0</formula>
    </cfRule>
  </conditionalFormatting>
  <conditionalFormatting sqref="K276">
    <cfRule type="cellIs" dxfId="69" priority="138" operator="equal">
      <formula>0</formula>
    </cfRule>
  </conditionalFormatting>
  <conditionalFormatting sqref="K373">
    <cfRule type="cellIs" dxfId="68" priority="137" operator="equal">
      <formula>0</formula>
    </cfRule>
  </conditionalFormatting>
  <conditionalFormatting sqref="K391">
    <cfRule type="cellIs" dxfId="67" priority="136" operator="equal">
      <formula>0</formula>
    </cfRule>
  </conditionalFormatting>
  <conditionalFormatting sqref="K412">
    <cfRule type="cellIs" dxfId="66" priority="135" operator="equal">
      <formula>0</formula>
    </cfRule>
  </conditionalFormatting>
  <conditionalFormatting sqref="I239:I240">
    <cfRule type="cellIs" dxfId="65" priority="81" operator="equal">
      <formula>0</formula>
    </cfRule>
  </conditionalFormatting>
  <conditionalFormatting sqref="I348">
    <cfRule type="cellIs" dxfId="64" priority="80" operator="equal">
      <formula>0</formula>
    </cfRule>
  </conditionalFormatting>
  <conditionalFormatting sqref="I375:I376">
    <cfRule type="cellIs" dxfId="63" priority="79" operator="equal">
      <formula>0</formula>
    </cfRule>
  </conditionalFormatting>
  <conditionalFormatting sqref="K76:K79">
    <cfRule type="cellIs" dxfId="62" priority="78" operator="equal">
      <formula>0</formula>
    </cfRule>
  </conditionalFormatting>
  <conditionalFormatting sqref="K76:K79">
    <cfRule type="cellIs" dxfId="61" priority="77" operator="equal">
      <formula>0</formula>
    </cfRule>
  </conditionalFormatting>
  <conditionalFormatting sqref="K82:K83">
    <cfRule type="cellIs" dxfId="60" priority="74" operator="equal">
      <formula>0</formula>
    </cfRule>
  </conditionalFormatting>
  <conditionalFormatting sqref="K92:K95">
    <cfRule type="cellIs" dxfId="59" priority="73" operator="equal">
      <formula>0</formula>
    </cfRule>
  </conditionalFormatting>
  <conditionalFormatting sqref="K103:K105">
    <cfRule type="cellIs" dxfId="58" priority="71" operator="equal">
      <formula>0</formula>
    </cfRule>
  </conditionalFormatting>
  <conditionalFormatting sqref="K111:K112">
    <cfRule type="cellIs" dxfId="57" priority="69" operator="equal">
      <formula>0</formula>
    </cfRule>
  </conditionalFormatting>
  <conditionalFormatting sqref="K352">
    <cfRule type="cellIs" dxfId="56" priority="59" operator="equal">
      <formula>0</formula>
    </cfRule>
  </conditionalFormatting>
  <conditionalFormatting sqref="K354:K355">
    <cfRule type="cellIs" dxfId="55" priority="58" operator="equal">
      <formula>0</formula>
    </cfRule>
  </conditionalFormatting>
  <conditionalFormatting sqref="K364:K367">
    <cfRule type="cellIs" dxfId="54" priority="57" operator="equal">
      <formula>0</formula>
    </cfRule>
  </conditionalFormatting>
  <conditionalFormatting sqref="K228:K231 K218:K219 K212:K216">
    <cfRule type="cellIs" dxfId="53" priority="54" operator="equal">
      <formula>0</formula>
    </cfRule>
  </conditionalFormatting>
  <conditionalFormatting sqref="K239:K240">
    <cfRule type="cellIs" dxfId="52" priority="52" operator="equal">
      <formula>0</formula>
    </cfRule>
  </conditionalFormatting>
  <conditionalFormatting sqref="K348:K351">
    <cfRule type="cellIs" dxfId="51" priority="51" operator="equal">
      <formula>0</formula>
    </cfRule>
  </conditionalFormatting>
  <conditionalFormatting sqref="K375:K376">
    <cfRule type="cellIs" dxfId="50" priority="50" operator="equal">
      <formula>0</formula>
    </cfRule>
  </conditionalFormatting>
  <conditionalFormatting sqref="J414">
    <cfRule type="cellIs" dxfId="49" priority="42" operator="equal">
      <formula>0</formula>
    </cfRule>
  </conditionalFormatting>
  <conditionalFormatting sqref="J102 J141:J144 J168 J238 J277:J280 J304 J374 J115 J171 J251 J307 J387">
    <cfRule type="cellIs" dxfId="48" priority="43" operator="notEqual">
      <formula>""""""</formula>
    </cfRule>
  </conditionalFormatting>
  <conditionalFormatting sqref="I253:I254 K253:L254">
    <cfRule type="cellIs" dxfId="47" priority="41" operator="equal">
      <formula>0</formula>
    </cfRule>
  </conditionalFormatting>
  <conditionalFormatting sqref="I389:I390 K389:L390">
    <cfRule type="cellIs" dxfId="46" priority="38" operator="equal">
      <formula>0</formula>
    </cfRule>
  </conditionalFormatting>
  <conditionalFormatting sqref="L241">
    <cfRule type="cellIs" dxfId="45" priority="29" operator="equal">
      <formula>0</formula>
    </cfRule>
  </conditionalFormatting>
  <conditionalFormatting sqref="K241">
    <cfRule type="cellIs" dxfId="44" priority="28" operator="equal">
      <formula>0</formula>
    </cfRule>
  </conditionalFormatting>
  <conditionalFormatting sqref="L377">
    <cfRule type="cellIs" dxfId="43" priority="27" operator="equal">
      <formula>0</formula>
    </cfRule>
  </conditionalFormatting>
  <conditionalFormatting sqref="K377">
    <cfRule type="cellIs" dxfId="42" priority="26" operator="equal">
      <formula>0</formula>
    </cfRule>
  </conditionalFormatting>
  <conditionalFormatting sqref="J5:J42">
    <cfRule type="expression" dxfId="41" priority="25">
      <formula>"HLOOKUP(CaseName,CaseData,ROW()+157,FALSE)&lt;&gt;"""""</formula>
    </cfRule>
  </conditionalFormatting>
  <conditionalFormatting sqref="J46:J72">
    <cfRule type="expression" dxfId="40" priority="24">
      <formula>"HLOOKUP(CaseName,CaseData,ROW()+157,FALSE)&lt;&gt;"""""</formula>
    </cfRule>
  </conditionalFormatting>
  <conditionalFormatting sqref="J76:J101">
    <cfRule type="expression" dxfId="39" priority="23">
      <formula>"HLOOKUP(CaseName,CaseData,ROW()+157,FALSE)&lt;&gt;"""""</formula>
    </cfRule>
  </conditionalFormatting>
  <conditionalFormatting sqref="J103:J114">
    <cfRule type="expression" dxfId="38" priority="22">
      <formula>"HLOOKUP(CaseName,CaseData,ROW()+157,FALSE)&lt;&gt;"""""</formula>
    </cfRule>
  </conditionalFormatting>
  <conditionalFormatting sqref="J116:J119">
    <cfRule type="expression" dxfId="37" priority="21">
      <formula>"HLOOKUP(CaseName,CaseData,ROW()+157,FALSE)&lt;&gt;"""""</formula>
    </cfRule>
  </conditionalFormatting>
  <conditionalFormatting sqref="J123:J140">
    <cfRule type="expression" dxfId="36" priority="20">
      <formula>"HLOOKUP(CaseName,CaseData,ROW()+157,FALSE)&lt;&gt;"""""</formula>
    </cfRule>
  </conditionalFormatting>
  <conditionalFormatting sqref="J148:J167">
    <cfRule type="expression" dxfId="35" priority="19">
      <formula>"HLOOKUP(CaseName,CaseData,ROW()+157,FALSE)&lt;&gt;"""""</formula>
    </cfRule>
  </conditionalFormatting>
  <conditionalFormatting sqref="J169:J170">
    <cfRule type="expression" dxfId="34" priority="18">
      <formula>"HLOOKUP(CaseName,CaseData,ROW()+157,FALSE)&lt;&gt;"""""</formula>
    </cfRule>
  </conditionalFormatting>
  <conditionalFormatting sqref="J172:J178">
    <cfRule type="expression" dxfId="33" priority="17">
      <formula>"HLOOKUP(CaseName,CaseData,ROW()+157,FALSE)&lt;&gt;"""""</formula>
    </cfRule>
  </conditionalFormatting>
  <conditionalFormatting sqref="J182:J208">
    <cfRule type="expression" dxfId="32" priority="16">
      <formula>"HLOOKUP(CaseName,CaseData,ROW()+157,FALSE)&lt;&gt;"""""</formula>
    </cfRule>
  </conditionalFormatting>
  <conditionalFormatting sqref="J212:J237">
    <cfRule type="expression" dxfId="31" priority="15">
      <formula>"HLOOKUP(CaseName,CaseData,ROW()+157,FALSE)&lt;&gt;"""""</formula>
    </cfRule>
  </conditionalFormatting>
  <conditionalFormatting sqref="J239:J250">
    <cfRule type="expression" dxfId="30" priority="14">
      <formula>"HLOOKUP(CaseName,CaseData,ROW()+157,FALSE)&lt;&gt;"""""</formula>
    </cfRule>
  </conditionalFormatting>
  <conditionalFormatting sqref="J252:J255">
    <cfRule type="expression" dxfId="29" priority="13">
      <formula>"HLOOKUP(CaseName,CaseData,ROW()+157,FALSE)&lt;&gt;"""""</formula>
    </cfRule>
  </conditionalFormatting>
  <conditionalFormatting sqref="J259:J276">
    <cfRule type="expression" dxfId="28" priority="12">
      <formula>"HLOOKUP(CaseName,CaseData,ROW()+157,FALSE)&lt;&gt;"""""</formula>
    </cfRule>
  </conditionalFormatting>
  <conditionalFormatting sqref="J284:J303">
    <cfRule type="expression" dxfId="27" priority="11">
      <formula>"HLOOKUP(CaseName,CaseData,ROW()+157,FALSE)&lt;&gt;"""""</formula>
    </cfRule>
  </conditionalFormatting>
  <conditionalFormatting sqref="J305:J306">
    <cfRule type="expression" dxfId="26" priority="10">
      <formula>"HLOOKUP(CaseName,CaseData,ROW()+157,FALSE)&lt;&gt;"""""</formula>
    </cfRule>
  </conditionalFormatting>
  <conditionalFormatting sqref="J308:J314">
    <cfRule type="expression" dxfId="25" priority="9">
      <formula>"HLOOKUP(CaseName,CaseData,ROW()+157,FALSE)&lt;&gt;"""""</formula>
    </cfRule>
  </conditionalFormatting>
  <conditionalFormatting sqref="J318:J344">
    <cfRule type="expression" dxfId="24" priority="8">
      <formula>"HLOOKUP(CaseName,CaseData,ROW()+157,FALSE)&lt;&gt;"""""</formula>
    </cfRule>
  </conditionalFormatting>
  <conditionalFormatting sqref="J348:J373">
    <cfRule type="expression" dxfId="23" priority="7">
      <formula>"HLOOKUP(CaseName,CaseData,ROW()+157,FALSE)&lt;&gt;"""""</formula>
    </cfRule>
  </conditionalFormatting>
  <conditionalFormatting sqref="J375:J386">
    <cfRule type="expression" dxfId="22" priority="6">
      <formula>"HLOOKUP(CaseName,CaseData,ROW()+157,FALSE)&lt;&gt;"""""</formula>
    </cfRule>
  </conditionalFormatting>
  <conditionalFormatting sqref="J388:J391">
    <cfRule type="expression" dxfId="21" priority="5">
      <formula>"HLOOKUP(CaseName,CaseData,ROW()+157,FALSE)&lt;&gt;"""""</formula>
    </cfRule>
  </conditionalFormatting>
  <conditionalFormatting sqref="J395:J412">
    <cfRule type="expression" dxfId="20" priority="4">
      <formula>"HLOOKUP(CaseName,CaseData,ROW()+157,FALSE)&lt;&gt;"""""</formula>
    </cfRule>
  </conditionalFormatting>
  <conditionalFormatting sqref="I244">
    <cfRule type="cellIs" dxfId="19" priority="3" operator="equal">
      <formula>0</formula>
    </cfRule>
  </conditionalFormatting>
  <conditionalFormatting sqref="I380">
    <cfRule type="cellIs" dxfId="18" priority="2" operator="equal">
      <formula>0</formula>
    </cfRule>
  </conditionalFormatting>
  <conditionalFormatting sqref="I108">
    <cfRule type="cellIs" dxfId="1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2.6042864638440033</v>
      </c>
      <c r="E5" s="372">
        <v>0</v>
      </c>
      <c r="F5" s="372">
        <f>E.w1R</f>
        <v>2.6042864638440033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2.6042864638440033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-1.6286322370046713E-5</v>
      </c>
      <c r="E9" s="179">
        <f>k.w0R.aR</f>
        <v>1.8071803644175064E-25</v>
      </c>
      <c r="F9" s="179">
        <f>k.w1R.aR</f>
        <v>5.6176697390230937E-24</v>
      </c>
      <c r="G9" s="179">
        <f>k.w2R.aR</f>
        <v>1.7675106072712202E-24</v>
      </c>
      <c r="H9" s="376">
        <v>0</v>
      </c>
      <c r="I9" s="376">
        <v>0</v>
      </c>
      <c r="J9" s="179">
        <f>k.s1R.aR</f>
        <v>6.7790674133494165E-26</v>
      </c>
      <c r="K9" s="179">
        <f>k.s2R.aR</f>
        <v>3.0848433284968799E-26</v>
      </c>
      <c r="L9" s="179">
        <f>k.s3R.aR</f>
        <v>6.7790674133494165E-26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1.7089765072772757E-8</v>
      </c>
      <c r="E10" s="378">
        <f>-k.w0R-SUM(E9,E11:E41)</f>
        <v>-2.3972602739766536E-9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9.8488747346122823E-12</v>
      </c>
      <c r="K10" s="689">
        <f>k.s2R.w0R</f>
        <v>4.4817721473666332E-12</v>
      </c>
      <c r="L10" s="689">
        <f>k.s3R.w0R</f>
        <v>9.8488747346122823E-12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1.8798741580050034E-7</v>
      </c>
      <c r="E11" s="179">
        <f>k.w0R.w1R</f>
        <v>2.3972602739726025E-9</v>
      </c>
      <c r="F11" s="378">
        <f>-k.w1R-SUM(F9:F10,F12:F41)</f>
        <v>-7.5327793325591581E-7</v>
      </c>
      <c r="G11" s="376">
        <v>0</v>
      </c>
      <c r="H11" s="179">
        <f>k.sd1R.w1R</f>
        <v>2.6737627972563896E-8</v>
      </c>
      <c r="I11" s="376">
        <v>0</v>
      </c>
      <c r="J11" s="179">
        <f>k.s1R.w1R</f>
        <v>1.0833762208073512E-10</v>
      </c>
      <c r="K11" s="179">
        <f>k.s2R.w1R</f>
        <v>4.9299493621032966E-11</v>
      </c>
      <c r="L11" s="179">
        <f>k.s3R.w1R</f>
        <v>1.0833762208073512E-10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2.9907275797826093E-8</v>
      </c>
      <c r="E12" s="179">
        <f>k.w0R.w2R</f>
        <v>0</v>
      </c>
      <c r="F12" s="179">
        <f>k.w1R.w2R</f>
        <v>7.26442507264425E-8</v>
      </c>
      <c r="G12" s="378">
        <f>-k.w2R-SUM(G9:G11,G13:G41)</f>
        <v>-1.4430296240326083E-6</v>
      </c>
      <c r="H12" s="376">
        <v>0</v>
      </c>
      <c r="I12" s="179">
        <f>k.sd2R.w2R</f>
        <v>9.4520363206949596E-9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6.8063368252946949E-7</v>
      </c>
      <c r="G13" s="376">
        <v>0</v>
      </c>
      <c r="H13" s="378">
        <f>-k.sd1R-SUM(H9:H12,H14:H41)</f>
        <v>-2.9632996228952195E-8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7.3175171977811383E-8</v>
      </c>
      <c r="H14" s="376">
        <v>0</v>
      </c>
      <c r="I14" s="378">
        <f>-k.sd2R-SUM(I9:I13,I15:I41)</f>
        <v>-1.0366329562285525E-8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1.8456946277505723E-6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-1.1881992732367293E-10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4.1015436172234928E-6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-5.4069511005322541E-11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6.8359060287058217E-7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-1.1881992732367293E-10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-9.4796613445334313E-6</v>
      </c>
      <c r="N18" s="179">
        <f>k.w0C.aC</f>
        <v>1.8071803644175064E-25</v>
      </c>
      <c r="O18" s="179">
        <f>k.w1C.aC</f>
        <v>5.6176697390230937E-24</v>
      </c>
      <c r="P18" s="179">
        <f>k.w2C.aC</f>
        <v>8.8375530363561007E-26</v>
      </c>
      <c r="Q18" s="376">
        <v>0</v>
      </c>
      <c r="R18" s="376">
        <v>0</v>
      </c>
      <c r="S18" s="691">
        <f>k.s1C.aC</f>
        <v>6.7790674133494165E-26</v>
      </c>
      <c r="T18" s="691">
        <f>k.s2C.aC</f>
        <v>3.0848433284968799E-26</v>
      </c>
      <c r="U18" s="691">
        <f>k.s3C.aC</f>
        <v>6.7790674133494165E-26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9.4383128407235164E-9</v>
      </c>
      <c r="N19" s="378">
        <f>-k.w0C-SUM(N9:N18,N20:N41)</f>
        <v>-2.3972602739766541E-9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9.8488747346122855E-12</v>
      </c>
      <c r="T19" s="691">
        <f>k.s2C.w0C</f>
        <v>4.481772147366634E-12</v>
      </c>
      <c r="U19" s="691">
        <f>k.s3C.w0C</f>
        <v>9.8488747346122855E-12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1.0382144124795866E-7</v>
      </c>
      <c r="N20" s="179">
        <f>k.w0C.w1C</f>
        <v>2.3972602739726029E-9</v>
      </c>
      <c r="O20" s="378">
        <f>-k.w1C-SUM(O9:O19,O21:O41)</f>
        <v>-7.5327793325591581E-7</v>
      </c>
      <c r="P20" s="376">
        <v>0</v>
      </c>
      <c r="Q20" s="179">
        <f>k.sd1C.w1C</f>
        <v>2.6758767833794573E-8</v>
      </c>
      <c r="R20" s="376">
        <v>0</v>
      </c>
      <c r="S20" s="691">
        <f>k.s1C.w1C</f>
        <v>1.0833762208073512E-10</v>
      </c>
      <c r="T20" s="691">
        <f>k.s2C.w1C</f>
        <v>4.9299493621032966E-11</v>
      </c>
      <c r="U20" s="691">
        <f>k.s3C.w1C</f>
        <v>1.0833762208073512E-10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4.0217939189258379E-6</v>
      </c>
      <c r="N21" s="179">
        <f>k.w0C.w2C</f>
        <v>0</v>
      </c>
      <c r="O21" s="179">
        <f>k.w1C.w2C</f>
        <v>7.2644250726442513E-8</v>
      </c>
      <c r="P21" s="378">
        <f>-k.w2C-SUM(P9:P20,P22:P41)</f>
        <v>-3.5366706112950607E-8</v>
      </c>
      <c r="Q21" s="376">
        <v>0</v>
      </c>
      <c r="R21" s="179">
        <f>k.sd2C.w2C</f>
        <v>1.0366329562281463E-8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6.8063368252946949E-7</v>
      </c>
      <c r="P22" s="376">
        <v>0</v>
      </c>
      <c r="Q22" s="378">
        <f>-k.sd1C-SUM(Q9:Q21,Q23:Q41)</f>
        <v>-2.9632996228952195E-8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3.6587585988905691E-9</v>
      </c>
      <c r="Q23" s="376">
        <v>0</v>
      </c>
      <c r="R23" s="378">
        <f>-k.sd2C-SUM(R9:R22,R24:R41)</f>
        <v>-1.0366329562285525E-8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1.0193377867451872E-6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-1.1881992732367293E-10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2.2651950816559713E-6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-5.4069511005322541E-11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3.7753251360932848E-7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-1.1881992732367293E-10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-9.0734039131219528E-6</v>
      </c>
      <c r="W27" s="179">
        <f>k.w2M.aM</f>
        <v>1.7675106072712201E-25</v>
      </c>
      <c r="X27" s="376">
        <v>0</v>
      </c>
      <c r="Y27" s="376">
        <v>0</v>
      </c>
      <c r="Z27" s="179">
        <f>k.sM.aM</f>
        <v>6.7790674133494165E-26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3.9542333973253616E-6</v>
      </c>
      <c r="W28" s="378">
        <f>-k.w2M-SUM(W9:W27,W29:W41)</f>
        <v>-2.9385441060537096E-7</v>
      </c>
      <c r="X28" s="376">
        <f>k.w3M.w2M</f>
        <v>8.3037289171706622E-9</v>
      </c>
      <c r="Y28" s="179">
        <v>0</v>
      </c>
      <c r="Z28" s="179">
        <f>k.sM.w2M</f>
        <v>1.1818649681534741E-10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-9.8367847263476429E-9</v>
      </c>
      <c r="Y29" s="376">
        <f>k.sdM.w3M</f>
        <v>1.0363345627966805E-8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2.4391723992603794E-10</v>
      </c>
      <c r="Y30" s="378">
        <f>-k.sdM-SUM(Y9:Y29,Y31:Y41)</f>
        <v>-1.0366329562285523E-8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3.9542333971228385E-6</v>
      </c>
      <c r="W31" s="376">
        <v>0</v>
      </c>
      <c r="X31" s="376">
        <v>0</v>
      </c>
      <c r="Y31" s="376">
        <v>0</v>
      </c>
      <c r="Z31" s="378">
        <f>-k.sM-SUM(Z9:Z30,Z32:Z41)</f>
        <v>-1.1881992732367293E-10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-8.7095730526739194E-6</v>
      </c>
      <c r="AB32" s="179">
        <f>k.w2A.aA</f>
        <v>2.7766982536714156E-26</v>
      </c>
      <c r="AC32" s="376">
        <v>0</v>
      </c>
      <c r="AD32" s="376">
        <v>0</v>
      </c>
      <c r="AE32" s="179">
        <f>k.sA.aA</f>
        <v>1.0649700749174345E-26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4.8101189247517175E-6</v>
      </c>
      <c r="AB33" s="378">
        <f>-k.w2A-SUM(AB9:AB32,AB34:AB41)</f>
        <v>-2.6926123984947596E-7</v>
      </c>
      <c r="AC33" s="376">
        <f>k.w3A.w2A</f>
        <v>8.9753746616491718E-9</v>
      </c>
      <c r="AD33" s="179">
        <v>0</v>
      </c>
      <c r="AE33" s="179">
        <f>k.sA.w2A</f>
        <v>5.7751868251914663E-11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-1.1180076215301562E-8</v>
      </c>
      <c r="AD34" s="376">
        <f>k.sdA.w3A</f>
        <v>1.0364215576149212E-8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2.4391723992603794E-10</v>
      </c>
      <c r="AD35" s="378">
        <f>-k.sdA-SUM(AD9:AD34,AD36:AD41)</f>
        <v>-1.0366329562282347E-8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3.2067459497947611E-6</v>
      </c>
      <c r="AB36" s="376">
        <v>0</v>
      </c>
      <c r="AC36" s="376">
        <v>0</v>
      </c>
      <c r="AD36" s="376">
        <v>0</v>
      </c>
      <c r="AE36" s="378">
        <f>-k.sA-SUM(AE9:AE35,AE37:AE41)</f>
        <v>-5.7978093432892909E-11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-8.4875086308999054E-6</v>
      </c>
      <c r="AG37" s="179">
        <f>k.w2T.aT</f>
        <v>4.627967164014931E-25</v>
      </c>
      <c r="AH37" s="376">
        <v>0</v>
      </c>
      <c r="AI37" s="376">
        <v>0</v>
      </c>
      <c r="AJ37" s="380">
        <f>k.sT.aT</f>
        <v>1.7749985885522155E-25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5.6611929853087981E-6</v>
      </c>
      <c r="AG38" s="378">
        <f>-k.w2T-SUM(AG9:AG37,AG39:AG41)</f>
        <v>-2.4405115581587142E-7</v>
      </c>
      <c r="AH38" s="376">
        <f>k.w3T.w2T</f>
        <v>7.5748144375595357E-9</v>
      </c>
      <c r="AI38" s="179">
        <v>0</v>
      </c>
      <c r="AJ38" s="380">
        <f>k.sT.w2T</f>
        <v>1.9876600156659107E-10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-7.8187316774953298E-9</v>
      </c>
      <c r="AI39" s="376">
        <f>k.sdT.w3T</f>
        <v>1.0364215576149212E-8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2.4391723992603794E-10</v>
      </c>
      <c r="AI40" s="378">
        <f>-k.sdT-SUM(AI9:AI39,AI41)</f>
        <v>-1.0366329562291462E-8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2.4262255649440315E-6</v>
      </c>
      <c r="AG41" s="373">
        <v>0</v>
      </c>
      <c r="AH41" s="373">
        <v>0</v>
      </c>
      <c r="AI41" s="373">
        <v>0</v>
      </c>
      <c r="AJ41" s="381">
        <f>-k.sT-SUM(AJ9:AJ40)</f>
        <v>-1.9994237251308187E-10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86436541543410.172</v>
      </c>
      <c r="D45" s="370">
        <f t="array" ref="D45:AJ45">TRANSPOSE(MMULT(MINVERSE(D9:AJ41),-TRANSPOSE(D5:AJ5)))</f>
        <v>162898.24261491044</v>
      </c>
      <c r="E45" s="370">
        <v>128556537.50908685</v>
      </c>
      <c r="F45" s="370">
        <v>45293637.653786719</v>
      </c>
      <c r="G45" s="370">
        <v>3916914.1411638968</v>
      </c>
      <c r="H45" s="370">
        <v>1040339463.2545519</v>
      </c>
      <c r="I45" s="370">
        <v>27649214.138894945</v>
      </c>
      <c r="J45" s="370">
        <v>2530387099.5084157</v>
      </c>
      <c r="K45" s="370">
        <v>60522476535.361679</v>
      </c>
      <c r="L45" s="370">
        <v>937180407.22533906</v>
      </c>
      <c r="M45" s="370">
        <v>162211.92794600761</v>
      </c>
      <c r="N45" s="370">
        <v>21178203.252265941</v>
      </c>
      <c r="O45" s="370">
        <v>4393684.1419817023</v>
      </c>
      <c r="P45" s="370">
        <v>126244508823.15665</v>
      </c>
      <c r="Q45" s="370">
        <v>100917551.31081054</v>
      </c>
      <c r="R45" s="370">
        <v>44557543674.851425</v>
      </c>
      <c r="S45" s="370">
        <v>1391591051.6064603</v>
      </c>
      <c r="T45" s="370">
        <v>6795727472.6057491</v>
      </c>
      <c r="U45" s="370">
        <v>515404093.18757778</v>
      </c>
      <c r="V45" s="370">
        <v>24870.672476135602</v>
      </c>
      <c r="W45" s="370">
        <v>658596386277.31787</v>
      </c>
      <c r="X45" s="370">
        <v>19757680528345.023</v>
      </c>
      <c r="Y45" s="370">
        <v>464893468113.10687</v>
      </c>
      <c r="Z45" s="370">
        <v>827676349.65928495</v>
      </c>
      <c r="AA45" s="370">
        <v>1083.1778732592456</v>
      </c>
      <c r="AB45" s="370">
        <v>527585020015.83801</v>
      </c>
      <c r="AC45" s="370">
        <v>12989711543742.088</v>
      </c>
      <c r="AD45" s="370">
        <v>305644786628.54468</v>
      </c>
      <c r="AE45" s="370">
        <v>59910149.718906946</v>
      </c>
      <c r="AF45" s="370">
        <v>1925.2052818290992</v>
      </c>
      <c r="AG45" s="370">
        <v>1515344514888.7576</v>
      </c>
      <c r="AH45" s="370">
        <v>48822524673559.266</v>
      </c>
      <c r="AI45" s="370">
        <v>1148782256346.0032</v>
      </c>
      <c r="AJ45" s="371">
        <v>23361642.726498235</v>
      </c>
    </row>
    <row r="46" spans="1:36" ht="12.75" customHeight="1" x14ac:dyDescent="0.2">
      <c r="B46" s="255" t="s">
        <v>2410</v>
      </c>
      <c r="C46" s="531">
        <f>SUM(D46:AJ46)</f>
        <v>170707834475497.72</v>
      </c>
      <c r="D46" s="383">
        <f>D45</f>
        <v>162898.24261491044</v>
      </c>
      <c r="E46" s="383"/>
      <c r="F46" s="383">
        <f t="shared" ref="F46:AJ46" si="0">F45</f>
        <v>45293637.653786719</v>
      </c>
      <c r="G46" s="383">
        <f t="shared" si="0"/>
        <v>3916914.1411638968</v>
      </c>
      <c r="H46" s="383">
        <f t="shared" si="0"/>
        <v>1040339463.2545519</v>
      </c>
      <c r="I46" s="383">
        <f t="shared" si="0"/>
        <v>27649214.138894945</v>
      </c>
      <c r="J46" s="383">
        <f t="shared" si="0"/>
        <v>2530387099.5084157</v>
      </c>
      <c r="K46" s="383">
        <f t="shared" si="0"/>
        <v>60522476535.361679</v>
      </c>
      <c r="L46" s="383">
        <f t="shared" si="0"/>
        <v>937180407.22533906</v>
      </c>
      <c r="M46" s="383">
        <f t="shared" si="0"/>
        <v>162211.92794600761</v>
      </c>
      <c r="N46" s="383"/>
      <c r="O46" s="383">
        <f t="shared" si="0"/>
        <v>4393684.1419817023</v>
      </c>
      <c r="P46" s="383">
        <f t="shared" si="0"/>
        <v>126244508823.15665</v>
      </c>
      <c r="Q46" s="383">
        <f t="shared" si="0"/>
        <v>100917551.31081054</v>
      </c>
      <c r="R46" s="383">
        <f t="shared" si="0"/>
        <v>44557543674.851425</v>
      </c>
      <c r="S46" s="383">
        <f t="shared" si="0"/>
        <v>1391591051.6064603</v>
      </c>
      <c r="T46" s="383">
        <f t="shared" si="0"/>
        <v>6795727472.6057491</v>
      </c>
      <c r="U46" s="383">
        <f t="shared" si="0"/>
        <v>515404093.18757778</v>
      </c>
      <c r="V46" s="383">
        <f t="shared" si="0"/>
        <v>24870.672476135602</v>
      </c>
      <c r="W46" s="383">
        <f>SUM(W45:X45)</f>
        <v>20416276914622.34</v>
      </c>
      <c r="X46" s="383">
        <f>SUM(W45:X45)</f>
        <v>20416276914622.34</v>
      </c>
      <c r="Y46" s="383">
        <f t="shared" si="0"/>
        <v>464893468113.10687</v>
      </c>
      <c r="Z46" s="383">
        <f t="shared" si="0"/>
        <v>827676349.65928495</v>
      </c>
      <c r="AA46" s="383">
        <f t="shared" si="0"/>
        <v>1083.1778732592456</v>
      </c>
      <c r="AB46" s="383">
        <f>SUM(AB45:AC45)</f>
        <v>13517296563757.926</v>
      </c>
      <c r="AC46" s="383">
        <f>SUM(AB45:AC45)</f>
        <v>13517296563757.926</v>
      </c>
      <c r="AD46" s="383">
        <f t="shared" si="0"/>
        <v>305644786628.54468</v>
      </c>
      <c r="AE46" s="383">
        <f t="shared" si="0"/>
        <v>59910149.718906946</v>
      </c>
      <c r="AF46" s="383">
        <f t="shared" si="0"/>
        <v>1925.2052818290992</v>
      </c>
      <c r="AG46" s="383">
        <f>SUM(AG45:AH45)</f>
        <v>50337869188448.023</v>
      </c>
      <c r="AH46" s="383">
        <f>SUM(AG45:AH45)</f>
        <v>50337869188448.023</v>
      </c>
      <c r="AI46" s="383">
        <f t="shared" si="0"/>
        <v>1148782256346.0032</v>
      </c>
      <c r="AJ46" s="384">
        <f t="shared" si="0"/>
        <v>23361642.726498235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>
        <f>IF(ABS(MIN(D48:AJ48))&lt;MAX(D48:AJ48),MAX(D48:AJ48),MIN(D48:AJ48))</f>
        <v>9.5335903033985332</v>
      </c>
      <c r="D48" s="515" t="str">
        <f>IF(D49&gt;0.0001,LOG(D46/D47),"")</f>
        <v/>
      </c>
      <c r="E48" s="515" t="str">
        <f t="shared" ref="E48:AJ48" si="1">IF(E49&gt;0.0001,LOG(E46/E47),"")</f>
        <v/>
      </c>
      <c r="F48" s="515" t="str">
        <f t="shared" si="1"/>
        <v/>
      </c>
      <c r="G48" s="515" t="str">
        <f t="shared" si="1"/>
        <v/>
      </c>
      <c r="H48" s="515" t="str">
        <f t="shared" si="1"/>
        <v/>
      </c>
      <c r="I48" s="515" t="str">
        <f t="shared" si="1"/>
        <v/>
      </c>
      <c r="J48" s="515" t="str">
        <f t="shared" si="1"/>
        <v/>
      </c>
      <c r="K48" s="515">
        <f t="shared" si="1"/>
        <v>3.4677179296267759</v>
      </c>
      <c r="L48" s="515" t="str">
        <f t="shared" si="1"/>
        <v/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4.8711043934846652</v>
      </c>
      <c r="Q48" s="515" t="str">
        <f t="shared" si="1"/>
        <v/>
      </c>
      <c r="R48" s="515">
        <f t="shared" si="1"/>
        <v>7.1705755880125279</v>
      </c>
      <c r="S48" s="515" t="str">
        <f t="shared" si="1"/>
        <v/>
      </c>
      <c r="T48" s="515" t="str">
        <f t="shared" si="1"/>
        <v/>
      </c>
      <c r="U48" s="515" t="str">
        <f t="shared" si="1"/>
        <v/>
      </c>
      <c r="V48" s="515" t="str">
        <f t="shared" si="1"/>
        <v/>
      </c>
      <c r="W48" s="515">
        <f t="shared" si="1"/>
        <v>6.6602726067494533</v>
      </c>
      <c r="X48" s="515">
        <f t="shared" si="1"/>
        <v>6.6602726067494533</v>
      </c>
      <c r="Y48" s="515">
        <f t="shared" si="1"/>
        <v>8.47014562698471</v>
      </c>
      <c r="Z48" s="515" t="str">
        <f t="shared" si="1"/>
        <v/>
      </c>
      <c r="AA48" s="515" t="str">
        <f t="shared" si="1"/>
        <v/>
      </c>
      <c r="AB48" s="515">
        <f t="shared" si="1"/>
        <v>5.8250412579665083</v>
      </c>
      <c r="AC48" s="515">
        <f t="shared" si="1"/>
        <v>5.8250412579665083</v>
      </c>
      <c r="AD48" s="515">
        <f t="shared" si="1"/>
        <v>7.5947995263983445</v>
      </c>
      <c r="AE48" s="515" t="str">
        <f t="shared" si="1"/>
        <v/>
      </c>
      <c r="AF48" s="515" t="str">
        <f t="shared" si="1"/>
        <v/>
      </c>
      <c r="AG48" s="515">
        <f t="shared" si="1"/>
        <v>7.660417688795321</v>
      </c>
      <c r="AH48" s="515">
        <f t="shared" si="1"/>
        <v>7.660417688795321</v>
      </c>
      <c r="AI48" s="515">
        <f t="shared" si="1"/>
        <v>9.5335903033985332</v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1.8845992644569156E-9</v>
      </c>
      <c r="E49" s="151">
        <f t="shared" si="2"/>
        <v>1.4872938599067291E-6</v>
      </c>
      <c r="F49" s="151">
        <f t="shared" si="2"/>
        <v>5.2401029524115499E-7</v>
      </c>
      <c r="G49" s="151">
        <f t="shared" si="2"/>
        <v>4.5315488926598751E-8</v>
      </c>
      <c r="H49" s="151">
        <f t="shared" si="2"/>
        <v>1.203587562248858E-5</v>
      </c>
      <c r="I49" s="151">
        <f t="shared" si="2"/>
        <v>3.1987876475840894E-7</v>
      </c>
      <c r="J49" s="151">
        <f t="shared" si="2"/>
        <v>2.927450652612708E-5</v>
      </c>
      <c r="K49" s="151">
        <f t="shared" si="2"/>
        <v>7.0019548971618755E-4</v>
      </c>
      <c r="L49" s="151">
        <f t="shared" si="2"/>
        <v>1.0842409824491511E-5</v>
      </c>
      <c r="M49" s="151">
        <f t="shared" si="2"/>
        <v>1.876659165782813E-9</v>
      </c>
      <c r="N49" s="151">
        <f t="shared" si="2"/>
        <v>2.4501446811855402E-7</v>
      </c>
      <c r="O49" s="151">
        <f t="shared" si="2"/>
        <v>5.0831327393809548E-8</v>
      </c>
      <c r="P49" s="151">
        <f t="shared" si="2"/>
        <v>1.4605455814049907E-3</v>
      </c>
      <c r="Q49" s="151">
        <f t="shared" si="2"/>
        <v>1.1675334240452889E-6</v>
      </c>
      <c r="R49" s="151">
        <f t="shared" si="2"/>
        <v>5.1549429071585115E-4</v>
      </c>
      <c r="S49" s="151">
        <f t="shared" si="2"/>
        <v>1.6099568848524271E-5</v>
      </c>
      <c r="T49" s="151">
        <f t="shared" si="2"/>
        <v>7.8621001618774835E-5</v>
      </c>
      <c r="U49" s="151">
        <f t="shared" si="2"/>
        <v>5.9628032772312102E-6</v>
      </c>
      <c r="V49" s="151">
        <f t="shared" si="2"/>
        <v>2.8773331315720272E-10</v>
      </c>
      <c r="W49" s="151">
        <f t="shared" si="2"/>
        <v>7.6194208435162517E-3</v>
      </c>
      <c r="X49" s="151">
        <f t="shared" si="2"/>
        <v>0.22858018351442622</v>
      </c>
      <c r="Y49" s="151">
        <f t="shared" si="2"/>
        <v>5.3784367098911288E-3</v>
      </c>
      <c r="Z49" s="151">
        <f t="shared" si="2"/>
        <v>9.5755375548385318E-6</v>
      </c>
      <c r="AA49" s="151">
        <f t="shared" si="2"/>
        <v>1.2531480944494429E-11</v>
      </c>
      <c r="AB49" s="151">
        <f t="shared" si="2"/>
        <v>6.1037266252823661E-3</v>
      </c>
      <c r="AC49" s="151">
        <f t="shared" si="2"/>
        <v>0.15028032486952747</v>
      </c>
      <c r="AD49" s="151">
        <f t="shared" si="2"/>
        <v>3.5360598789696334E-3</v>
      </c>
      <c r="AE49" s="151">
        <f t="shared" si="2"/>
        <v>6.9311136990388329E-7</v>
      </c>
      <c r="AF49" s="151">
        <f t="shared" si="2"/>
        <v>2.2273048498385631E-11</v>
      </c>
      <c r="AG49" s="151">
        <f t="shared" si="2"/>
        <v>1.7531295073018639E-2</v>
      </c>
      <c r="AH49" s="151">
        <f t="shared" si="2"/>
        <v>0.56483662814111568</v>
      </c>
      <c r="AI49" s="151">
        <f t="shared" si="2"/>
        <v>1.3290469931273934E-2</v>
      </c>
      <c r="AJ49" s="253">
        <f t="shared" si="2"/>
        <v>2.702750747467788E-7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7.0957983453809494E-10</v>
      </c>
      <c r="E50" s="179">
        <f t="shared" si="3"/>
        <v>2.2497534673681908E-3</v>
      </c>
      <c r="F50" s="179">
        <f t="shared" si="3"/>
        <v>2.4019503423146926E-3</v>
      </c>
      <c r="G50" s="179">
        <f t="shared" si="3"/>
        <v>3.9169141411638924E-4</v>
      </c>
      <c r="H50" s="179">
        <f t="shared" si="3"/>
        <v>5.5169861802407958</v>
      </c>
      <c r="I50" s="179">
        <f t="shared" si="3"/>
        <v>0.92164047129649729</v>
      </c>
      <c r="J50" s="179">
        <f t="shared" si="3"/>
        <v>0.82003798155955643</v>
      </c>
      <c r="K50" s="179">
        <f t="shared" si="3"/>
        <v>2.2065624147001532</v>
      </c>
      <c r="L50" s="179">
        <f t="shared" si="3"/>
        <v>0.82003798155955643</v>
      </c>
      <c r="M50" s="179">
        <f t="shared" si="3"/>
        <v>2.253178149751816E-11</v>
      </c>
      <c r="N50" s="179">
        <f t="shared" si="3"/>
        <v>2.4301979726282263E-5</v>
      </c>
      <c r="O50" s="179">
        <f t="shared" si="3"/>
        <v>1.5278032691852204E-5</v>
      </c>
      <c r="P50" s="179">
        <f t="shared" si="3"/>
        <v>1.6998460824842483E-4</v>
      </c>
      <c r="Q50" s="179">
        <f t="shared" si="3"/>
        <v>3.5091772605502343E-2</v>
      </c>
      <c r="R50" s="179">
        <f t="shared" si="3"/>
        <v>0.39996969250052672</v>
      </c>
      <c r="S50" s="179">
        <f t="shared" si="3"/>
        <v>2.9571299496682447E-2</v>
      </c>
      <c r="T50" s="179">
        <f t="shared" si="3"/>
        <v>1.6246030303087512E-2</v>
      </c>
      <c r="U50" s="179">
        <f t="shared" si="3"/>
        <v>2.9571299496682451E-2</v>
      </c>
      <c r="V50" s="179">
        <f t="shared" si="3"/>
        <v>3.2061743132095712E-13</v>
      </c>
      <c r="W50" s="179">
        <f t="shared" si="3"/>
        <v>1.6980440062335468E-4</v>
      </c>
      <c r="X50" s="179">
        <f t="shared" si="3"/>
        <v>1.6980258671966421E-4</v>
      </c>
      <c r="Y50" s="179">
        <f t="shared" si="3"/>
        <v>0.39954140022373164</v>
      </c>
      <c r="Z50" s="179">
        <f t="shared" si="3"/>
        <v>4.2679580207973373E-4</v>
      </c>
      <c r="AA50" s="179">
        <f t="shared" si="3"/>
        <v>2.5486538194335192E-14</v>
      </c>
      <c r="AB50" s="179">
        <f t="shared" si="3"/>
        <v>2.068960862807208E-4</v>
      </c>
      <c r="AC50" s="179">
        <f t="shared" si="3"/>
        <v>1.6980015089858939E-4</v>
      </c>
      <c r="AD50" s="179">
        <f t="shared" si="3"/>
        <v>0.39953566879548325</v>
      </c>
      <c r="AE50" s="179">
        <f t="shared" si="3"/>
        <v>7.0482529081066997E-5</v>
      </c>
      <c r="AF50" s="179">
        <f t="shared" si="3"/>
        <v>1.5099649269247839E-14</v>
      </c>
      <c r="AG50" s="179">
        <f t="shared" si="3"/>
        <v>1.6978650026764792E-4</v>
      </c>
      <c r="AH50" s="179">
        <f t="shared" si="3"/>
        <v>1.8234369625979186E-4</v>
      </c>
      <c r="AI50" s="179">
        <f t="shared" si="3"/>
        <v>0.42905032916750818</v>
      </c>
      <c r="AJ50" s="380">
        <f t="shared" si="3"/>
        <v>1.2215238026927179E-5</v>
      </c>
    </row>
    <row r="51" spans="1:36" ht="12.75" customHeight="1" x14ac:dyDescent="0.2">
      <c r="B51" s="141" t="s">
        <v>703</v>
      </c>
      <c r="C51" s="254"/>
      <c r="D51" s="385">
        <f>D50*8.314*TEMP.R</f>
        <v>1.6813423221396708E-6</v>
      </c>
      <c r="E51" s="385">
        <f>E50*Kaw.R*8.314*TEMP.R</f>
        <v>2.0359240370411098E-20</v>
      </c>
      <c r="F51" s="385">
        <f>F50*Kaw.R*8.314*TEMP.R</f>
        <v>2.1736552509543414E-20</v>
      </c>
      <c r="G51" s="385">
        <f>G50*Kaw.R*8.314*TEMP.R</f>
        <v>3.5446282300213938E-21</v>
      </c>
      <c r="H51" s="385">
        <f>H50*Kaw.R/Ksdw1.R*8.314*TEMP.R</f>
        <v>3.9915416338670481E-20</v>
      </c>
      <c r="I51" s="385">
        <f>I50*Kaw.R/Ksdw2.R*8.314*TEMP.R</f>
        <v>6.6680723722172758E-21</v>
      </c>
      <c r="J51" s="385">
        <f>J50*Kaw.R/Ks1w.R*8.314*TEMP.R</f>
        <v>4.9466530063892211E-21</v>
      </c>
      <c r="K51" s="385">
        <f>K50*Kaw.R/Ks2w.R*8.314*TEMP.R</f>
        <v>1.3310479328900753E-20</v>
      </c>
      <c r="L51" s="385">
        <f>L50*Kaw.R/Ks3w.R*8.314*TEMP.R</f>
        <v>4.9466530063892211E-21</v>
      </c>
      <c r="M51" s="385">
        <f>M50*8.314*TEMP.C</f>
        <v>5.3388830940554313E-8</v>
      </c>
      <c r="N51" s="385">
        <f>N50*Kaw.C*8.314*TEMP.C</f>
        <v>2.1992180650043854E-22</v>
      </c>
      <c r="O51" s="385">
        <f>O50*Kaw.C*8.314*TEMP.C</f>
        <v>1.3825921127450902E-22</v>
      </c>
      <c r="P51" s="385">
        <f>P50*Kaw.C*8.314*TEMP.C</f>
        <v>1.538282993579876E-21</v>
      </c>
      <c r="Q51" s="385">
        <f>Q50*Kaw.C/Ksdw1.C*8.314*TEMP.C</f>
        <v>2.5388911043990362E-22</v>
      </c>
      <c r="R51" s="385">
        <f>R50*Kaw.C/Ksdw2.C*8.314*TEMP.C</f>
        <v>2.8937822712312325E-21</v>
      </c>
      <c r="S51" s="385">
        <f>S50*Kaw.C/Ks1w.C*8.314*TEMP.C</f>
        <v>1.7838071022016016E-22</v>
      </c>
      <c r="T51" s="385">
        <f>T50*Kaw.C/Ks2w.C*8.314*TEMP.C</f>
        <v>9.799969812108235E-23</v>
      </c>
      <c r="U51" s="385">
        <f>U50*Kaw.C/Ks3w.C*8.314*TEMP.C</f>
        <v>1.783807102201602E-22</v>
      </c>
      <c r="V51" s="385">
        <f>V50*8.314*TEMP.M</f>
        <v>7.5969979734069468E-10</v>
      </c>
      <c r="W51" s="385">
        <f>W50*Kaw.M*8.314*TEMP.M</f>
        <v>1.5366521969576681E-21</v>
      </c>
      <c r="X51" s="385">
        <f>X50*Kaw.M*8.314*TEMP.M</f>
        <v>1.5366357819585232E-21</v>
      </c>
      <c r="Y51" s="385">
        <f>Y50*Kaw.M/Ksdw.M*8.314*TEMP.M</f>
        <v>2.8906835749531559E-21</v>
      </c>
      <c r="Z51" s="372">
        <f>Z50*Kaw.M/Kslw.M*8.314*TEMP.M</f>
        <v>2.5745279913216849E-24</v>
      </c>
      <c r="AA51" s="385">
        <f>AA50*8.314*TEMP.A</f>
        <v>5.5728405658045837E-11</v>
      </c>
      <c r="AB51" s="385">
        <f>AB50*Kaw.A*8.314*TEMP.A</f>
        <v>2.714291348027254E-22</v>
      </c>
      <c r="AC51" s="385">
        <f>AC50*Kaw.A*8.314*TEMP.A</f>
        <v>2.2276259003392768E-22</v>
      </c>
      <c r="AD51" s="385">
        <f>AD50*Kaw.A/Ksdw.A*8.314*TEMP.A</f>
        <v>4.1905581510314997E-22</v>
      </c>
      <c r="AE51" s="372">
        <f>AE50*Kaw.A/Kslw.A*8.314*TEMP.A</f>
        <v>6.1636292142341901E-26</v>
      </c>
      <c r="AF51" s="385">
        <f>AF50*8.314*TEMP.T</f>
        <v>3.7410468239308911E-11</v>
      </c>
      <c r="AG51" s="385">
        <f>AG50*Kaw.T*8.314*TEMP.T</f>
        <v>4.2065827904111698E-21</v>
      </c>
      <c r="AH51" s="385">
        <f>AH50*Kaw.T*8.314*TEMP.T</f>
        <v>4.5176963622976504E-21</v>
      </c>
      <c r="AI51" s="385">
        <f>AI50*Kaw.T/Ksdw.T*8.314*TEMP.T</f>
        <v>8.498585562329723E-21</v>
      </c>
      <c r="AJ51" s="386">
        <f>AJ50*Kaw.T/Kslw.T*8.314*TEMP.T</f>
        <v>2.0173398019497412E-25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-2.6042267900016292</v>
      </c>
      <c r="E55" s="370">
        <f t="shared" ref="E55:AJ55" si="4">E9*E$45</f>
        <v>2.3232485030392441E-17</v>
      </c>
      <c r="F55" s="370">
        <f t="shared" si="4"/>
        <v>2.5444469761795462E-16</v>
      </c>
      <c r="G55" s="370">
        <f t="shared" si="4"/>
        <v>6.9231872922778292E-18</v>
      </c>
      <c r="H55" s="389">
        <f t="shared" si="4"/>
        <v>0</v>
      </c>
      <c r="I55" s="389">
        <f t="shared" si="4"/>
        <v>0</v>
      </c>
      <c r="J55" s="370">
        <f t="shared" si="4"/>
        <v>1.7153664729437249E-16</v>
      </c>
      <c r="K55" s="370">
        <f t="shared" si="4"/>
        <v>1.8670235796421942E-15</v>
      </c>
      <c r="L55" s="370">
        <f t="shared" si="4"/>
        <v>6.3532091590508321E-17</v>
      </c>
      <c r="M55" s="370">
        <f t="shared" si="4"/>
        <v>4.8726828896506848E-2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2.7838926970563593E-3</v>
      </c>
      <c r="E56" s="378">
        <f>SUM(D56,F56:AJ56)-SUM(E55,E57:E87)</f>
        <v>5.2086113200289219E-13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2.4921465573137291E-2</v>
      </c>
      <c r="K56" s="376">
        <f t="shared" si="6"/>
        <v>0.27124794962583459</v>
      </c>
      <c r="L56" s="376">
        <f t="shared" si="6"/>
        <v>9.2301724344952922E-3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3.0622819667619955E-2</v>
      </c>
      <c r="E57" s="179">
        <f t="shared" ref="E57:E87" si="7">E11*E$45</f>
        <v>0.3081834803300027</v>
      </c>
      <c r="F57" s="378">
        <f>SUM(D57:E57,G57:AJ57)-SUM(F55:F56,F58:F87)</f>
        <v>-2.6042864638438346</v>
      </c>
      <c r="G57" s="376">
        <f t="shared" ref="G57:AJ57" si="8">G11*G$45</f>
        <v>0</v>
      </c>
      <c r="H57" s="179">
        <f t="shared" si="8"/>
        <v>27.816209533677018</v>
      </c>
      <c r="I57" s="376">
        <f t="shared" si="8"/>
        <v>0</v>
      </c>
      <c r="J57" s="179">
        <f t="shared" si="8"/>
        <v>0.27413612130451026</v>
      </c>
      <c r="K57" s="179">
        <f t="shared" si="8"/>
        <v>2.9837274458841803</v>
      </c>
      <c r="L57" s="179">
        <f t="shared" si="8"/>
        <v>0.10153189677944822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4.8718426688653142E-3</v>
      </c>
      <c r="E58" s="179">
        <f t="shared" si="7"/>
        <v>0</v>
      </c>
      <c r="F58" s="179">
        <f t="shared" ref="F58:F87" si="9">F12*F$45</f>
        <v>3.2903223700343194</v>
      </c>
      <c r="G58" s="378">
        <f>SUM(D58:F58,H58:AJ58)-SUM(G55:G57,G59:G87)</f>
        <v>1.7763568394002505E-14</v>
      </c>
      <c r="H58" s="376">
        <f t="shared" ref="H58:N58" si="10">H12*H$45</f>
        <v>0</v>
      </c>
      <c r="I58" s="179">
        <f t="shared" si="10"/>
        <v>0.26134137627950765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2.0956875515090538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30.828375391452294</v>
      </c>
      <c r="G59" s="376">
        <f t="shared" ref="G59:G87" si="12">G13*G$45</f>
        <v>0</v>
      </c>
      <c r="H59" s="378">
        <f>SUM(D59:G59,I59:AJ59)-SUM(H55:H58,H60:H87)</f>
        <v>3.0121658577752761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0.28662086590198954</v>
      </c>
      <c r="H60" s="376">
        <f t="shared" ref="H60:H87" si="15">H14*H$45</f>
        <v>0</v>
      </c>
      <c r="I60" s="378">
        <f>SUM(D60:H60,J60:AJ60)-SUM(I55:I59,I61:I87)</f>
        <v>2.5279489622481888E-2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0.30066041126434956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1.6028243867018399E-3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0.66813424725410986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-2.5868411482559068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0.11135570787568499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5.936386617414191E-4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1.5345246974704523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5.9422427548749823E-5</v>
      </c>
      <c r="N64" s="179">
        <f>N18*N$45</f>
        <v>3.8272833071137981E-18</v>
      </c>
      <c r="O64" s="179">
        <f>O18*O$45</f>
        <v>2.4682266447236254E-17</v>
      </c>
      <c r="P64" s="179">
        <f t="shared" ref="P64:AJ64" si="25">P18*P$45</f>
        <v>1.1156925422733726E-14</v>
      </c>
      <c r="Q64" s="376">
        <f t="shared" si="25"/>
        <v>0</v>
      </c>
      <c r="R64" s="376">
        <f t="shared" si="25"/>
        <v>0</v>
      </c>
      <c r="S64" s="179">
        <f t="shared" si="25"/>
        <v>9.4336895506540012E-17</v>
      </c>
      <c r="T64" s="179">
        <f t="shared" si="25"/>
        <v>2.0963754556150808E-16</v>
      </c>
      <c r="U64" s="179">
        <f t="shared" si="25"/>
        <v>3.4939590928348148E-17</v>
      </c>
      <c r="V64" s="179">
        <f t="shared" si="25"/>
        <v>3.1894455015475747E-3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1.5310069224513214E-3</v>
      </c>
      <c r="N65" s="378">
        <f>SUM(D65:M65,O65:AJ65)-SUM(N55:N64,N66:N87)</f>
        <v>8.5785545334005064E-14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1.3705605949079408E-2</v>
      </c>
      <c r="T65" s="376">
        <f t="shared" si="27"/>
        <v>3.0456902107818696E-2</v>
      </c>
      <c r="U65" s="376">
        <f t="shared" si="27"/>
        <v>5.0761503515108905E-3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1.6841076146964534E-2</v>
      </c>
      <c r="N66" s="179">
        <f t="shared" ref="N66:N87" si="28">N20*N$45</f>
        <v>5.0769665330774524E-2</v>
      </c>
      <c r="O66" s="378">
        <f>SUM(D66:N66,P66:AJ66)-SUM(O55:O65,O67:O87)</f>
        <v>1.6875389974302379E-14</v>
      </c>
      <c r="P66" s="376">
        <f t="shared" ref="P66:AJ66" si="29">P20*P$45</f>
        <v>0</v>
      </c>
      <c r="Q66" s="179">
        <f t="shared" si="29"/>
        <v>2.7004293258810304</v>
      </c>
      <c r="R66" s="376">
        <f t="shared" si="29"/>
        <v>0</v>
      </c>
      <c r="S66" s="179">
        <f t="shared" si="29"/>
        <v>0.15076166543987346</v>
      </c>
      <c r="T66" s="179">
        <f t="shared" si="29"/>
        <v>0.3350259231860056</v>
      </c>
      <c r="U66" s="179">
        <f t="shared" si="29"/>
        <v>5.5837653866619791E-2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5.3656022745897394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0.65238294539048958</v>
      </c>
      <c r="N67" s="179">
        <f t="shared" si="28"/>
        <v>0</v>
      </c>
      <c r="O67" s="179">
        <f t="shared" ref="O67:O87" si="30">O21*O$45</f>
        <v>0.31917589242291322</v>
      </c>
      <c r="P67" s="378">
        <f>SUM(D67:O67,Q67:AJ67)-SUM(P55:P66,P68:P87)</f>
        <v>5.0022208597511053E-10</v>
      </c>
      <c r="Q67" s="376">
        <f t="shared" ref="Q67:AJ67" si="31">Q21*Q$45</f>
        <v>0</v>
      </c>
      <c r="R67" s="179">
        <f t="shared" si="31"/>
        <v>461.89818221925975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3996.6170985907183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2.9904894174283383</v>
      </c>
      <c r="P68" s="376">
        <f t="shared" ref="P68:P87" si="32">P22*P$45</f>
        <v>0</v>
      </c>
      <c r="Q68" s="378">
        <f>SUM(D68:P68,R68:AJ68)-SUM(Q55:Q67,Q69:Q87)</f>
        <v>0.29006009154730794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461.89818221944068</v>
      </c>
      <c r="Q69" s="376">
        <f t="shared" ref="Q69:Q87" si="34">Q23*Q$45</f>
        <v>0</v>
      </c>
      <c r="R69" s="378">
        <f>SUM(D69:Q69,S69:AJ69)-SUM(R55:R68,R70:R87)</f>
        <v>1.8093260223395191E-10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0.16534874761615317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8.8147622720022301E-4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0.36744166136922923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1.9588360754047018E-3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6.1240276894871527E-2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3.2647267674081049E-4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0.22414217730779631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9.110771026415998E-6</v>
      </c>
      <c r="W73" s="179">
        <f t="shared" ref="W73:AJ73" si="43">W27*W$45</f>
        <v>1.1640760986556532E-13</v>
      </c>
      <c r="X73" s="376">
        <f t="shared" si="43"/>
        <v>0</v>
      </c>
      <c r="Y73" s="376">
        <f t="shared" si="43"/>
        <v>0</v>
      </c>
      <c r="Z73" s="179">
        <f t="shared" si="43"/>
        <v>5.6108737707752566E-17</v>
      </c>
      <c r="AA73" s="179">
        <f t="shared" si="43"/>
        <v>7.4992937508376882E-4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7.6955028394661527E-4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4000.8585721509312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9.8344443719076038E-2</v>
      </c>
      <c r="W74" s="378">
        <f>SUM(D74:V74,X74:AJ74)-SUM(W55:W73,W75:W87)</f>
        <v>2.6193447411060333E-9</v>
      </c>
      <c r="X74" s="376">
        <f t="shared" ref="X74:AJ74" si="45">X28*X$45</f>
        <v>164062.4231394383</v>
      </c>
      <c r="Y74" s="376">
        <f t="shared" si="45"/>
        <v>0</v>
      </c>
      <c r="Z74" s="179">
        <f t="shared" si="45"/>
        <v>9.7820168263145449E-2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25467.97504014719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164064.17572425189</v>
      </c>
      <c r="X75" s="378">
        <f>SUM(D75:W75,Y75:AJ75)-SUM(X55:X74,X76:X87)</f>
        <v>7.834751158952713E-8</v>
      </c>
      <c r="Y75" s="376">
        <f t="shared" ref="Y75:AJ75" si="47">Y29*Y$45</f>
        <v>4817.8516902402916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25470.022634788409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4819.2389018143413</v>
      </c>
      <c r="Y76" s="378">
        <f>SUM(D76:X76,Z76:AJ76)-SUM(Y55:Y75,Y77:Y87)</f>
        <v>1.3872115740496156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9.8344443714039165E-2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5.2427545089366034E-4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9.4340168161767234E-3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3.9679608960022095E-7</v>
      </c>
      <c r="AB78" s="179">
        <f t="shared" ref="AB78:AJ78" si="53">AB32*AB$45</f>
        <v>1.4649444037411762E-14</v>
      </c>
      <c r="AC78" s="376">
        <f t="shared" si="53"/>
        <v>0</v>
      </c>
      <c r="AD78" s="376">
        <f t="shared" si="53"/>
        <v>0</v>
      </c>
      <c r="AE78" s="179">
        <f t="shared" si="53"/>
        <v>6.3802516634459048E-19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25470.6600935032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5.2102143870366149E-3</v>
      </c>
      <c r="AB79" s="378">
        <f>SUM(D79:AA79,AC79:AJ79)-SUM(AB55:AB78,AB80:AB87)</f>
        <v>4.9476511776447296E-10</v>
      </c>
      <c r="AC79" s="376">
        <f t="shared" ref="AC79:AJ79" si="55">AC33*AC$45</f>
        <v>116587.52785183449</v>
      </c>
      <c r="AD79" s="376">
        <f t="shared" si="55"/>
        <v>0</v>
      </c>
      <c r="AE79" s="179">
        <f t="shared" si="55"/>
        <v>3.4599230735187963E-3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142058.19661547468</v>
      </c>
      <c r="AC80" s="378">
        <f>SUM(D80:AB80,AD80:AJ80)-SUM(AC55:AC79,AC81:AC87)</f>
        <v>1.1175870895385742E-8</v>
      </c>
      <c r="AD80" s="376">
        <f t="shared" ref="AD80:AJ80" si="57">AD34*AD$45</f>
        <v>3167.7684583443652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3168.4145871849637</v>
      </c>
      <c r="AD81" s="378">
        <f>SUM(D81:AC81,AE81:AJ81)-SUM(AD55:AD80,AD82:AD87)</f>
        <v>0.64612884059852149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3.4734762579813889E-3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1.3553184462592252E-5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1.6340196445077261E-2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7.0525252256203874E-7</v>
      </c>
      <c r="AG83" s="179">
        <f>AG37*AG$45</f>
        <v>7.0129646570753048E-13</v>
      </c>
      <c r="AH83" s="376">
        <f>AH37*AH$45</f>
        <v>0</v>
      </c>
      <c r="AI83" s="376">
        <f>AI37*AI$45</f>
        <v>0</v>
      </c>
      <c r="AJ83" s="380">
        <f>AJ37*AJ$45</f>
        <v>4.1466882865795499E-18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1.0898958636770345E-2</v>
      </c>
      <c r="AG84" s="378">
        <f>SUM(D84:AF84,AH84:AJ84)-SUM(AG55:AG83,AG85:AG87)</f>
        <v>1.4842953532934189E-8</v>
      </c>
      <c r="AH84" s="376">
        <f>AH38*AH$45</f>
        <v>369821.56477538339</v>
      </c>
      <c r="AI84" s="179">
        <f>AI38*AI$45</f>
        <v>0</v>
      </c>
      <c r="AJ84" s="380">
        <f>AJ38*AJ$45</f>
        <v>4.6435003147732891E-3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25470.388007949634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344353.60527768033</v>
      </c>
      <c r="AH85" s="378">
        <f>SUM(D85:AG85,AI85:AJ85)-SUM(AH55:AH84,AH86:AH87)</f>
        <v>4.7619687393307686E-7</v>
      </c>
      <c r="AI85" s="376">
        <f>AI39*AI$45</f>
        <v>11906.226954825082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11908.655464595462</v>
      </c>
      <c r="AI86" s="378">
        <f>SUM(D86:AH86,AJ86)-SUM(AI55:AI85,AI87)</f>
        <v>2.4285097703796055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4.6709822725390397E-3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2.7481957765746259E-5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7.8128593915320099</v>
      </c>
      <c r="D91" s="179">
        <f t="array" ref="D91:AJ91">D5:AJ5</f>
        <v>2.6042864638440033</v>
      </c>
      <c r="E91" s="179">
        <v>0</v>
      </c>
      <c r="F91" s="179">
        <v>2.6042864638440033</v>
      </c>
      <c r="G91" s="179">
        <v>0</v>
      </c>
      <c r="H91" s="179">
        <v>0</v>
      </c>
      <c r="I91" s="179">
        <v>0</v>
      </c>
      <c r="J91" s="179">
        <v>0</v>
      </c>
      <c r="K91" s="179">
        <v>2.6042864638440033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1451621.0840763224</v>
      </c>
      <c r="D92" s="179">
        <f>SUM($D$55:$AJ$55)</f>
        <v>-2.5554999611051201</v>
      </c>
      <c r="E92" s="179">
        <f>SUM($D$56:$AJ$56)</f>
        <v>0.30818348033104442</v>
      </c>
      <c r="F92" s="179">
        <f>SUM($D$57:$AJ$57)</f>
        <v>28.910124833798946</v>
      </c>
      <c r="G92" s="179">
        <f>SUM($D$58:$AJ$58)</f>
        <v>5.6522231404917642</v>
      </c>
      <c r="H92" s="179">
        <f>SUM($D$59:$AJ$59)</f>
        <v>33.84054124922757</v>
      </c>
      <c r="I92" s="179">
        <f>SUM($D$60:$AJ$60)</f>
        <v>0.31190035552447143</v>
      </c>
      <c r="J92" s="179">
        <f>SUM($D$61:$AJ$61)</f>
        <v>0.3022632356510514</v>
      </c>
      <c r="K92" s="179">
        <f>SUM($D$62:$AJ$62)</f>
        <v>-1.918706901001797</v>
      </c>
      <c r="L92" s="179">
        <f>SUM($D$63:$AJ$63)</f>
        <v>0.11194934653742641</v>
      </c>
      <c r="M92" s="179">
        <f>SUM($D$64:$AJ$64)</f>
        <v>1.5377735653995599</v>
      </c>
      <c r="N92" s="179">
        <f>SUM($D$65:$AJ$65)</f>
        <v>5.0769665330946102E-2</v>
      </c>
      <c r="O92" s="179">
        <f>SUM($D$66:$AJ$66)</f>
        <v>3.3096653098512854</v>
      </c>
      <c r="P92" s="179">
        <f>SUM($D$67:$AJ$67)</f>
        <v>4464.8524419228816</v>
      </c>
      <c r="Q92" s="179">
        <f>SUM($D$68:$AJ$68)</f>
        <v>3.2805495089756462</v>
      </c>
      <c r="R92" s="179">
        <f>SUM($D$69:$AJ$69)</f>
        <v>461.89818221962162</v>
      </c>
      <c r="S92" s="179">
        <f>SUM($D$70:$AJ$70)</f>
        <v>0.1662302238433534</v>
      </c>
      <c r="T92" s="179">
        <f>SUM($D$71:$AJ$71)</f>
        <v>0.36940049744463394</v>
      </c>
      <c r="U92" s="179">
        <f>SUM($D$72:$AJ$72)</f>
        <v>6.1566749571612338E-2</v>
      </c>
      <c r="V92" s="179">
        <f>SUM($D$73:$AJ$73)</f>
        <v>0.2256707677379696</v>
      </c>
      <c r="W92" s="179">
        <f>SUM($D$74:$AJ$74)</f>
        <v>193531.45291635103</v>
      </c>
      <c r="X92" s="179">
        <f>SUM($D$75:$AJ$75)</f>
        <v>194352.05004935895</v>
      </c>
      <c r="Y92" s="179">
        <f>SUM($D$76:$AJ$76)</f>
        <v>4820.6261133883909</v>
      </c>
      <c r="Z92" s="179">
        <f>SUM($D$77:$AJ$77)</f>
        <v>9.8868719164932825E-2</v>
      </c>
      <c r="AA92" s="179">
        <f>SUM($D$78:$AJ$78)</f>
        <v>9.4344136122809733E-3</v>
      </c>
      <c r="AB92" s="179">
        <f>SUM($D$79:$AJ$79)</f>
        <v>142058.19661547564</v>
      </c>
      <c r="AC92" s="179">
        <f>SUM($D$80:$AJ$80)</f>
        <v>145225.96507383022</v>
      </c>
      <c r="AD92" s="179">
        <f>SUM($D$81:$AJ$81)</f>
        <v>3169.0607160255622</v>
      </c>
      <c r="AE92" s="179">
        <f>SUM($D$82:$AJ$82)</f>
        <v>3.4870294424439812E-3</v>
      </c>
      <c r="AF92" s="179">
        <f>SUM($D$83:$AJ$83)</f>
        <v>1.6340901698301123E-2</v>
      </c>
      <c r="AG92" s="179">
        <f>SUM($D$84:$AJ$84)</f>
        <v>369821.58031785721</v>
      </c>
      <c r="AH92" s="179">
        <f>SUM($D$85:$AJ$85)</f>
        <v>381730.22024093126</v>
      </c>
      <c r="AI92" s="179">
        <f>SUM($D$86:$AJ$86)</f>
        <v>11911.083974365842</v>
      </c>
      <c r="AJ92" s="380">
        <f>SUM($D$87:$AJ$87)</f>
        <v>4.6984642303047859E-3</v>
      </c>
    </row>
    <row r="93" spans="2:36" ht="12.75" customHeight="1" x14ac:dyDescent="0.2">
      <c r="B93" s="146" t="s">
        <v>1212</v>
      </c>
      <c r="C93" s="150">
        <f>SUM(D93:AJ93)</f>
        <v>1451621.0840763224</v>
      </c>
      <c r="D93" s="179">
        <f t="shared" ref="D93:AJ93" si="61">SUM(D55:D87)</f>
        <v>4.8726828896509256E-2</v>
      </c>
      <c r="E93" s="179">
        <f t="shared" si="61"/>
        <v>0.30818348033052356</v>
      </c>
      <c r="F93" s="179">
        <f t="shared" si="61"/>
        <v>31.514411297642781</v>
      </c>
      <c r="G93" s="179">
        <f t="shared" si="61"/>
        <v>5.6522231404917465</v>
      </c>
      <c r="H93" s="179">
        <f t="shared" si="61"/>
        <v>30.828375391452294</v>
      </c>
      <c r="I93" s="179">
        <f t="shared" si="61"/>
        <v>0.28662086590198954</v>
      </c>
      <c r="J93" s="179">
        <f t="shared" si="61"/>
        <v>0.30066041126434956</v>
      </c>
      <c r="K93" s="179">
        <f t="shared" si="61"/>
        <v>0.66813424725410986</v>
      </c>
      <c r="L93" s="179">
        <f t="shared" si="61"/>
        <v>0.11135570787568499</v>
      </c>
      <c r="M93" s="179">
        <f t="shared" si="61"/>
        <v>1.5377141429720111</v>
      </c>
      <c r="N93" s="179">
        <f t="shared" si="61"/>
        <v>5.0769665330860317E-2</v>
      </c>
      <c r="O93" s="179">
        <f t="shared" si="61"/>
        <v>3.3096653098512685</v>
      </c>
      <c r="P93" s="179">
        <f t="shared" si="61"/>
        <v>4464.8524419223813</v>
      </c>
      <c r="Q93" s="179">
        <f t="shared" si="61"/>
        <v>2.9904894174283383</v>
      </c>
      <c r="R93" s="179">
        <f t="shared" si="61"/>
        <v>461.89818221944068</v>
      </c>
      <c r="S93" s="179">
        <f t="shared" si="61"/>
        <v>0.16534874761615317</v>
      </c>
      <c r="T93" s="179">
        <f t="shared" si="61"/>
        <v>0.36744166136922923</v>
      </c>
      <c r="U93" s="179">
        <f t="shared" si="61"/>
        <v>6.1240276894871527E-2</v>
      </c>
      <c r="V93" s="179">
        <f t="shared" si="61"/>
        <v>0.22566165696694318</v>
      </c>
      <c r="W93" s="179">
        <f t="shared" si="61"/>
        <v>193531.45291634841</v>
      </c>
      <c r="X93" s="179">
        <f t="shared" si="61"/>
        <v>194352.0500492806</v>
      </c>
      <c r="Y93" s="179">
        <f t="shared" si="61"/>
        <v>4819.2389018143413</v>
      </c>
      <c r="Z93" s="179">
        <f t="shared" si="61"/>
        <v>9.8344443714039165E-2</v>
      </c>
      <c r="AA93" s="179">
        <f t="shared" si="61"/>
        <v>9.4340168161913731E-3</v>
      </c>
      <c r="AB93" s="179">
        <f t="shared" si="61"/>
        <v>142058.19661547517</v>
      </c>
      <c r="AC93" s="179">
        <f t="shared" si="61"/>
        <v>145225.96507381904</v>
      </c>
      <c r="AD93" s="179">
        <f t="shared" si="61"/>
        <v>3168.4145871849637</v>
      </c>
      <c r="AE93" s="179">
        <f t="shared" si="61"/>
        <v>3.4734762579813889E-3</v>
      </c>
      <c r="AF93" s="179">
        <f t="shared" si="61"/>
        <v>1.6340196445778561E-2</v>
      </c>
      <c r="AG93" s="179">
        <f t="shared" si="61"/>
        <v>369821.58031784237</v>
      </c>
      <c r="AH93" s="179">
        <f t="shared" si="61"/>
        <v>381730.22024045506</v>
      </c>
      <c r="AI93" s="179">
        <f t="shared" si="61"/>
        <v>11908.655464595462</v>
      </c>
      <c r="AJ93" s="380">
        <f t="shared" si="61"/>
        <v>4.6709822725390397E-3</v>
      </c>
    </row>
    <row r="94" spans="2:36" ht="12.75" customHeight="1" x14ac:dyDescent="0.2">
      <c r="B94" s="152" t="s">
        <v>1211</v>
      </c>
      <c r="C94" s="150">
        <f>SUM(D94:AJ94)</f>
        <v>7.8128593916029949</v>
      </c>
      <c r="D94" s="179">
        <f>k.aR*D45</f>
        <v>5.9673842374162391E-5</v>
      </c>
      <c r="E94" s="179">
        <f>k.w0R*E45</f>
        <v>5.2079903076755711E-13</v>
      </c>
      <c r="F94" s="179">
        <f>k.w1R*F45</f>
        <v>1.7111542531505486E-13</v>
      </c>
      <c r="G94" s="179">
        <f>k.w2R*G45</f>
        <v>1.551960208700781E-14</v>
      </c>
      <c r="H94" s="179">
        <f>k.sd1R*H45</f>
        <v>3.0121658577752721</v>
      </c>
      <c r="I94" s="179">
        <f>k.sd2R*I45</f>
        <v>2.5279489622481933E-2</v>
      </c>
      <c r="J94" s="179">
        <f>k.s1R*J45</f>
        <v>1.6028243867017425E-3</v>
      </c>
      <c r="K94" s="179">
        <f>k.s2R*K45</f>
        <v>1.7445315588096953E-2</v>
      </c>
      <c r="L94" s="179">
        <f>k.s3R*L45</f>
        <v>5.9363866174138614E-4</v>
      </c>
      <c r="M94" s="179">
        <f>k.aC*M45</f>
        <v>5.9422427547864965E-5</v>
      </c>
      <c r="N94" s="179">
        <f>k.w0C*N45</f>
        <v>8.5795619117377187E-14</v>
      </c>
      <c r="O94" s="179">
        <f>k.w1C*O45</f>
        <v>1.6598956710034865E-14</v>
      </c>
      <c r="P94" s="179">
        <f>k.w2C*P45</f>
        <v>5.002061500441645E-10</v>
      </c>
      <c r="Q94" s="179">
        <f>k.sd1C*Q45</f>
        <v>0.29006009154730783</v>
      </c>
      <c r="R94" s="179">
        <f>k.sd2C*R45</f>
        <v>1.8095985812822848E-10</v>
      </c>
      <c r="S94" s="179">
        <f>k.s1C*S45</f>
        <v>8.8147622720020891E-4</v>
      </c>
      <c r="T94" s="179">
        <f>k.s2C*T45</f>
        <v>1.9588360754048133E-3</v>
      </c>
      <c r="U94" s="179">
        <f>k.s3C*U45</f>
        <v>3.2647267674081802E-4</v>
      </c>
      <c r="V94" s="179">
        <f>k.aM*V45</f>
        <v>9.1107710264793815E-6</v>
      </c>
      <c r="W94" s="179">
        <f>k.w2M*W45</f>
        <v>2.6094914217159952E-9</v>
      </c>
      <c r="X94" s="179">
        <f>k.w3M*X45</f>
        <v>7.8283906389386066E-8</v>
      </c>
      <c r="Y94" s="179">
        <f>k.sdM*Y45</f>
        <v>1.3872115740502622</v>
      </c>
      <c r="Z94" s="179">
        <f>k.sM*Z45</f>
        <v>5.2427545089362261E-4</v>
      </c>
      <c r="AA94" s="179">
        <f>k.aA*AA45</f>
        <v>3.9679608959842926E-7</v>
      </c>
      <c r="AB94" s="179">
        <f>k.w2A*AB45</f>
        <v>4.5494929415128382E-10</v>
      </c>
      <c r="AC94" s="179">
        <f>k.w3A*AC45</f>
        <v>1.1201341724745783E-8</v>
      </c>
      <c r="AD94" s="179">
        <f>k.sdA*AD45</f>
        <v>0.64612884059769837</v>
      </c>
      <c r="AE94" s="179">
        <f>k.sA*AE45</f>
        <v>1.3553184462592672E-5</v>
      </c>
      <c r="AF94" s="179">
        <f>k.aT*AF45</f>
        <v>7.0525252256624966E-7</v>
      </c>
      <c r="AG94" s="179">
        <f>k.w2T*AG45</f>
        <v>1.4783828156268324E-8</v>
      </c>
      <c r="AH94" s="179">
        <f>k.w3T*AH45</f>
        <v>4.7631664472158469E-7</v>
      </c>
      <c r="AI94" s="179">
        <f>k.sdT*AI45</f>
        <v>2.4285097703792671</v>
      </c>
      <c r="AJ94" s="374">
        <f>k.sT*AJ45</f>
        <v>2.7481957765746205E-5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-2.2898349882893854E-16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2452.6860702863269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160.82506801383477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99645.868027094475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26.834060345368435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684268.53880689433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1040774.8625907173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2394939.8858241299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2.6424826652427232E-2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7.3989514620675337E-2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7.3989514620675337E-2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7.3989514620675337E-2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0.13740909857297606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2.107963749141144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0.13822128214180554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81.657465796147918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2.1989886868443831E-2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560.74211514531703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852.89073622584533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1962.5974030086097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9.8813676055283326E-6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1.0253040317020322E-9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9.9999999997313436E-4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9.9999999989040756E-4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9.9999999989040756E-4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9.9999999989040756E-4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9.99999999830163E-4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0.89554653811528195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0.57390410415704873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0.57390410415704873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0.33967391298578903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2.6865745739179658E-11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1.0959261276255461E-10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1.0959261276255461E-10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1.0959261276255461E-10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1.6983692230354563E-10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0.99986668444207449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0.99986668444207449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0.99986668444207449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0.99986668444207449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0.99986668444207449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0.99986668444207449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0.99986668444207449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0.99986668444207449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0.99986668444207449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1.3331555792560991E-4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1.3331555792560991E-4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1.3331555792560991E-4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1.3331555792560991E-4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1.3331555792560991E-4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1.3331555792560991E-4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1.3331555792560991E-4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1.3331555792560991E-4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1.3331555792560991E-4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0.99750480158911303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0.99750480158911303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0.93023131206224252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0.93023131206224252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0.97560838548675621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0.97560838548675621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0.97560838548675621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0.97560838548675621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0.97560838548675621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0.97560838548675621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0.97560838548675621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0.97560838548675621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0.47852746177090577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3.2497789786005535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0.10807139198513067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0.2401586488558459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4.0026441475974311E-2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4.5304723392234408E-3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4.9835195731457838E-2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1.9304960972615743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4.4535869352756716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20.163523587480924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7.086348789973526E-3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1.5747441755496722E-2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2.6245736259161204E-3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2.9706758272792259E-4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3.2677434100071485E-3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5.1987151897085868E-4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6.8064650836311644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71.904336041034824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8.6700000000000021E-10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8.6700000000000021E-10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2.8900000000000009E-10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2.8900000000000009E-10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2.8900000000000009E-10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2.8900000000000009E-10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2.8900000000000009E-10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64704.355540522018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3.663258818281463E-10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3.663258818281463E-10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3.663258818281463E-10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3.663258818281463E-10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3.663258818281463E-10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6.3343050832543649E-13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1.1818649681534741E-10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6.3343050832543649E-13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1.1818649681534741E-10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2.88245236922916E-13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5.3781265768399601E-11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2.88245236922916E-13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5.3781265768399595E-11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6.3343050832543649E-13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1.1818649681534741E-10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6.3343050832543659E-13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1.1818649681534741E-10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2.2622518097823157E-13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5.775186825191467E-11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2.8742283951576204E-9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2.8953682563883001E-9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4.0612619817811774E-21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9.1429324159056462E-10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2.1139861331348332E-12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2.9839343187174201E-12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2.1139861422509831E-12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6.3343050832543659E-13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1.1818649681534741E-10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1.1763709464906098E-12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1.9876600156659107E-10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4.0511283273380411E-21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4.0511283273380411E-21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3.777913061940808E-21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3.777913061940808E-21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8.6232413145018086E-22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3.9622012450842787E-21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3.9622012450842787E-21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3.9622012450842787E-21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9.7560838548675609E-21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8.6232413145018086E-22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3.9622012450842787E-21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9.7560838548675609E-21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1.944E+20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1.944E+20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1.944E+20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1.944E+20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1.944E+20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1.6667159126475929E+21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2.6183532619132853E+20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2.6183532619132853E+20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2.6183532619132853E+20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1E+20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5.9998227197068703E-22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3.8191943560330707E-21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3.8191943560330707E-21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3.8191943560330707E-21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9.9999999999999995E-21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2.0214925174642772E-31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9.8605221309046349E-31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9.8605221309046349E-31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9.8605221309046349E-31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1.6983692230354561E-30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4.0612619817811774E-21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4.0612619817811774E-21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4.0612619817811774E-21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4.0612619817811774E-21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4.0612619817811774E-21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4.0612619817811774E-21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8.8388347648318438E-22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4.0612619817811774E-21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4.0612619817811774E-21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4.0612619817811774E-21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4.0612619817811774E-21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8.8388347648318438E-22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4.0612619817811774E-21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9.9999999999999995E-21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4.0612619817811774E-21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9.9999999999999995E-21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4.0511283273380411E-21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4.0511283273380411E-21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3.777913061940808E-21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3.777913061940808E-21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8.6232413145018086E-22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3.9622012450842787E-21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3.9622012450842787E-21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3.9622012450842787E-21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9.7560838548675609E-21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8.6232413145018086E-22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3.9622012450842787E-21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9.7560838548675609E-21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1.44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1.44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1.44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1.44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1.44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1.44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1000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1000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1000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1000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1000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1000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1000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2500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2500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2500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2500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2500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2500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2500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1000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1000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5000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5000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5000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5000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5000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5000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5000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5000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5000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5000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5000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5000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1500.2000000000003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1500.2000000000003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1500.2000000000003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1500.2000000000003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1500.2000000000003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1500.2000000000003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1250.7999999999997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1250.7999999999997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1250.7999999999997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1250.7999999999997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1250.7999999999997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1250.7999999999997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1250.7999999999997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1500.2000000000003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1500.2000000000003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1500.2000000000003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2.9808504751287115E-2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1.9545733398554426E-3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0.12057321150221618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7.9061055450225914E-3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1.1040186944921152E-2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7.2391605179831196E-4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0.19229140308019588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1.2283987915941765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2.2498094160382922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8.8388347648318441E-23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4.0612619817811774E-22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4.0612619817811774E-22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4.0612619817811774E-22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9.9999999999999991E-22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4.7436730073880193E-3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4.7436730073880193E-3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4.7436730073880193E-3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4.7436730073880193E-3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4.7436730073880193E-3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5.4415788550341428E-6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5.4415788550341428E-6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5.4415788550341428E-6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5.4415788550341428E-6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5.4415788550341428E-6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0.12378321337117491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1.2153555313483511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1.2153555313483511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1.2153555313483511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7.807731481453934E-10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7.8013895230847304E-10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2.8900000000000009E-10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2.61571202752405E-10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2.8893658041603256E-10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2.8891048197056038E-10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2.8893658041603256E-10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5.5617194437939448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0.36468748229063347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22.496746495934172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1.4751340700019715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2.0598960902940529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0.13506943788541978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49.089088014127462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229.19665045081854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380.13997799610547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193281.46248808745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12673.657965053517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2617497.5178571464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704.87705851418218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17974364.992111627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27339072.59193705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62910277.472390689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3.1901504875402409E-15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2.0918134422035233E-16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1.2903924321849077E-14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8.461231675134382E-16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1.1815372176074963E-15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7.747457193346382E-17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9.052245636798193E-15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1.3146506463826549E-13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3.3946848006061131E-13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1.5748854003752802E-13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1.0326680397372737E-14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1.6155395753537915E-12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1.0593253871050196E-13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7.0805805468621095E-11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6.5634915641470213E-11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6.855394173427256E-10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1.767510607271222E-14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4.1304606938833253E-9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2024-07-04T07:36:36Z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