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DE1D8209-78EA-4DCB-83A3-EEBFBA25DC09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9" i="8" l="1"/>
  <c r="I381" i="8"/>
  <c r="I245" i="8"/>
  <c r="I165" i="7"/>
  <c r="I164" i="7"/>
  <c r="K165" i="7"/>
  <c r="I158" i="6"/>
  <c r="I159" i="6"/>
  <c r="C3" i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881" i="22" s="1"/>
  <c r="K52" i="6"/>
  <c r="B497" i="22"/>
  <c r="K60" i="7"/>
  <c r="L60" i="7" s="1"/>
  <c r="L203" i="8"/>
  <c r="K50" i="6" l="1"/>
  <c r="L50" i="6" s="1"/>
  <c r="F12" i="11" s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J14" i="3"/>
  <c r="L14" i="3"/>
  <c r="J35" i="3"/>
  <c r="L35" i="3"/>
  <c r="J37" i="3"/>
  <c r="L37" i="3"/>
  <c r="K43" i="3"/>
  <c r="K19" i="3"/>
  <c r="L19" i="3"/>
  <c r="J39" i="3"/>
  <c r="L39" i="3"/>
  <c r="K36" i="3"/>
  <c r="L36" i="3"/>
  <c r="K63" i="6"/>
  <c r="L63" i="6"/>
  <c r="J22" i="3"/>
  <c r="L22" i="3"/>
  <c r="K25" i="3"/>
  <c r="L25" i="3"/>
  <c r="J66" i="6"/>
  <c r="J17" i="3"/>
  <c r="J20" i="3"/>
  <c r="L20" i="3"/>
  <c r="I43" i="3"/>
  <c r="K17" i="3"/>
  <c r="L17" i="3"/>
  <c r="J43" i="3"/>
  <c r="K18" i="3"/>
  <c r="L18" i="3"/>
  <c r="K67" i="6"/>
  <c r="L67" i="6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K145" i="7"/>
  <c r="L145" i="7"/>
  <c r="K124" i="7"/>
  <c r="L124" i="7"/>
  <c r="T18" i="11"/>
  <c r="K146" i="7"/>
  <c r="L146" i="7"/>
  <c r="K125" i="7"/>
  <c r="L125" i="7"/>
  <c r="U18" i="1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T25" i="11"/>
  <c r="K217" i="7"/>
  <c r="L217" i="7"/>
  <c r="K201" i="7"/>
  <c r="L201" i="7"/>
  <c r="U26" i="11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D45" i="11" a="1"/>
  <c r="E45" i="11"/>
  <c r="E55" i="11"/>
  <c r="F45" i="11"/>
  <c r="F55" i="11"/>
  <c r="G45" i="11"/>
  <c r="G55" i="11"/>
  <c r="H45" i="11"/>
  <c r="H55" i="11"/>
  <c r="I45" i="11"/>
  <c r="I55" i="11"/>
  <c r="J45" i="11"/>
  <c r="J55" i="11"/>
  <c r="K45" i="11"/>
  <c r="K55" i="11"/>
  <c r="L45" i="11"/>
  <c r="L55" i="11"/>
  <c r="M45" i="11"/>
  <c r="M55" i="11"/>
  <c r="N45" i="11"/>
  <c r="N55" i="11"/>
  <c r="O45" i="11"/>
  <c r="O55" i="11"/>
  <c r="P45" i="11"/>
  <c r="P55" i="11"/>
  <c r="Q45" i="11"/>
  <c r="Q55" i="11"/>
  <c r="R45" i="11"/>
  <c r="R55" i="11"/>
  <c r="S45" i="11"/>
  <c r="S55" i="11"/>
  <c r="T45" i="11"/>
  <c r="T55" i="11"/>
  <c r="U45" i="11"/>
  <c r="U55" i="11"/>
  <c r="V45" i="11"/>
  <c r="V55" i="11"/>
  <c r="W45" i="11"/>
  <c r="W55" i="11"/>
  <c r="X45" i="11"/>
  <c r="X55" i="11"/>
  <c r="Y45" i="11"/>
  <c r="Y55" i="11"/>
  <c r="Z45" i="11"/>
  <c r="Z55" i="11"/>
  <c r="AA45" i="11"/>
  <c r="AA55" i="11"/>
  <c r="AB45" i="11"/>
  <c r="AB55" i="11"/>
  <c r="AC45" i="11"/>
  <c r="AC55" i="11"/>
  <c r="AD45" i="11"/>
  <c r="AD55" i="11"/>
  <c r="AE45" i="11"/>
  <c r="AE55" i="11"/>
  <c r="AF45" i="11"/>
  <c r="AF55" i="11"/>
  <c r="AG45" i="11"/>
  <c r="AG55" i="11"/>
  <c r="AH45" i="11"/>
  <c r="AH55" i="11"/>
  <c r="AI45" i="11"/>
  <c r="AI55" i="11"/>
  <c r="AJ45" i="11"/>
  <c r="AJ55" i="11"/>
  <c r="D4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55" i="11"/>
  <c r="D92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AA56" i="11"/>
  <c r="AB56" i="11"/>
  <c r="AC56" i="11"/>
  <c r="AD56" i="11"/>
  <c r="AE56" i="11"/>
  <c r="AF56" i="11"/>
  <c r="AG56" i="11"/>
  <c r="AH56" i="11"/>
  <c r="AI56" i="11"/>
  <c r="AJ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56" i="11"/>
  <c r="E92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AA57" i="11"/>
  <c r="AB57" i="11"/>
  <c r="AC57" i="11"/>
  <c r="AD57" i="11"/>
  <c r="AE57" i="11"/>
  <c r="AF57" i="11"/>
  <c r="AG57" i="11"/>
  <c r="AH57" i="11"/>
  <c r="AI57" i="11"/>
  <c r="AJ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57" i="11"/>
  <c r="F92" i="11"/>
  <c r="H58" i="11"/>
  <c r="I58" i="11"/>
  <c r="J58" i="11"/>
  <c r="K58" i="11"/>
  <c r="L58" i="11"/>
  <c r="M58" i="11"/>
  <c r="N58" i="11"/>
  <c r="P58" i="11"/>
  <c r="Q58" i="11"/>
  <c r="R58" i="11"/>
  <c r="S58" i="11"/>
  <c r="T58" i="11"/>
  <c r="U58" i="11"/>
  <c r="V58" i="11"/>
  <c r="W58" i="11"/>
  <c r="X58" i="11"/>
  <c r="Y58" i="11"/>
  <c r="Z58" i="11"/>
  <c r="AA58" i="11"/>
  <c r="AB58" i="11"/>
  <c r="AC58" i="11"/>
  <c r="AD58" i="11"/>
  <c r="AE58" i="11"/>
  <c r="AF58" i="11"/>
  <c r="AG58" i="11"/>
  <c r="AH58" i="11"/>
  <c r="AI58" i="11"/>
  <c r="AJ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58" i="11"/>
  <c r="G92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AA59" i="11"/>
  <c r="AB59" i="11"/>
  <c r="AC59" i="11"/>
  <c r="AD59" i="11"/>
  <c r="AE59" i="11"/>
  <c r="AF59" i="11"/>
  <c r="AG59" i="11"/>
  <c r="AH59" i="11"/>
  <c r="AI59" i="11"/>
  <c r="AJ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59" i="11"/>
  <c r="H92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AA60" i="11"/>
  <c r="AB60" i="11"/>
  <c r="AC60" i="11"/>
  <c r="AD60" i="11"/>
  <c r="AE60" i="11"/>
  <c r="AF60" i="11"/>
  <c r="AG60" i="11"/>
  <c r="AH60" i="11"/>
  <c r="AI60" i="11"/>
  <c r="AJ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60" i="11"/>
  <c r="I92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AA61" i="11"/>
  <c r="AB61" i="11"/>
  <c r="AC61" i="11"/>
  <c r="AD61" i="11"/>
  <c r="AE61" i="11"/>
  <c r="AF61" i="11"/>
  <c r="AG61" i="11"/>
  <c r="AH61" i="11"/>
  <c r="AI61" i="11"/>
  <c r="A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61" i="11"/>
  <c r="J9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AA62" i="11"/>
  <c r="AB62" i="11"/>
  <c r="AC62" i="11"/>
  <c r="AD62" i="11"/>
  <c r="AE62" i="11"/>
  <c r="AF62" i="11"/>
  <c r="AG62" i="11"/>
  <c r="AH62" i="11"/>
  <c r="AI62" i="11"/>
  <c r="AJ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62" i="11"/>
  <c r="K92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AA63" i="11"/>
  <c r="AB63" i="11"/>
  <c r="AC63" i="11"/>
  <c r="AD63" i="11"/>
  <c r="AE63" i="11"/>
  <c r="AF63" i="11"/>
  <c r="AG63" i="11"/>
  <c r="AH63" i="11"/>
  <c r="AI63" i="11"/>
  <c r="AJ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63" i="11"/>
  <c r="L92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AA64" i="11"/>
  <c r="AB64" i="11"/>
  <c r="AC64" i="11"/>
  <c r="AD64" i="11"/>
  <c r="AE64" i="11"/>
  <c r="AF64" i="11"/>
  <c r="AG64" i="11"/>
  <c r="AH64" i="11"/>
  <c r="AI64" i="11"/>
  <c r="AJ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64" i="11"/>
  <c r="M92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AA65" i="11"/>
  <c r="AB65" i="11"/>
  <c r="AC65" i="11"/>
  <c r="AD65" i="11"/>
  <c r="AE65" i="11"/>
  <c r="AF65" i="11"/>
  <c r="AG65" i="11"/>
  <c r="AH65" i="11"/>
  <c r="AI65" i="11"/>
  <c r="AJ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65" i="11"/>
  <c r="N92" i="11"/>
  <c r="P66" i="11"/>
  <c r="Q66" i="11"/>
  <c r="R66" i="11"/>
  <c r="S66" i="11"/>
  <c r="T66" i="11"/>
  <c r="U66" i="11"/>
  <c r="V66" i="11"/>
  <c r="W66" i="11"/>
  <c r="X66" i="11"/>
  <c r="Y66" i="11"/>
  <c r="Z66" i="11"/>
  <c r="AA66" i="11"/>
  <c r="AB66" i="11"/>
  <c r="AC66" i="11"/>
  <c r="AD66" i="11"/>
  <c r="AE66" i="11"/>
  <c r="AF66" i="11"/>
  <c r="AG66" i="11"/>
  <c r="AH66" i="11"/>
  <c r="AI66" i="11"/>
  <c r="AJ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66" i="11"/>
  <c r="O92" i="11"/>
  <c r="Q67" i="11"/>
  <c r="R67" i="11"/>
  <c r="S67" i="11"/>
  <c r="T67" i="11"/>
  <c r="U67" i="11"/>
  <c r="V67" i="11"/>
  <c r="W67" i="11"/>
  <c r="X67" i="11"/>
  <c r="Y67" i="11"/>
  <c r="Z67" i="11"/>
  <c r="AA67" i="11"/>
  <c r="AB67" i="11"/>
  <c r="AC67" i="11"/>
  <c r="AD67" i="11"/>
  <c r="AE67" i="11"/>
  <c r="AF67" i="11"/>
  <c r="AG67" i="11"/>
  <c r="AH67" i="11"/>
  <c r="AI67" i="11"/>
  <c r="AJ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67" i="11"/>
  <c r="P92" i="11"/>
  <c r="R68" i="11"/>
  <c r="S68" i="11"/>
  <c r="T68" i="11"/>
  <c r="U68" i="11"/>
  <c r="V68" i="11"/>
  <c r="W68" i="11"/>
  <c r="X68" i="11"/>
  <c r="Y68" i="11"/>
  <c r="Z68" i="11"/>
  <c r="AA68" i="11"/>
  <c r="AB68" i="11"/>
  <c r="AC68" i="11"/>
  <c r="AD68" i="11"/>
  <c r="AE68" i="11"/>
  <c r="AF68" i="11"/>
  <c r="AG68" i="11"/>
  <c r="AH68" i="11"/>
  <c r="AI68" i="11"/>
  <c r="AJ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68" i="11"/>
  <c r="Q92" i="11"/>
  <c r="S69" i="11"/>
  <c r="T69" i="11"/>
  <c r="U69" i="11"/>
  <c r="V69" i="11"/>
  <c r="W69" i="11"/>
  <c r="X69" i="11"/>
  <c r="Y69" i="11"/>
  <c r="Z69" i="11"/>
  <c r="AA69" i="11"/>
  <c r="AB69" i="11"/>
  <c r="AC69" i="11"/>
  <c r="AD69" i="11"/>
  <c r="AE69" i="11"/>
  <c r="AF69" i="11"/>
  <c r="AG69" i="11"/>
  <c r="AH69" i="11"/>
  <c r="AI69" i="11"/>
  <c r="AJ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69" i="11"/>
  <c r="R92" i="11"/>
  <c r="T70" i="11"/>
  <c r="U70" i="11"/>
  <c r="V70" i="11"/>
  <c r="W70" i="11"/>
  <c r="X70" i="11"/>
  <c r="Y70" i="11"/>
  <c r="Z70" i="11"/>
  <c r="AA70" i="11"/>
  <c r="AB70" i="11"/>
  <c r="AC70" i="11"/>
  <c r="AD70" i="11"/>
  <c r="AE70" i="11"/>
  <c r="AF70" i="11"/>
  <c r="AG70" i="11"/>
  <c r="AH70" i="11"/>
  <c r="AI70" i="11"/>
  <c r="AJ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70" i="11"/>
  <c r="S92" i="11"/>
  <c r="U71" i="11"/>
  <c r="V71" i="11"/>
  <c r="W71" i="11"/>
  <c r="X71" i="11"/>
  <c r="Y71" i="11"/>
  <c r="Z71" i="11"/>
  <c r="AA71" i="11"/>
  <c r="AB71" i="11"/>
  <c r="AC71" i="11"/>
  <c r="AD71" i="11"/>
  <c r="AE71" i="11"/>
  <c r="AF71" i="11"/>
  <c r="AG71" i="11"/>
  <c r="AH71" i="11"/>
  <c r="AI71" i="11"/>
  <c r="AJ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71" i="11"/>
  <c r="T92" i="11"/>
  <c r="V72" i="11"/>
  <c r="W72" i="11"/>
  <c r="X72" i="11"/>
  <c r="Y72" i="11"/>
  <c r="Z72" i="11"/>
  <c r="AA72" i="11"/>
  <c r="AB72" i="11"/>
  <c r="AC72" i="11"/>
  <c r="AD72" i="11"/>
  <c r="AE72" i="11"/>
  <c r="AF72" i="11"/>
  <c r="AG72" i="11"/>
  <c r="AH72" i="11"/>
  <c r="AI72" i="11"/>
  <c r="AJ72" i="11"/>
  <c r="U73" i="11"/>
  <c r="U74" i="11"/>
  <c r="U75" i="11"/>
  <c r="U76" i="11"/>
  <c r="U77" i="11"/>
  <c r="U78" i="11"/>
  <c r="U79" i="11"/>
  <c r="U80" i="11"/>
  <c r="U81" i="11"/>
  <c r="U82" i="11"/>
  <c r="U83" i="11"/>
  <c r="U84" i="11"/>
  <c r="U85" i="11"/>
  <c r="U86" i="11"/>
  <c r="U87" i="11"/>
  <c r="U72" i="11"/>
  <c r="U92" i="11"/>
  <c r="W73" i="11"/>
  <c r="X73" i="11"/>
  <c r="Y73" i="11"/>
  <c r="Z73" i="11"/>
  <c r="AA73" i="11"/>
  <c r="AB73" i="11"/>
  <c r="AC73" i="11"/>
  <c r="AD73" i="11"/>
  <c r="AE73" i="11"/>
  <c r="AF73" i="11"/>
  <c r="AG73" i="11"/>
  <c r="AH73" i="11"/>
  <c r="AI73" i="11"/>
  <c r="AJ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73" i="11"/>
  <c r="V92" i="11"/>
  <c r="X74" i="11"/>
  <c r="Y74" i="11"/>
  <c r="Z74" i="11"/>
  <c r="AA74" i="11"/>
  <c r="AB74" i="11"/>
  <c r="AC74" i="11"/>
  <c r="AD74" i="11"/>
  <c r="AE74" i="11"/>
  <c r="AF74" i="11"/>
  <c r="AG74" i="11"/>
  <c r="AH74" i="11"/>
  <c r="AI74" i="11"/>
  <c r="AJ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74" i="11"/>
  <c r="W92" i="11"/>
  <c r="Y75" i="11"/>
  <c r="Z75" i="11"/>
  <c r="AA75" i="11"/>
  <c r="AB75" i="11"/>
  <c r="AC75" i="11"/>
  <c r="AD75" i="11"/>
  <c r="AE75" i="11"/>
  <c r="AF75" i="11"/>
  <c r="AG75" i="11"/>
  <c r="AH75" i="11"/>
  <c r="AI75" i="11"/>
  <c r="AJ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75" i="11"/>
  <c r="X92" i="11"/>
  <c r="Z76" i="11"/>
  <c r="AA76" i="11"/>
  <c r="AB76" i="11"/>
  <c r="AC76" i="11"/>
  <c r="AD76" i="11"/>
  <c r="AE76" i="11"/>
  <c r="AF76" i="11"/>
  <c r="AG76" i="11"/>
  <c r="AH76" i="11"/>
  <c r="AI76" i="11"/>
  <c r="AJ76" i="11"/>
  <c r="Y77" i="11"/>
  <c r="Y78" i="11"/>
  <c r="Y79" i="11"/>
  <c r="Y80" i="11"/>
  <c r="Y81" i="11"/>
  <c r="Y82" i="11"/>
  <c r="Y83" i="11"/>
  <c r="Y84" i="11"/>
  <c r="Y85" i="11"/>
  <c r="Y86" i="11"/>
  <c r="Y87" i="11"/>
  <c r="Y76" i="11"/>
  <c r="Y92" i="11"/>
  <c r="AA77" i="11"/>
  <c r="AB77" i="11"/>
  <c r="AC77" i="11"/>
  <c r="AD77" i="11"/>
  <c r="AE77" i="11"/>
  <c r="AF77" i="11"/>
  <c r="AG77" i="11"/>
  <c r="AH77" i="11"/>
  <c r="AI77" i="11"/>
  <c r="AJ77" i="11"/>
  <c r="Z78" i="11"/>
  <c r="Z79" i="11"/>
  <c r="Z80" i="11"/>
  <c r="Z81" i="11"/>
  <c r="Z82" i="11"/>
  <c r="Z83" i="11"/>
  <c r="Z84" i="11"/>
  <c r="Z85" i="11"/>
  <c r="Z86" i="11"/>
  <c r="Z87" i="11"/>
  <c r="Z77" i="11"/>
  <c r="Z92" i="11"/>
  <c r="AB78" i="11"/>
  <c r="AC78" i="11"/>
  <c r="AD78" i="11"/>
  <c r="AE78" i="11"/>
  <c r="AF78" i="11"/>
  <c r="AG78" i="11"/>
  <c r="AH78" i="11"/>
  <c r="AI78" i="11"/>
  <c r="AJ78" i="11"/>
  <c r="AA79" i="11"/>
  <c r="AA80" i="11"/>
  <c r="AA81" i="11"/>
  <c r="AA82" i="11"/>
  <c r="AA83" i="11"/>
  <c r="AA84" i="11"/>
  <c r="AA85" i="11"/>
  <c r="AA86" i="11"/>
  <c r="AA87" i="11"/>
  <c r="AA78" i="11"/>
  <c r="AA92" i="11"/>
  <c r="AC79" i="11"/>
  <c r="AD79" i="11"/>
  <c r="AE79" i="11"/>
  <c r="AF79" i="11"/>
  <c r="AG79" i="11"/>
  <c r="AH79" i="11"/>
  <c r="AI79" i="11"/>
  <c r="AJ79" i="11"/>
  <c r="AB80" i="11"/>
  <c r="AB81" i="11"/>
  <c r="AB82" i="11"/>
  <c r="AB83" i="11"/>
  <c r="AB84" i="11"/>
  <c r="AB85" i="11"/>
  <c r="AB86" i="11"/>
  <c r="AB87" i="11"/>
  <c r="AB79" i="11"/>
  <c r="AB92" i="11"/>
  <c r="AD80" i="11"/>
  <c r="AE80" i="11"/>
  <c r="AF80" i="11"/>
  <c r="AG80" i="11"/>
  <c r="AH80" i="11"/>
  <c r="AI80" i="11"/>
  <c r="AJ80" i="11"/>
  <c r="AC81" i="11"/>
  <c r="AC82" i="11"/>
  <c r="AC83" i="11"/>
  <c r="AC84" i="11"/>
  <c r="AC85" i="11"/>
  <c r="AC86" i="11"/>
  <c r="AC87" i="11"/>
  <c r="AC80" i="11"/>
  <c r="AC92" i="11"/>
  <c r="AE81" i="11"/>
  <c r="AF81" i="11"/>
  <c r="AG81" i="11"/>
  <c r="AH81" i="11"/>
  <c r="AI81" i="11"/>
  <c r="AJ81" i="11"/>
  <c r="AD82" i="11"/>
  <c r="AD83" i="11"/>
  <c r="AD84" i="11"/>
  <c r="AD85" i="11"/>
  <c r="AD86" i="11"/>
  <c r="AD87" i="11"/>
  <c r="AD81" i="11"/>
  <c r="AD92" i="11"/>
  <c r="AF82" i="11"/>
  <c r="AG82" i="11"/>
  <c r="AH82" i="11"/>
  <c r="AI82" i="11"/>
  <c r="AJ82" i="11"/>
  <c r="AE83" i="11"/>
  <c r="AE84" i="11"/>
  <c r="AE85" i="11"/>
  <c r="AE86" i="11"/>
  <c r="AE87" i="11"/>
  <c r="AE82" i="11"/>
  <c r="AE92" i="11"/>
  <c r="AG83" i="11"/>
  <c r="AH83" i="11"/>
  <c r="AI83" i="11"/>
  <c r="AJ83" i="11"/>
  <c r="AF84" i="11"/>
  <c r="AF85" i="11"/>
  <c r="AF86" i="11"/>
  <c r="AF87" i="11"/>
  <c r="AF83" i="11"/>
  <c r="AF92" i="11"/>
  <c r="AH84" i="11"/>
  <c r="AI84" i="11"/>
  <c r="AJ84" i="11"/>
  <c r="AG85" i="11"/>
  <c r="AG86" i="11"/>
  <c r="AG87" i="11"/>
  <c r="AG84" i="11"/>
  <c r="AG92" i="11"/>
  <c r="AI85" i="11"/>
  <c r="AJ85" i="11"/>
  <c r="AH86" i="11"/>
  <c r="AH87" i="11"/>
  <c r="AH85" i="11"/>
  <c r="AH92" i="11"/>
  <c r="AJ86" i="11"/>
  <c r="AI87" i="11"/>
  <c r="AI86" i="11"/>
  <c r="AI92" i="11"/>
  <c r="AJ87" i="11"/>
  <c r="AJ92" i="11"/>
  <c r="C92" i="11"/>
  <c r="D93" i="11"/>
  <c r="E93" i="11"/>
  <c r="F93" i="11"/>
  <c r="G93" i="11"/>
  <c r="H93" i="11"/>
  <c r="I93" i="11"/>
  <c r="J93" i="11"/>
  <c r="K93" i="11"/>
  <c r="L93" i="11"/>
  <c r="M93" i="11"/>
  <c r="N93" i="11"/>
  <c r="O93" i="11"/>
  <c r="P93" i="11"/>
  <c r="Q93" i="11"/>
  <c r="R93" i="11"/>
  <c r="S93" i="11"/>
  <c r="T93" i="11"/>
  <c r="U93" i="11"/>
  <c r="V93" i="11"/>
  <c r="W93" i="11"/>
  <c r="X93" i="11"/>
  <c r="Y93" i="11"/>
  <c r="Z93" i="11"/>
  <c r="AA93" i="11"/>
  <c r="AB93" i="11"/>
  <c r="AC93" i="11"/>
  <c r="AD93" i="11"/>
  <c r="AE93" i="11"/>
  <c r="AF93" i="11"/>
  <c r="AG93" i="11"/>
  <c r="AH93" i="11"/>
  <c r="AI93" i="11"/>
  <c r="AJ93" i="11"/>
  <c r="C93" i="11"/>
  <c r="D94" i="11"/>
  <c r="E94" i="11"/>
  <c r="F94" i="11"/>
  <c r="G94" i="11"/>
  <c r="H94" i="11"/>
  <c r="I94" i="11"/>
  <c r="J94" i="11"/>
  <c r="K94" i="11"/>
  <c r="L94" i="11"/>
  <c r="M94" i="11"/>
  <c r="N94" i="11"/>
  <c r="O94" i="11"/>
  <c r="P94" i="11"/>
  <c r="Q94" i="11"/>
  <c r="R94" i="11"/>
  <c r="S94" i="11"/>
  <c r="T94" i="11"/>
  <c r="U94" i="11"/>
  <c r="V94" i="11"/>
  <c r="W94" i="11"/>
  <c r="X94" i="11"/>
  <c r="Y94" i="11"/>
  <c r="Z94" i="11"/>
  <c r="AA94" i="11"/>
  <c r="AB94" i="11"/>
  <c r="AC94" i="11"/>
  <c r="AD94" i="11"/>
  <c r="AE94" i="11"/>
  <c r="AF94" i="11"/>
  <c r="AG94" i="11"/>
  <c r="AH94" i="11"/>
  <c r="AI94" i="11"/>
  <c r="AJ94" i="11"/>
  <c r="C94" i="11"/>
  <c r="C95" i="11"/>
  <c r="AC12" i="23"/>
  <c r="AD12" i="23"/>
  <c r="AI13" i="23"/>
  <c r="AI14" i="23"/>
  <c r="AI15" i="23"/>
  <c r="AI12" i="23"/>
  <c r="AK18" i="23"/>
  <c r="AK19" i="23"/>
  <c r="AK20" i="23"/>
  <c r="AK12" i="23"/>
  <c r="AE12" i="23"/>
  <c r="AF12" i="23"/>
  <c r="AG12" i="23"/>
  <c r="AH13" i="23"/>
  <c r="AH14" i="23"/>
  <c r="AH15" i="23"/>
  <c r="AH12" i="23"/>
  <c r="AJ18" i="23"/>
  <c r="AJ19" i="23"/>
  <c r="AJ20" i="23"/>
  <c r="AJ12" i="23"/>
  <c r="AO12" i="23"/>
  <c r="L81" i="3"/>
  <c r="AC13" i="23"/>
  <c r="AD13" i="23"/>
  <c r="AL18" i="23"/>
  <c r="AL19" i="23"/>
  <c r="AL20" i="23"/>
  <c r="AL13" i="23"/>
  <c r="AE13" i="23"/>
  <c r="AG13" i="23"/>
  <c r="AO13" i="23"/>
  <c r="AC14" i="23"/>
  <c r="E50" i="11"/>
  <c r="O50" i="11"/>
  <c r="AD14" i="23"/>
  <c r="AL14" i="23"/>
  <c r="AN14" i="23"/>
  <c r="F50" i="11"/>
  <c r="AE14" i="23"/>
  <c r="AG14" i="23"/>
  <c r="AM14" i="23"/>
  <c r="AO14" i="23"/>
  <c r="AC15" i="23"/>
  <c r="AD15" i="23"/>
  <c r="AN15" i="23"/>
  <c r="AE15" i="23"/>
  <c r="AG15" i="23"/>
  <c r="AM15" i="23"/>
  <c r="AO15" i="23"/>
  <c r="AM16" i="23"/>
  <c r="H50" i="11"/>
  <c r="AF16" i="23"/>
  <c r="AG16" i="23"/>
  <c r="AN16" i="23"/>
  <c r="AO16" i="23"/>
  <c r="AM17" i="23"/>
  <c r="I50" i="11"/>
  <c r="AF17" i="23"/>
  <c r="AG17" i="23"/>
  <c r="AN17" i="23"/>
  <c r="AO17" i="23"/>
  <c r="AC18" i="23"/>
  <c r="J50" i="11"/>
  <c r="AF18" i="23"/>
  <c r="AG18" i="23"/>
  <c r="AO18" i="23"/>
  <c r="AC19" i="23"/>
  <c r="K50" i="11"/>
  <c r="AF19" i="23"/>
  <c r="AG19" i="23"/>
  <c r="AO19" i="23"/>
  <c r="AC20" i="23"/>
  <c r="L50" i="11"/>
  <c r="AF20" i="23"/>
  <c r="AG20" i="23"/>
  <c r="AO20" i="23"/>
  <c r="AC22" i="23"/>
  <c r="AD22" i="23"/>
  <c r="AI23" i="23"/>
  <c r="AI24" i="23"/>
  <c r="AI25" i="23"/>
  <c r="AI22" i="23"/>
  <c r="AK28" i="23"/>
  <c r="AK29" i="23"/>
  <c r="AK30" i="23"/>
  <c r="AK22" i="23"/>
  <c r="AE22" i="23"/>
  <c r="AF22" i="23"/>
  <c r="AG22" i="23"/>
  <c r="AH23" i="23"/>
  <c r="AH24" i="23"/>
  <c r="AH25" i="23"/>
  <c r="AH22" i="23"/>
  <c r="AJ28" i="23"/>
  <c r="AJ29" i="23"/>
  <c r="AJ30" i="23"/>
  <c r="AJ22" i="23"/>
  <c r="AO22" i="23"/>
  <c r="L89" i="3"/>
  <c r="AC23" i="23"/>
  <c r="AD23" i="23"/>
  <c r="AL28" i="23"/>
  <c r="AL29" i="23"/>
  <c r="AL30" i="23"/>
  <c r="AL23" i="23"/>
  <c r="AE23" i="23"/>
  <c r="AG23" i="23"/>
  <c r="AO23" i="23"/>
  <c r="AC24" i="23"/>
  <c r="AD24" i="23"/>
  <c r="AL24" i="23"/>
  <c r="AN24" i="23"/>
  <c r="AE24" i="23"/>
  <c r="AG24" i="23"/>
  <c r="AM24" i="23"/>
  <c r="AO24" i="23"/>
  <c r="AC25" i="23"/>
  <c r="AD25" i="23"/>
  <c r="AN25" i="23"/>
  <c r="AE25" i="23"/>
  <c r="AG25" i="23"/>
  <c r="AM25" i="23"/>
  <c r="AO25" i="23"/>
  <c r="AM26" i="23"/>
  <c r="Q50" i="11"/>
  <c r="AF26" i="23"/>
  <c r="AG26" i="23"/>
  <c r="AN26" i="23"/>
  <c r="AO26" i="23"/>
  <c r="AM27" i="23"/>
  <c r="R50" i="11"/>
  <c r="AF27" i="23"/>
  <c r="AG27" i="23"/>
  <c r="AN27" i="23"/>
  <c r="AO27" i="23"/>
  <c r="AC28" i="23"/>
  <c r="S50" i="11"/>
  <c r="AF28" i="23"/>
  <c r="AG28" i="23"/>
  <c r="AO28" i="23"/>
  <c r="AC29" i="23"/>
  <c r="T50" i="11"/>
  <c r="AF29" i="23"/>
  <c r="AG29" i="23"/>
  <c r="AO29" i="23"/>
  <c r="AC30" i="23"/>
  <c r="U50" i="11"/>
  <c r="AF30" i="23"/>
  <c r="AG30" i="23"/>
  <c r="AO30" i="23"/>
  <c r="AC32" i="23"/>
  <c r="AD32" i="23"/>
  <c r="AI33" i="23"/>
  <c r="AI32" i="23"/>
  <c r="AK36" i="23"/>
  <c r="AK32" i="23"/>
  <c r="AE32" i="23"/>
  <c r="AF32" i="23"/>
  <c r="AG32" i="23"/>
  <c r="AH33" i="23"/>
  <c r="AH32" i="23"/>
  <c r="AJ36" i="23"/>
  <c r="AJ32" i="23"/>
  <c r="AO32" i="23"/>
  <c r="AC33" i="23"/>
  <c r="AD33" i="23"/>
  <c r="AL36" i="23"/>
  <c r="AL33" i="23"/>
  <c r="AE33" i="23"/>
  <c r="AG33" i="23"/>
  <c r="AO33" i="23"/>
  <c r="AD34" i="23"/>
  <c r="AN34" i="23"/>
  <c r="AE34" i="23"/>
  <c r="AG34" i="23"/>
  <c r="AM34" i="23"/>
  <c r="AO34" i="23"/>
  <c r="AM35" i="23"/>
  <c r="Y50" i="11"/>
  <c r="AF35" i="23"/>
  <c r="AG35" i="23"/>
  <c r="AN35" i="23"/>
  <c r="AO35" i="23"/>
  <c r="AC36" i="23"/>
  <c r="Z50" i="11"/>
  <c r="AF36" i="23"/>
  <c r="AG36" i="23"/>
  <c r="AO36" i="23"/>
  <c r="AC38" i="23"/>
  <c r="AD38" i="23"/>
  <c r="AI39" i="23"/>
  <c r="AI38" i="23"/>
  <c r="AK42" i="23"/>
  <c r="AK38" i="23"/>
  <c r="AE38" i="23"/>
  <c r="AF38" i="23"/>
  <c r="AG38" i="23"/>
  <c r="AH39" i="23"/>
  <c r="AH38" i="23"/>
  <c r="AJ42" i="23"/>
  <c r="AJ38" i="23"/>
  <c r="AO38" i="23"/>
  <c r="AC39" i="23"/>
  <c r="AD39" i="23"/>
  <c r="AL42" i="23"/>
  <c r="AL39" i="23"/>
  <c r="AE39" i="23"/>
  <c r="AG39" i="23"/>
  <c r="AO39" i="23"/>
  <c r="AD40" i="23"/>
  <c r="AN40" i="23"/>
  <c r="AE40" i="23"/>
  <c r="AG40" i="23"/>
  <c r="AM40" i="23"/>
  <c r="AO40" i="23"/>
  <c r="AM41" i="23"/>
  <c r="AD50" i="11"/>
  <c r="AF41" i="23"/>
  <c r="AG41" i="23"/>
  <c r="AN41" i="23"/>
  <c r="AO41" i="23"/>
  <c r="AC42" i="23"/>
  <c r="AE50" i="11"/>
  <c r="AF42" i="23"/>
  <c r="AG42" i="23"/>
  <c r="AO42" i="23"/>
  <c r="AC44" i="23"/>
  <c r="AD44" i="23"/>
  <c r="AI45" i="23"/>
  <c r="AI44" i="23"/>
  <c r="AK48" i="23"/>
  <c r="AK44" i="23"/>
  <c r="AE44" i="23"/>
  <c r="AF44" i="23"/>
  <c r="AG44" i="23"/>
  <c r="AH45" i="23"/>
  <c r="AH44" i="23"/>
  <c r="AJ48" i="23"/>
  <c r="AJ44" i="23"/>
  <c r="AO44" i="23"/>
  <c r="AC45" i="23"/>
  <c r="AD45" i="23"/>
  <c r="AL48" i="23"/>
  <c r="AL45" i="23"/>
  <c r="AE45" i="23"/>
  <c r="AG45" i="23"/>
  <c r="AO45" i="23"/>
  <c r="AD46" i="23"/>
  <c r="AN46" i="23"/>
  <c r="AE46" i="23"/>
  <c r="AG46" i="23"/>
  <c r="AM46" i="23"/>
  <c r="AO46" i="23"/>
  <c r="AM47" i="23"/>
  <c r="AI50" i="11"/>
  <c r="AF47" i="23"/>
  <c r="AG47" i="23"/>
  <c r="AN47" i="23"/>
  <c r="AO47" i="23"/>
  <c r="AC48" i="23"/>
  <c r="AJ50" i="11"/>
  <c r="AF48" i="23"/>
  <c r="AG48" i="23"/>
  <c r="AO48" i="23"/>
  <c r="AO49" i="23"/>
  <c r="AS93" i="23"/>
  <c r="C23" i="23"/>
  <c r="C24" i="23"/>
  <c r="C11" i="23"/>
  <c r="C15" i="23"/>
  <c r="C19" i="23"/>
  <c r="C27" i="23"/>
  <c r="C35" i="23"/>
  <c r="C39" i="23"/>
  <c r="C43" i="23"/>
  <c r="C47" i="23"/>
  <c r="C51" i="23"/>
  <c r="D24" i="23"/>
  <c r="E15" i="23"/>
  <c r="E17" i="23"/>
  <c r="E11" i="23"/>
  <c r="E19" i="23"/>
  <c r="E23" i="23"/>
  <c r="E27" i="23"/>
  <c r="E35" i="23"/>
  <c r="E39" i="23"/>
  <c r="E43" i="23"/>
  <c r="E47" i="23"/>
  <c r="E51" i="23"/>
  <c r="F17" i="23"/>
  <c r="AS92" i="23"/>
  <c r="N95" i="11"/>
  <c r="D19" i="23"/>
  <c r="AY30" i="23"/>
  <c r="Z95" i="11"/>
  <c r="AF95" i="11"/>
  <c r="K97" i="6"/>
  <c r="L97" i="6"/>
  <c r="C45" i="23"/>
  <c r="D45" i="23"/>
  <c r="E25" i="23"/>
  <c r="F25" i="23"/>
  <c r="K11" i="23"/>
  <c r="K27" i="23"/>
  <c r="K31" i="23"/>
  <c r="K35" i="23"/>
  <c r="K47" i="23"/>
  <c r="K51" i="23"/>
  <c r="G11" i="23"/>
  <c r="G27" i="23"/>
  <c r="G31" i="23"/>
  <c r="G35" i="23"/>
  <c r="G47" i="23"/>
  <c r="G51" i="23"/>
  <c r="I11" i="23"/>
  <c r="I27" i="23"/>
  <c r="I31" i="23"/>
  <c r="I35" i="23"/>
  <c r="I47" i="23"/>
  <c r="I51" i="23"/>
  <c r="L51" i="23"/>
  <c r="L11" i="23"/>
  <c r="BH142" i="23"/>
  <c r="G33" i="23"/>
  <c r="H33" i="23"/>
  <c r="AD51" i="11"/>
  <c r="V35" i="23"/>
  <c r="V37" i="23"/>
  <c r="V36" i="23"/>
  <c r="I12" i="23"/>
  <c r="J12" i="23"/>
  <c r="K13" i="23"/>
  <c r="L13" i="23"/>
  <c r="I51" i="11"/>
  <c r="S35" i="23"/>
  <c r="S36" i="23"/>
  <c r="S37" i="23"/>
  <c r="E37" i="23"/>
  <c r="F37" i="23"/>
  <c r="C21" i="23"/>
  <c r="D21" i="23"/>
  <c r="E21" i="23"/>
  <c r="F21" i="23"/>
  <c r="G13" i="23"/>
  <c r="H13" i="23"/>
  <c r="K102" i="6"/>
  <c r="L102" i="6"/>
  <c r="C49" i="23"/>
  <c r="D49" i="23"/>
  <c r="E16" i="23"/>
  <c r="F16" i="23"/>
  <c r="D50" i="11"/>
  <c r="M11" i="23"/>
  <c r="AZ51" i="23"/>
  <c r="AD95" i="11"/>
  <c r="H51" i="11"/>
  <c r="S23" i="23"/>
  <c r="S25" i="23"/>
  <c r="S24" i="23"/>
  <c r="E24" i="23"/>
  <c r="F24" i="23"/>
  <c r="F51" i="23"/>
  <c r="F11" i="23"/>
  <c r="AY75" i="23"/>
  <c r="AB95" i="11"/>
  <c r="AS28" i="23"/>
  <c r="AH95" i="11"/>
  <c r="C13" i="23"/>
  <c r="D13" i="23"/>
  <c r="K205" i="8"/>
  <c r="L205" i="8"/>
  <c r="I48" i="23"/>
  <c r="J48" i="23"/>
  <c r="D27" i="23"/>
  <c r="AV37" i="23"/>
  <c r="S95" i="11"/>
  <c r="I36" i="23"/>
  <c r="J36" i="23"/>
  <c r="AT138" i="23"/>
  <c r="K28" i="23"/>
  <c r="L28" i="23"/>
  <c r="K98" i="7"/>
  <c r="L98" i="7"/>
  <c r="E41" i="23"/>
  <c r="F41" i="23"/>
  <c r="E13" i="23"/>
  <c r="F13" i="23"/>
  <c r="K97" i="7"/>
  <c r="L97" i="7"/>
  <c r="E40" i="23"/>
  <c r="F40" i="23"/>
  <c r="AG50" i="11"/>
  <c r="AG51" i="11"/>
  <c r="W27" i="23"/>
  <c r="W28" i="23"/>
  <c r="W29" i="23"/>
  <c r="K29" i="23"/>
  <c r="L29" i="23"/>
  <c r="AG95" i="11"/>
  <c r="G32" i="23"/>
  <c r="H32" i="23"/>
  <c r="G37" i="23"/>
  <c r="H37" i="23"/>
  <c r="H51" i="23"/>
  <c r="H11" i="23"/>
  <c r="AV142" i="23"/>
  <c r="AH50" i="11"/>
  <c r="AH51" i="11"/>
  <c r="W31" i="23"/>
  <c r="W32" i="23"/>
  <c r="W33" i="23"/>
  <c r="K70" i="8"/>
  <c r="L70" i="8"/>
  <c r="G49" i="23"/>
  <c r="H49" i="23"/>
  <c r="AC50" i="11"/>
  <c r="AC51" i="11"/>
  <c r="V31" i="23"/>
  <c r="V33" i="23"/>
  <c r="V32" i="23"/>
  <c r="AI51" i="11"/>
  <c r="W35" i="23"/>
  <c r="W36" i="23"/>
  <c r="W37" i="23"/>
  <c r="U51" i="11"/>
  <c r="T47" i="23"/>
  <c r="T48" i="23"/>
  <c r="T49" i="23"/>
  <c r="K342" i="8"/>
  <c r="L342" i="8"/>
  <c r="K49" i="23"/>
  <c r="L49" i="23"/>
  <c r="P50" i="11"/>
  <c r="P51" i="11"/>
  <c r="T27" i="23"/>
  <c r="T29" i="23"/>
  <c r="T28" i="23"/>
  <c r="K36" i="23"/>
  <c r="L36" i="23"/>
  <c r="D51" i="23"/>
  <c r="D23" i="23"/>
  <c r="AY37" i="23"/>
  <c r="AE51" i="11"/>
  <c r="V47" i="23"/>
  <c r="V48" i="23"/>
  <c r="V49" i="23"/>
  <c r="Y51" i="11"/>
  <c r="U35" i="23"/>
  <c r="U36" i="23"/>
  <c r="U37" i="23"/>
  <c r="M50" i="11"/>
  <c r="N11" i="23"/>
  <c r="AZ116" i="23"/>
  <c r="L51" i="11"/>
  <c r="S47" i="23"/>
  <c r="S48" i="23"/>
  <c r="S49" i="23"/>
  <c r="F19" i="23"/>
  <c r="AY94" i="23"/>
  <c r="W50" i="11"/>
  <c r="W51" i="11"/>
  <c r="U27" i="23"/>
  <c r="U29" i="23"/>
  <c r="U28" i="23"/>
  <c r="AX85" i="23"/>
  <c r="AY87" i="23"/>
  <c r="M95" i="11"/>
  <c r="AC95" i="11"/>
  <c r="K103" i="7"/>
  <c r="L103" i="7"/>
  <c r="E45" i="23"/>
  <c r="F45" i="23"/>
  <c r="Y95" i="11"/>
  <c r="C17" i="23"/>
  <c r="D17" i="23"/>
  <c r="F15" i="23"/>
  <c r="BB91" i="23"/>
  <c r="K96" i="6"/>
  <c r="L96" i="6"/>
  <c r="C44" i="23"/>
  <c r="D44" i="23"/>
  <c r="K91" i="6"/>
  <c r="L91" i="6"/>
  <c r="C40" i="23"/>
  <c r="D40" i="23"/>
  <c r="I32" i="23"/>
  <c r="J32" i="23"/>
  <c r="I28" i="23"/>
  <c r="J28" i="23"/>
  <c r="K108" i="7"/>
  <c r="L108" i="7"/>
  <c r="E49" i="23"/>
  <c r="F49" i="23"/>
  <c r="K92" i="6"/>
  <c r="L92" i="6"/>
  <c r="C41" i="23"/>
  <c r="D41" i="23"/>
  <c r="O51" i="11"/>
  <c r="T19" i="23"/>
  <c r="T21" i="23"/>
  <c r="T20" i="23"/>
  <c r="K37" i="23"/>
  <c r="L37" i="23"/>
  <c r="G36" i="23"/>
  <c r="H36" i="23"/>
  <c r="K12" i="23"/>
  <c r="L12" i="23"/>
  <c r="N27" i="23"/>
  <c r="AZ119" i="23"/>
  <c r="N28" i="23"/>
  <c r="N29" i="23"/>
  <c r="V50" i="11"/>
  <c r="V51" i="11"/>
  <c r="U11" i="23"/>
  <c r="U13" i="23"/>
  <c r="Z51" i="11"/>
  <c r="U47" i="23"/>
  <c r="U51" i="23"/>
  <c r="U12" i="23"/>
  <c r="G29" i="23"/>
  <c r="H29" i="23"/>
  <c r="E28" i="23"/>
  <c r="F28" i="23"/>
  <c r="Q51" i="11"/>
  <c r="T23" i="23"/>
  <c r="T24" i="23"/>
  <c r="T25" i="23"/>
  <c r="I95" i="11"/>
  <c r="D15" i="23"/>
  <c r="BB27" i="23"/>
  <c r="C12" i="23"/>
  <c r="D12" i="23"/>
  <c r="C37" i="23"/>
  <c r="D37" i="23"/>
  <c r="I33" i="23"/>
  <c r="J33" i="23"/>
  <c r="J51" i="23"/>
  <c r="J11" i="23"/>
  <c r="BB142" i="23"/>
  <c r="D51" i="11"/>
  <c r="S11" i="23"/>
  <c r="S13" i="23"/>
  <c r="E51" i="11"/>
  <c r="S15" i="23"/>
  <c r="F51" i="11"/>
  <c r="S19" i="23"/>
  <c r="G50" i="11"/>
  <c r="G51" i="11"/>
  <c r="S27" i="23"/>
  <c r="J51" i="11"/>
  <c r="S39" i="23"/>
  <c r="K51" i="11"/>
  <c r="S43" i="23"/>
  <c r="S51" i="23"/>
  <c r="S12" i="23"/>
  <c r="AJ51" i="11"/>
  <c r="W47" i="23"/>
  <c r="W48" i="23"/>
  <c r="W49" i="23"/>
  <c r="N50" i="11"/>
  <c r="N51" i="11"/>
  <c r="T15" i="23"/>
  <c r="T16" i="23"/>
  <c r="T17" i="23"/>
  <c r="I13" i="23"/>
  <c r="J13" i="23"/>
  <c r="AA50" i="11"/>
  <c r="AA51" i="11"/>
  <c r="V11" i="23"/>
  <c r="V12" i="23"/>
  <c r="AB50" i="11"/>
  <c r="AB51" i="11"/>
  <c r="V27" i="23"/>
  <c r="V51" i="23"/>
  <c r="V13" i="23"/>
  <c r="S51" i="11"/>
  <c r="T39" i="23"/>
  <c r="T40" i="23"/>
  <c r="T41" i="23"/>
  <c r="N19" i="23"/>
  <c r="AZ118" i="23"/>
  <c r="N20" i="23"/>
  <c r="N21" i="23"/>
  <c r="G12" i="23"/>
  <c r="H12" i="23"/>
  <c r="N15" i="23"/>
  <c r="AZ117" i="23"/>
  <c r="N16" i="23"/>
  <c r="N17" i="23"/>
  <c r="M19" i="23"/>
  <c r="M20" i="23"/>
  <c r="M21" i="23"/>
  <c r="AZ53" i="23"/>
  <c r="S40" i="23"/>
  <c r="S41" i="23"/>
  <c r="AX25" i="23"/>
  <c r="C25" i="23"/>
  <c r="D25" i="23"/>
  <c r="R51" i="11"/>
  <c r="T35" i="23"/>
  <c r="T37" i="23"/>
  <c r="T36" i="23"/>
  <c r="E20" i="23"/>
  <c r="F20" i="23"/>
  <c r="S16" i="23"/>
  <c r="S17" i="23"/>
  <c r="M51" i="11"/>
  <c r="T11" i="23"/>
  <c r="T51" i="11"/>
  <c r="T43" i="23"/>
  <c r="T51" i="23"/>
  <c r="T12" i="23"/>
  <c r="T13" i="23"/>
  <c r="K341" i="8"/>
  <c r="L341" i="8"/>
  <c r="K48" i="23"/>
  <c r="L48" i="23"/>
  <c r="E12" i="23"/>
  <c r="F12" i="23"/>
  <c r="U48" i="23"/>
  <c r="U49" i="23"/>
  <c r="S45" i="23"/>
  <c r="S44" i="23"/>
  <c r="S20" i="23"/>
  <c r="S21" i="23"/>
  <c r="AF50" i="11"/>
  <c r="AF51" i="11"/>
  <c r="W11" i="23"/>
  <c r="W51" i="23"/>
  <c r="W12" i="23"/>
  <c r="W13" i="23"/>
  <c r="M15" i="23"/>
  <c r="M16" i="23"/>
  <c r="M17" i="23"/>
  <c r="AZ52" i="23"/>
  <c r="E36" i="23"/>
  <c r="F36" i="23"/>
  <c r="C20" i="23"/>
  <c r="D20" i="23"/>
  <c r="C16" i="23"/>
  <c r="D16" i="23"/>
  <c r="V29" i="23"/>
  <c r="V28" i="23"/>
  <c r="X50" i="11"/>
  <c r="X51" i="11"/>
  <c r="U31" i="23"/>
  <c r="U32" i="23"/>
  <c r="U33" i="23"/>
  <c r="S28" i="23"/>
  <c r="S29" i="23"/>
  <c r="K102" i="7"/>
  <c r="L102" i="7"/>
  <c r="E44" i="23"/>
  <c r="F44" i="23"/>
  <c r="F27" i="23"/>
  <c r="AV101" i="23"/>
  <c r="K69" i="8"/>
  <c r="L69" i="8"/>
  <c r="G48" i="23"/>
  <c r="H48" i="23"/>
  <c r="AA95" i="11"/>
  <c r="T44" i="23"/>
  <c r="T45" i="23"/>
  <c r="M27" i="23"/>
  <c r="M28" i="23"/>
  <c r="M29" i="23"/>
  <c r="AZ54" i="23"/>
  <c r="F95" i="11"/>
  <c r="G28" i="23"/>
  <c r="H28" i="23"/>
  <c r="E29" i="23"/>
  <c r="F29" i="23"/>
  <c r="T95" i="11"/>
  <c r="K101" i="6"/>
  <c r="L101" i="6"/>
  <c r="C48" i="23"/>
  <c r="D48" i="23"/>
  <c r="C36" i="23"/>
  <c r="D36" i="23"/>
  <c r="C28" i="23"/>
  <c r="D28" i="23"/>
  <c r="I37" i="23"/>
  <c r="J37" i="23"/>
  <c r="K206" i="8"/>
  <c r="L206" i="8"/>
  <c r="I49" i="23"/>
  <c r="J49" i="23"/>
  <c r="K33" i="23"/>
  <c r="L33" i="23"/>
  <c r="K32" i="23"/>
  <c r="L32" i="23"/>
  <c r="J95" i="11"/>
  <c r="AF49" i="11"/>
  <c r="AF48" i="11"/>
  <c r="G95" i="11"/>
  <c r="J27" i="23"/>
  <c r="BB150" i="23"/>
  <c r="BA173" i="23"/>
  <c r="AT147" i="23"/>
  <c r="AC49" i="11"/>
  <c r="AC46" i="11"/>
  <c r="AC48" i="11"/>
  <c r="J31" i="23"/>
  <c r="BB156" i="23"/>
  <c r="BA174" i="23"/>
  <c r="BH86" i="23"/>
  <c r="AJ95" i="11"/>
  <c r="O31" i="23"/>
  <c r="O32" i="23"/>
  <c r="O33" i="23"/>
  <c r="BF147" i="23"/>
  <c r="L27" i="23"/>
  <c r="BH150" i="23"/>
  <c r="BB173" i="23"/>
  <c r="AU147" i="23"/>
  <c r="D11" i="23"/>
  <c r="AY11" i="23"/>
  <c r="AZ161" i="23"/>
  <c r="E95" i="11"/>
  <c r="U95" i="11"/>
  <c r="AU90" i="23"/>
  <c r="R95" i="11"/>
  <c r="D49" i="11"/>
  <c r="E49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AA49" i="11"/>
  <c r="AB49" i="11"/>
  <c r="AD49" i="11"/>
  <c r="AE49" i="11"/>
  <c r="AG49" i="11"/>
  <c r="AH49" i="11"/>
  <c r="AI49" i="11"/>
  <c r="AJ49" i="11"/>
  <c r="C49" i="11"/>
  <c r="D46" i="11"/>
  <c r="D48" i="11"/>
  <c r="E48" i="11"/>
  <c r="C48" i="11"/>
  <c r="T46" i="11"/>
  <c r="T48" i="11"/>
  <c r="W46" i="11"/>
  <c r="W48" i="11"/>
  <c r="P46" i="11"/>
  <c r="P48" i="11"/>
  <c r="AT149" i="23"/>
  <c r="AU42" i="23"/>
  <c r="Q27" i="23"/>
  <c r="Q28" i="23"/>
  <c r="Q29" i="23"/>
  <c r="D47" i="23"/>
  <c r="BH31" i="23"/>
  <c r="H31" i="23"/>
  <c r="AV156" i="23"/>
  <c r="AZ174" i="23"/>
  <c r="BA23" i="23"/>
  <c r="O11" i="23"/>
  <c r="F39" i="23"/>
  <c r="BD96" i="23"/>
  <c r="F43" i="23"/>
  <c r="BH96" i="23"/>
  <c r="X46" i="11"/>
  <c r="X48" i="11"/>
  <c r="D39" i="23"/>
  <c r="BD31" i="23"/>
  <c r="BA21" i="23"/>
  <c r="X95" i="11"/>
  <c r="Q11" i="23"/>
  <c r="F47" i="23"/>
  <c r="BF96" i="23"/>
  <c r="K107" i="7"/>
  <c r="L107" i="7"/>
  <c r="E48" i="23"/>
  <c r="F48" i="23"/>
  <c r="W95" i="11"/>
  <c r="BF22" i="23"/>
  <c r="BJ146" i="23"/>
  <c r="BF149" i="23"/>
  <c r="BD20" i="23"/>
  <c r="AS73" i="23"/>
  <c r="AU106" i="23"/>
  <c r="AS30" i="23"/>
  <c r="AE95" i="11"/>
  <c r="BF161" i="23"/>
  <c r="F46" i="11"/>
  <c r="G46" i="11"/>
  <c r="H46" i="11"/>
  <c r="I46" i="11"/>
  <c r="J46" i="11"/>
  <c r="K46" i="11"/>
  <c r="L46" i="11"/>
  <c r="M46" i="11"/>
  <c r="O46" i="11"/>
  <c r="Q46" i="11"/>
  <c r="R46" i="11"/>
  <c r="S46" i="11"/>
  <c r="U46" i="11"/>
  <c r="V46" i="11"/>
  <c r="Y46" i="11"/>
  <c r="Z46" i="11"/>
  <c r="AA46" i="11"/>
  <c r="AB46" i="11"/>
  <c r="AD46" i="11"/>
  <c r="AE46" i="11"/>
  <c r="AF46" i="11"/>
  <c r="AG46" i="11"/>
  <c r="AH46" i="11"/>
  <c r="AI46" i="11"/>
  <c r="AJ46" i="11"/>
  <c r="C46" i="11"/>
  <c r="BB172" i="23"/>
  <c r="BF136" i="23"/>
  <c r="AX89" i="23"/>
  <c r="BF86" i="23"/>
  <c r="BH22" i="23"/>
  <c r="BF21" i="23"/>
  <c r="AS94" i="23"/>
  <c r="K95" i="11"/>
  <c r="AE48" i="11"/>
  <c r="P11" i="23"/>
  <c r="BA172" i="23"/>
  <c r="H48" i="11"/>
  <c r="V48" i="11"/>
  <c r="AJ48" i="11"/>
  <c r="AG48" i="11"/>
  <c r="M48" i="11"/>
  <c r="I29" i="23"/>
  <c r="J29" i="23"/>
  <c r="B575" i="22"/>
  <c r="P49" i="23"/>
  <c r="P48" i="23"/>
  <c r="P47" i="23"/>
  <c r="AI95" i="11"/>
  <c r="AZ147" i="23"/>
  <c r="BD86" i="23"/>
  <c r="AZ157" i="23"/>
  <c r="AX146" i="23"/>
  <c r="B571" i="22"/>
  <c r="AT136" i="23"/>
  <c r="BB87" i="23"/>
  <c r="AZ136" i="23"/>
  <c r="K48" i="11"/>
  <c r="AS25" i="23"/>
  <c r="F23" i="23"/>
  <c r="AY101" i="23"/>
  <c r="N49" i="23"/>
  <c r="N48" i="23"/>
  <c r="N47" i="23"/>
  <c r="AZ124" i="23"/>
  <c r="AF49" i="23"/>
  <c r="AZ8" i="23"/>
  <c r="AT161" i="23"/>
  <c r="Q35" i="23"/>
  <c r="Q37" i="23"/>
  <c r="Q36" i="23"/>
  <c r="BH164" i="23"/>
  <c r="N45" i="23"/>
  <c r="N44" i="23"/>
  <c r="N43" i="23"/>
  <c r="AZ123" i="23"/>
  <c r="J35" i="23"/>
  <c r="BB162" i="23"/>
  <c r="BA175" i="23"/>
  <c r="M25" i="23"/>
  <c r="M24" i="23"/>
  <c r="M23" i="23"/>
  <c r="AZ55" i="23"/>
  <c r="AX47" i="23"/>
  <c r="M43" i="23"/>
  <c r="AZ58" i="23"/>
  <c r="M45" i="23"/>
  <c r="M44" i="23"/>
  <c r="Q31" i="23"/>
  <c r="Q32" i="23"/>
  <c r="Q33" i="23"/>
  <c r="D35" i="23"/>
  <c r="AV43" i="23"/>
  <c r="BF157" i="23"/>
  <c r="V95" i="11"/>
  <c r="AB48" i="11"/>
  <c r="BB164" i="23"/>
  <c r="P37" i="23"/>
  <c r="P36" i="23"/>
  <c r="P35" i="23"/>
  <c r="D43" i="23"/>
  <c r="BF31" i="23"/>
  <c r="AZ172" i="23"/>
  <c r="AT157" i="23"/>
  <c r="AZ149" i="23"/>
  <c r="BA85" i="23"/>
  <c r="BD22" i="23"/>
  <c r="Q95" i="11"/>
  <c r="O49" i="23"/>
  <c r="O48" i="23"/>
  <c r="O47" i="23"/>
  <c r="P31" i="23"/>
  <c r="P32" i="23"/>
  <c r="P33" i="23"/>
  <c r="L31" i="23"/>
  <c r="BH156" i="23"/>
  <c r="BB174" i="23"/>
  <c r="BG147" i="23"/>
  <c r="M37" i="23"/>
  <c r="M36" i="23"/>
  <c r="M35" i="23"/>
  <c r="AZ56" i="23"/>
  <c r="AV47" i="23"/>
  <c r="M41" i="23"/>
  <c r="M40" i="23"/>
  <c r="M39" i="23"/>
  <c r="AZ57" i="23"/>
  <c r="AU26" i="23"/>
  <c r="C45" i="11"/>
  <c r="G8" i="20"/>
  <c r="G11" i="20"/>
  <c r="F11" i="20"/>
  <c r="G10" i="20"/>
  <c r="P27" i="23"/>
  <c r="P28" i="23"/>
  <c r="P29" i="23"/>
  <c r="H47" i="23"/>
  <c r="AX155" i="23"/>
  <c r="AZ176" i="23"/>
  <c r="G48" i="11"/>
  <c r="O95" i="11"/>
  <c r="H95" i="11"/>
  <c r="H35" i="23"/>
  <c r="AV162" i="23"/>
  <c r="AZ175" i="23"/>
  <c r="N35" i="23"/>
  <c r="AZ121" i="23"/>
  <c r="AV111" i="23"/>
  <c r="N37" i="23"/>
  <c r="N36" i="23"/>
  <c r="BD146" i="23"/>
  <c r="BD151" i="23"/>
  <c r="Q49" i="23"/>
  <c r="Q48" i="23"/>
  <c r="Q47" i="23"/>
  <c r="H27" i="23"/>
  <c r="AV150" i="23"/>
  <c r="AZ173" i="23"/>
  <c r="AY34" i="23"/>
  <c r="N39" i="23"/>
  <c r="AZ122" i="23"/>
  <c r="N41" i="23"/>
  <c r="N40" i="23"/>
  <c r="L95" i="11"/>
  <c r="M47" i="23"/>
  <c r="AZ59" i="23"/>
  <c r="M49" i="23"/>
  <c r="M48" i="23"/>
  <c r="J47" i="23"/>
  <c r="BD155" i="23"/>
  <c r="BA176" i="23"/>
  <c r="O37" i="23"/>
  <c r="O36" i="23"/>
  <c r="AV164" i="23"/>
  <c r="O35" i="23"/>
  <c r="BA147" i="23"/>
  <c r="O27" i="23"/>
  <c r="O28" i="23"/>
  <c r="O29" i="23"/>
  <c r="L47" i="23"/>
  <c r="BJ155" i="23"/>
  <c r="BB176" i="23"/>
  <c r="AX8" i="23"/>
  <c r="AG49" i="23"/>
  <c r="N23" i="23"/>
  <c r="AZ120" i="23"/>
  <c r="N25" i="23"/>
  <c r="N24" i="23"/>
  <c r="AX111" i="23"/>
  <c r="BD84" i="23"/>
  <c r="AS9" i="23"/>
  <c r="P95" i="11"/>
  <c r="F35" i="23"/>
  <c r="AV107" i="23"/>
  <c r="AY98" i="23"/>
  <c r="BB23" i="23"/>
  <c r="AY23" i="23"/>
  <c r="BA87" i="23"/>
  <c r="L35" i="23"/>
  <c r="BH162" i="23"/>
  <c r="BB175" i="23"/>
  <c r="F48" i="11"/>
  <c r="Z48" i="11"/>
  <c r="AA48" i="11"/>
  <c r="AH48" i="11"/>
  <c r="AU44" i="23"/>
  <c r="AU33" i="23"/>
  <c r="AV152" i="23"/>
  <c r="AU164" i="23"/>
  <c r="BB152" i="23"/>
  <c r="BJ144" i="23"/>
  <c r="AU145" i="23"/>
  <c r="AU108" i="23"/>
  <c r="BF84" i="23"/>
  <c r="AX95" i="23"/>
  <c r="AU21" i="23"/>
  <c r="BB147" i="23"/>
  <c r="AU23" i="23"/>
  <c r="BH147" i="23"/>
  <c r="CX12" i="23"/>
  <c r="AT155" i="23"/>
  <c r="CK12" i="23"/>
  <c r="AS147" i="23"/>
  <c r="AU104" i="23"/>
  <c r="BH20" i="23"/>
  <c r="I48" i="11"/>
  <c r="BW12" i="23"/>
  <c r="CJ12" i="23"/>
  <c r="AS136" i="23"/>
  <c r="AU136" i="23"/>
  <c r="CC12" i="23"/>
  <c r="AS89" i="23"/>
  <c r="O48" i="11"/>
  <c r="BG136" i="23"/>
  <c r="BE136" i="23"/>
  <c r="CT12" i="23"/>
  <c r="AY136" i="23"/>
  <c r="BA136" i="23"/>
  <c r="CO12" i="23"/>
  <c r="CF12" i="23"/>
  <c r="R48" i="11"/>
  <c r="BU12" i="23"/>
  <c r="AS26" i="23"/>
  <c r="BH158" i="23"/>
  <c r="BF153" i="23"/>
  <c r="BE157" i="23"/>
  <c r="BB158" i="23"/>
  <c r="AZ153" i="23"/>
  <c r="AY157" i="23"/>
  <c r="AY32" i="23"/>
  <c r="AU85" i="23"/>
  <c r="BA145" i="23"/>
  <c r="AU87" i="23"/>
  <c r="AX21" i="23"/>
  <c r="AX35" i="23"/>
  <c r="AZ159" i="23"/>
  <c r="BD144" i="23"/>
  <c r="BG164" i="23"/>
  <c r="BF20" i="23"/>
  <c r="AX23" i="23"/>
  <c r="BA27" i="23"/>
  <c r="BY12" i="23"/>
  <c r="BV12" i="23"/>
  <c r="AT159" i="23"/>
  <c r="CM12" i="23"/>
  <c r="Y48" i="11"/>
  <c r="AX144" i="23"/>
  <c r="AV147" i="23"/>
  <c r="CN12" i="23"/>
  <c r="BA164" i="23"/>
  <c r="AD48" i="11"/>
  <c r="CR12" i="23"/>
  <c r="BH84" i="23"/>
  <c r="CH12" i="23"/>
  <c r="CS12" i="23"/>
  <c r="AU97" i="23"/>
  <c r="AS90" i="23"/>
  <c r="CD12" i="23"/>
  <c r="BF159" i="23"/>
  <c r="AI48" i="11"/>
  <c r="CW12" i="23"/>
  <c r="AV158" i="23"/>
  <c r="AS157" i="23"/>
  <c r="AT153" i="23"/>
  <c r="L48" i="11"/>
  <c r="BZ12" i="23"/>
  <c r="CP12" i="23"/>
  <c r="AZ155" i="23"/>
  <c r="AY147" i="23"/>
  <c r="AU10" i="23"/>
  <c r="BR12" i="23"/>
  <c r="AS24" i="23"/>
  <c r="AX87" i="23"/>
  <c r="BA91" i="23"/>
  <c r="AX99" i="23"/>
  <c r="AZ72" i="23"/>
  <c r="CA12" i="23"/>
  <c r="AU74" i="23"/>
  <c r="CG12" i="23"/>
  <c r="S48" i="11"/>
  <c r="BG145" i="23"/>
  <c r="BH152" i="23"/>
  <c r="BE147" i="23"/>
  <c r="BF155" i="23"/>
  <c r="CU12" i="23"/>
  <c r="U48" i="11"/>
  <c r="CI12" i="23"/>
  <c r="Q48" i="11"/>
  <c r="CE12" i="23"/>
  <c r="AX31" i="23"/>
  <c r="BT12" i="23"/>
  <c r="N48" i="11"/>
  <c r="AS88" i="23"/>
  <c r="CB12" i="23"/>
  <c r="J48" i="11"/>
  <c r="BX12" i="23"/>
  <c r="B659" i="22"/>
  <c r="L816" i="18"/>
  <c r="P816" i="18"/>
  <c r="N816" i="18"/>
  <c r="M817" i="18"/>
  <c r="L817" i="18"/>
  <c r="M816" i="18"/>
  <c r="O817" i="18"/>
  <c r="O816" i="18"/>
  <c r="N817" i="18"/>
  <c r="P817" i="18"/>
  <c r="B593" i="22"/>
  <c r="B660" i="22"/>
  <c r="N494" i="18"/>
  <c r="M494" i="18"/>
  <c r="M495" i="18"/>
  <c r="L495" i="18"/>
  <c r="N493" i="18"/>
  <c r="P494" i="18"/>
  <c r="O497" i="18"/>
  <c r="O498" i="18"/>
  <c r="P497" i="18"/>
  <c r="L494" i="18"/>
  <c r="P495" i="18"/>
  <c r="O493" i="18"/>
  <c r="N497" i="18"/>
  <c r="M498" i="18"/>
  <c r="B594" i="22"/>
  <c r="L493" i="18"/>
  <c r="M497" i="18"/>
  <c r="N495" i="18"/>
  <c r="P493" i="18"/>
  <c r="O496" i="18"/>
  <c r="P498" i="18"/>
  <c r="L498" i="18"/>
  <c r="L496" i="18"/>
  <c r="O494" i="18"/>
  <c r="L497" i="18"/>
  <c r="P496" i="18"/>
  <c r="O495" i="18"/>
  <c r="N498" i="18"/>
  <c r="N496" i="18"/>
  <c r="M493" i="18"/>
  <c r="M496" i="18"/>
  <c r="B661" i="22"/>
  <c r="AX72" i="23"/>
  <c r="B589" i="22"/>
  <c r="B663" i="22"/>
  <c r="L681" i="18"/>
  <c r="M680" i="18"/>
  <c r="L680" i="18"/>
  <c r="N680" i="18"/>
  <c r="O680" i="18"/>
  <c r="O681" i="18"/>
  <c r="P681" i="18"/>
  <c r="P680" i="18"/>
  <c r="N681" i="18"/>
  <c r="M681" i="18"/>
  <c r="B595" i="22"/>
  <c r="BA141" i="23"/>
  <c r="B588" i="22"/>
  <c r="AU141" i="23"/>
  <c r="B590" i="22"/>
  <c r="B662" i="22"/>
  <c r="L269" i="18"/>
  <c r="O268" i="18"/>
  <c r="O272" i="18"/>
  <c r="O270" i="18"/>
  <c r="M272" i="18"/>
  <c r="M268" i="18"/>
  <c r="P271" i="18"/>
  <c r="N269" i="18"/>
  <c r="M273" i="18"/>
  <c r="N272" i="18"/>
  <c r="P273" i="18"/>
  <c r="L272" i="18"/>
  <c r="N271" i="18"/>
  <c r="L273" i="18"/>
  <c r="O273" i="18"/>
  <c r="N270" i="18"/>
  <c r="M270" i="18"/>
  <c r="O269" i="18"/>
  <c r="L270" i="18"/>
  <c r="P272" i="18"/>
  <c r="M271" i="18"/>
  <c r="L271" i="18"/>
  <c r="P268" i="18"/>
  <c r="O271" i="18"/>
  <c r="M269" i="18"/>
  <c r="N273" i="18"/>
  <c r="L268" i="18"/>
  <c r="N268" i="18"/>
  <c r="P270" i="18"/>
  <c r="P269" i="18"/>
  <c r="B596" i="22"/>
  <c r="O952" i="18"/>
  <c r="P952" i="18"/>
  <c r="M952" i="18"/>
  <c r="P953" i="18"/>
  <c r="N953" i="18"/>
  <c r="L952" i="18"/>
  <c r="M953" i="18"/>
  <c r="L953" i="18"/>
  <c r="N952" i="18"/>
  <c r="O953" i="18"/>
  <c r="B597" i="22"/>
  <c r="BG141" i="23"/>
  <c r="B592" i="22"/>
  <c r="B591" i="22"/>
  <c r="B210" i="22"/>
  <c r="B14" i="22"/>
  <c r="B323" i="22"/>
  <c r="P13" i="23"/>
  <c r="P12" i="23"/>
  <c r="B388" i="22"/>
  <c r="B550" i="22"/>
  <c r="P827" i="18"/>
  <c r="N827" i="18"/>
  <c r="B371" i="22"/>
  <c r="B370" i="22"/>
  <c r="L828" i="18"/>
  <c r="B407" i="22"/>
  <c r="O827" i="18"/>
  <c r="P828" i="18"/>
  <c r="M827" i="18"/>
  <c r="L827" i="18"/>
  <c r="O828" i="18"/>
  <c r="M828" i="18"/>
  <c r="N828" i="18"/>
  <c r="O13" i="23"/>
  <c r="O12" i="23"/>
  <c r="B379" i="22"/>
  <c r="O692" i="18"/>
  <c r="B420" i="22"/>
  <c r="N691" i="18"/>
  <c r="B552" i="22"/>
  <c r="M691" i="18"/>
  <c r="P691" i="18"/>
  <c r="B390" i="22"/>
  <c r="N692" i="18"/>
  <c r="L691" i="18"/>
  <c r="O691" i="18"/>
  <c r="L692" i="18"/>
  <c r="M692" i="18"/>
  <c r="P692" i="18"/>
  <c r="B378" i="22"/>
  <c r="B211" i="22"/>
  <c r="B324" i="22"/>
  <c r="B15" i="22"/>
  <c r="N12" i="23"/>
  <c r="N13" i="23"/>
  <c r="M512" i="18"/>
  <c r="B374" i="22"/>
  <c r="L513" i="18"/>
  <c r="B372" i="22"/>
  <c r="N513" i="18"/>
  <c r="B377" i="22"/>
  <c r="B411" i="22"/>
  <c r="P513" i="18"/>
  <c r="B373" i="22"/>
  <c r="M513" i="18"/>
  <c r="P512" i="18"/>
  <c r="B389" i="22"/>
  <c r="B375" i="22"/>
  <c r="O513" i="18"/>
  <c r="L512" i="18"/>
  <c r="N512" i="18"/>
  <c r="B376" i="22"/>
  <c r="O512" i="18"/>
  <c r="B551" i="22"/>
  <c r="M826" i="18"/>
  <c r="O826" i="18"/>
  <c r="N826" i="18"/>
  <c r="P826" i="18"/>
  <c r="L826" i="18"/>
  <c r="P690" i="18"/>
  <c r="N690" i="18"/>
  <c r="M690" i="18"/>
  <c r="L690" i="18"/>
  <c r="O690" i="18"/>
  <c r="B212" i="22"/>
  <c r="B16" i="22"/>
  <c r="B325" i="22"/>
  <c r="BF91" i="23"/>
  <c r="AX164" i="23"/>
  <c r="B681" i="22"/>
  <c r="B755" i="22"/>
  <c r="B475" i="22"/>
  <c r="B825" i="22"/>
  <c r="B836" i="22"/>
  <c r="C29" i="23"/>
  <c r="D29" i="23"/>
  <c r="B5" i="22"/>
  <c r="B7" i="22"/>
  <c r="B2" i="22"/>
  <c r="B8" i="22"/>
  <c r="B6" i="22"/>
  <c r="B834" i="22"/>
  <c r="B313" i="22"/>
  <c r="B318" i="22"/>
  <c r="BH111" i="23"/>
  <c r="B446" i="22"/>
  <c r="B750" i="22"/>
  <c r="B676" i="22"/>
  <c r="B18" i="22"/>
  <c r="B214" i="22"/>
  <c r="B327" i="22"/>
  <c r="B213" i="22"/>
  <c r="B326" i="22"/>
  <c r="B17" i="22"/>
  <c r="M12" i="23"/>
  <c r="M13" i="23"/>
  <c r="N287" i="18"/>
  <c r="B381" i="22"/>
  <c r="O287" i="18"/>
  <c r="B385" i="22"/>
  <c r="B391" i="22"/>
  <c r="N288" i="18"/>
  <c r="L288" i="18"/>
  <c r="L287" i="18"/>
  <c r="B384" i="22"/>
  <c r="B383" i="22"/>
  <c r="M288" i="18"/>
  <c r="B426" i="22"/>
  <c r="P287" i="18"/>
  <c r="B382" i="22"/>
  <c r="M287" i="18"/>
  <c r="B380" i="22"/>
  <c r="P288" i="18"/>
  <c r="O288" i="18"/>
  <c r="B553" i="22"/>
  <c r="BD111" i="23"/>
  <c r="B440" i="22"/>
  <c r="B748" i="22"/>
  <c r="B674" i="22"/>
  <c r="B826" i="22"/>
  <c r="BH91" i="23"/>
  <c r="B315" i="22"/>
  <c r="B320" i="22"/>
  <c r="B319" i="22"/>
  <c r="B314" i="22"/>
  <c r="BJ164" i="23"/>
  <c r="B478" i="22"/>
  <c r="B682" i="22"/>
  <c r="B756" i="22"/>
  <c r="B827" i="22"/>
  <c r="Q12" i="23"/>
  <c r="Q13" i="23"/>
  <c r="N964" i="18"/>
  <c r="L963" i="18"/>
  <c r="B434" i="22"/>
  <c r="L964" i="18"/>
  <c r="B387" i="22"/>
  <c r="M964" i="18"/>
  <c r="P963" i="18"/>
  <c r="O964" i="18"/>
  <c r="P964" i="18"/>
  <c r="N963" i="18"/>
  <c r="M963" i="18"/>
  <c r="O963" i="18"/>
  <c r="B392" i="22"/>
  <c r="B554" i="22"/>
  <c r="B386" i="22"/>
  <c r="BD164" i="23"/>
  <c r="B680" i="22"/>
  <c r="B754" i="22"/>
  <c r="B458" i="22"/>
  <c r="P962" i="18"/>
  <c r="M962" i="18"/>
  <c r="O962" i="18"/>
  <c r="L962" i="18"/>
  <c r="N962" i="18"/>
  <c r="L286" i="18"/>
  <c r="M286" i="18"/>
  <c r="P286" i="18"/>
  <c r="N286" i="18"/>
  <c r="O286" i="18"/>
  <c r="P511" i="18"/>
  <c r="N511" i="18"/>
  <c r="L511" i="18"/>
  <c r="M511" i="18"/>
  <c r="O511" i="18"/>
  <c r="B829" i="22"/>
  <c r="B831" i="22"/>
  <c r="B835" i="22"/>
  <c r="B3" i="22"/>
  <c r="B4" i="22"/>
  <c r="B832" i="22"/>
  <c r="B483" i="22"/>
  <c r="B572" i="22"/>
  <c r="B576" i="22"/>
  <c r="B513" i="22"/>
  <c r="B507" i="22"/>
  <c r="B502" i="22"/>
  <c r="B530" i="22"/>
  <c r="B581" i="22"/>
  <c r="B525" i="22"/>
  <c r="B493" i="22"/>
  <c r="B498" i="22"/>
  <c r="B479" i="22"/>
  <c r="B578" i="22"/>
  <c r="B573" i="22"/>
  <c r="B580" i="22"/>
  <c r="B521" i="22"/>
  <c r="B579" i="22"/>
  <c r="B517" i="22"/>
  <c r="B577" i="22"/>
  <c r="B582" i="22"/>
  <c r="B574" i="22"/>
  <c r="B487" i="22"/>
  <c r="B820" i="22"/>
  <c r="B824" i="22"/>
  <c r="B822" i="22"/>
  <c r="B833" i="22"/>
  <c r="B830" i="22"/>
  <c r="B828" i="22"/>
  <c r="BF111" i="23"/>
  <c r="B678" i="22"/>
  <c r="B752" i="22"/>
  <c r="B452" i="22"/>
  <c r="B819" i="22"/>
  <c r="B823" i="22"/>
  <c r="B821" i="22"/>
  <c r="BF27" i="23"/>
  <c r="B205" i="22"/>
  <c r="B202" i="22"/>
  <c r="BF47" i="23"/>
  <c r="B679" i="22"/>
  <c r="B753" i="22"/>
  <c r="B455" i="22"/>
  <c r="B321" i="22"/>
  <c r="B316" i="22"/>
  <c r="BH47" i="23"/>
  <c r="B449" i="22"/>
  <c r="B677" i="22"/>
  <c r="B751" i="22"/>
  <c r="B317" i="22"/>
  <c r="B322" i="22"/>
  <c r="B203" i="22"/>
  <c r="B657" i="22"/>
  <c r="B542" i="22"/>
  <c r="B347" i="22"/>
  <c r="B356" i="22"/>
  <c r="B342" i="22"/>
  <c r="B349" i="22"/>
  <c r="B353" i="22"/>
  <c r="B340" i="22"/>
  <c r="B645" i="22"/>
  <c r="B647" i="22"/>
  <c r="B643" i="22"/>
  <c r="B541" i="22"/>
  <c r="B351" i="22"/>
  <c r="B344" i="22"/>
  <c r="B540" i="22"/>
  <c r="B355" i="22"/>
  <c r="B346" i="22"/>
  <c r="B656" i="22"/>
  <c r="B348" i="22"/>
  <c r="B357" i="22"/>
  <c r="B544" i="22"/>
  <c r="B658" i="22"/>
  <c r="D95" i="11"/>
  <c r="BH27" i="23"/>
  <c r="BD47" i="23"/>
  <c r="B675" i="22"/>
  <c r="B749" i="22"/>
  <c r="B443" i="22"/>
  <c r="B649" i="22"/>
  <c r="BJ151" i="23"/>
  <c r="B692" i="22"/>
  <c r="B650" i="22"/>
  <c r="BD91" i="23"/>
  <c r="B689" i="22"/>
  <c r="B655" i="22"/>
  <c r="B688" i="22"/>
  <c r="B359" i="22"/>
  <c r="V15" i="20"/>
  <c r="I15" i="20"/>
  <c r="M15" i="20"/>
  <c r="B654" i="22"/>
  <c r="B652" i="22"/>
  <c r="B204" i="22"/>
  <c r="B201" i="22"/>
  <c r="B651" i="22"/>
  <c r="B207" i="22"/>
  <c r="AX151" i="23"/>
  <c r="B690" i="22"/>
  <c r="B758" i="22"/>
  <c r="N232" i="18"/>
  <c r="O232" i="18"/>
  <c r="M232" i="18"/>
  <c r="B361" i="22"/>
  <c r="P232" i="18"/>
  <c r="L232" i="18"/>
  <c r="Y15" i="20"/>
  <c r="W15" i="20"/>
  <c r="AU40" i="23"/>
  <c r="B547" i="22"/>
  <c r="B548" i="22"/>
  <c r="B545" i="22"/>
  <c r="B549" i="22"/>
  <c r="B546" i="22"/>
  <c r="AY96" i="23"/>
  <c r="B759" i="22"/>
  <c r="O463" i="18"/>
  <c r="L463" i="18"/>
  <c r="N463" i="18"/>
  <c r="B363" i="22"/>
  <c r="M463" i="18"/>
  <c r="P463" i="18"/>
  <c r="B644" i="22"/>
  <c r="B345" i="22"/>
  <c r="B648" i="22"/>
  <c r="B350" i="22"/>
  <c r="B352" i="22"/>
  <c r="B343" i="22"/>
  <c r="B543" i="22"/>
  <c r="B341" i="22"/>
  <c r="B354" i="22"/>
  <c r="B646" i="22"/>
  <c r="B206" i="22"/>
  <c r="B362" i="22"/>
  <c r="P793" i="18"/>
  <c r="N793" i="18"/>
  <c r="M793" i="18"/>
  <c r="O793" i="18"/>
  <c r="L793" i="18"/>
  <c r="B763" i="22"/>
  <c r="B369" i="22"/>
  <c r="O930" i="18"/>
  <c r="L930" i="18"/>
  <c r="P930" i="18"/>
  <c r="M930" i="18"/>
  <c r="N930" i="18"/>
  <c r="B761" i="22"/>
  <c r="M794" i="18"/>
  <c r="L794" i="18"/>
  <c r="P794" i="18"/>
  <c r="O794" i="18"/>
  <c r="B367" i="22"/>
  <c r="N794" i="18"/>
  <c r="N657" i="18"/>
  <c r="L657" i="18"/>
  <c r="M657" i="18"/>
  <c r="P657" i="18"/>
  <c r="O657" i="18"/>
  <c r="B364" i="22"/>
  <c r="N929" i="18"/>
  <c r="M929" i="18"/>
  <c r="L929" i="18"/>
  <c r="B366" i="22"/>
  <c r="O929" i="18"/>
  <c r="P929" i="18"/>
  <c r="B562" i="22"/>
  <c r="B465" i="22"/>
  <c r="B565" i="22"/>
  <c r="B563" i="22"/>
  <c r="B568" i="22"/>
  <c r="B566" i="22"/>
  <c r="B463" i="22"/>
  <c r="B469" i="22"/>
  <c r="B459" i="22"/>
  <c r="B461" i="22"/>
  <c r="B467" i="22"/>
  <c r="B564" i="22"/>
  <c r="B567" i="22"/>
  <c r="B471" i="22"/>
  <c r="B757" i="22"/>
  <c r="M457" i="18"/>
  <c r="P457" i="18"/>
  <c r="O457" i="18"/>
  <c r="N457" i="18"/>
  <c r="L457" i="18"/>
  <c r="B360" i="22"/>
  <c r="B653" i="22"/>
  <c r="B760" i="22"/>
  <c r="N238" i="18"/>
  <c r="M238" i="18"/>
  <c r="B365" i="22"/>
  <c r="P238" i="18"/>
  <c r="L238" i="18"/>
  <c r="O238" i="18"/>
  <c r="O451" i="18"/>
  <c r="L451" i="18"/>
  <c r="B358" i="22"/>
  <c r="N451" i="18"/>
  <c r="P451" i="18"/>
  <c r="M451" i="18"/>
  <c r="B762" i="22"/>
  <c r="N658" i="18"/>
  <c r="L658" i="18"/>
  <c r="O658" i="18"/>
  <c r="P658" i="18"/>
  <c r="B368" i="22"/>
  <c r="M658" i="18"/>
  <c r="O226" i="18"/>
  <c r="M226" i="18"/>
  <c r="P226" i="18"/>
  <c r="N226" i="18"/>
  <c r="L226" i="18"/>
  <c r="BD27" i="23"/>
  <c r="B691" i="22"/>
  <c r="P15" i="20"/>
  <c r="AH15" i="20"/>
  <c r="AM15" i="20"/>
  <c r="Z15" i="20"/>
  <c r="S15" i="20"/>
  <c r="J15" i="20"/>
  <c r="X15" i="20"/>
  <c r="AS75" i="23"/>
  <c r="O15" i="20"/>
  <c r="R15" i="20"/>
  <c r="AD15" i="20"/>
  <c r="AC15" i="20"/>
  <c r="K74" i="3"/>
  <c r="K75" i="3"/>
  <c r="AJ15" i="20"/>
  <c r="G15" i="20"/>
  <c r="B620" i="22"/>
  <c r="B635" i="22"/>
  <c r="B636" i="22"/>
  <c r="B638" i="22"/>
  <c r="B639" i="22"/>
  <c r="B642" i="22"/>
  <c r="B641" i="22"/>
  <c r="B637" i="22"/>
  <c r="B640" i="22"/>
  <c r="B629" i="22"/>
  <c r="B621" i="22"/>
  <c r="B616" i="22"/>
  <c r="B630" i="22"/>
  <c r="B615" i="22"/>
  <c r="B623" i="22"/>
  <c r="B622" i="22"/>
  <c r="B618" i="22"/>
  <c r="B617" i="22"/>
  <c r="B619" i="22"/>
  <c r="B624" i="22"/>
  <c r="B627" i="22"/>
  <c r="B625" i="22"/>
  <c r="B626" i="22"/>
  <c r="B628" i="22"/>
  <c r="B632" i="22"/>
  <c r="B631" i="22"/>
  <c r="B633" i="22"/>
  <c r="B634" i="22"/>
  <c r="B456" i="22"/>
  <c r="B450" i="22"/>
  <c r="B473" i="22"/>
  <c r="B476" i="22"/>
  <c r="B444" i="22"/>
  <c r="B438" i="22"/>
  <c r="B441" i="22"/>
  <c r="B447" i="22"/>
  <c r="B453" i="22"/>
  <c r="B569" i="22"/>
  <c r="B570" i="22"/>
  <c r="B557" i="22"/>
  <c r="B560" i="22"/>
  <c r="B556" i="22"/>
  <c r="B558" i="22"/>
  <c r="B561" i="22"/>
  <c r="B555" i="22"/>
  <c r="B559" i="22"/>
  <c r="AI15" i="20"/>
  <c r="AE15" i="20"/>
  <c r="N15" i="20"/>
  <c r="AC49" i="23"/>
  <c r="AS11" i="23"/>
  <c r="BJ34" i="23"/>
  <c r="I23" i="16"/>
  <c r="I27" i="16"/>
  <c r="AS29" i="23"/>
  <c r="BJ98" i="23"/>
  <c r="I20" i="16"/>
  <c r="AX161" i="23"/>
  <c r="I31" i="16"/>
  <c r="I12" i="16"/>
  <c r="I13" i="16"/>
  <c r="I18" i="16"/>
  <c r="I10" i="16"/>
  <c r="BJ100" i="23"/>
  <c r="I19" i="16"/>
  <c r="BJ35" i="23"/>
  <c r="I11" i="16"/>
  <c r="BJ36" i="23"/>
  <c r="BJ99" i="23"/>
  <c r="I21" i="16"/>
  <c r="BJ161" i="23"/>
  <c r="I33" i="16"/>
  <c r="AZ138" i="23"/>
  <c r="BF138" i="23"/>
  <c r="I32" i="16"/>
  <c r="B605" i="22"/>
  <c r="B608" i="22"/>
  <c r="B606" i="22"/>
  <c r="B603" i="22"/>
  <c r="B610" i="22"/>
  <c r="B604" i="22"/>
  <c r="I7" i="16"/>
  <c r="L63" i="3"/>
  <c r="L54" i="3"/>
  <c r="L53" i="3"/>
  <c r="K49" i="3"/>
  <c r="L51" i="3"/>
  <c r="K61" i="3"/>
  <c r="K44" i="3"/>
  <c r="K63" i="3"/>
  <c r="L61" i="3"/>
  <c r="K47" i="3"/>
  <c r="L64" i="3"/>
  <c r="K55" i="3"/>
  <c r="K62" i="3"/>
  <c r="K56" i="3"/>
  <c r="K58" i="3"/>
  <c r="K64" i="3"/>
  <c r="K59" i="3"/>
  <c r="K51" i="3"/>
  <c r="K42" i="3"/>
  <c r="L52" i="3"/>
  <c r="K46" i="3"/>
  <c r="L62" i="3"/>
  <c r="L48" i="3"/>
  <c r="K54" i="3"/>
  <c r="K53" i="3"/>
  <c r="K52" i="3"/>
  <c r="L60" i="3"/>
  <c r="L42" i="3"/>
  <c r="L46" i="3"/>
  <c r="K50" i="3"/>
  <c r="K60" i="3"/>
  <c r="L59" i="3"/>
  <c r="L57" i="3"/>
  <c r="L50" i="3"/>
  <c r="L55" i="3"/>
  <c r="L58" i="3"/>
  <c r="K57" i="3"/>
  <c r="K48" i="3"/>
  <c r="L47" i="3"/>
  <c r="L56" i="3"/>
  <c r="I25" i="16"/>
  <c r="I24" i="16"/>
  <c r="I17" i="16"/>
  <c r="BD161" i="23"/>
  <c r="I29" i="16"/>
  <c r="I28" i="16"/>
  <c r="I16" i="16"/>
  <c r="I15" i="16"/>
  <c r="A6" i="2"/>
  <c r="I6" i="2"/>
  <c r="J6" i="2"/>
  <c r="N6" i="2"/>
  <c r="E6" i="2"/>
  <c r="BQ12" i="23"/>
  <c r="G6" i="2"/>
  <c r="Y6" i="2"/>
  <c r="D6" i="2"/>
  <c r="BP12" i="23"/>
  <c r="Z6" i="2"/>
  <c r="Q6" i="2"/>
  <c r="L6" i="2"/>
  <c r="X6" i="2"/>
  <c r="C6" i="2"/>
  <c r="U6" i="2"/>
  <c r="W6" i="2"/>
  <c r="F6" i="2"/>
  <c r="T6" i="2"/>
  <c r="O6" i="2"/>
  <c r="R6" i="2"/>
  <c r="K6" i="2"/>
  <c r="S6" i="2"/>
  <c r="B6" i="2"/>
  <c r="P6" i="2"/>
  <c r="V6" i="2"/>
  <c r="M6" i="2"/>
  <c r="H6" i="2"/>
  <c r="I8" i="16"/>
  <c r="J44" i="3"/>
  <c r="I9" i="16"/>
  <c r="B537" i="22"/>
  <c r="B535" i="22"/>
  <c r="B536" i="22"/>
  <c r="B539" i="22"/>
  <c r="B538" i="22"/>
  <c r="J63" i="3"/>
  <c r="I52" i="3"/>
  <c r="J50" i="3"/>
  <c r="J48" i="3"/>
  <c r="I56" i="3"/>
  <c r="J55" i="3"/>
  <c r="I64" i="3"/>
  <c r="I63" i="3"/>
  <c r="I42" i="3"/>
  <c r="L49" i="3"/>
  <c r="K37" i="3"/>
  <c r="J57" i="3"/>
  <c r="J47" i="3"/>
  <c r="I59" i="3"/>
  <c r="J54" i="3"/>
  <c r="J61" i="3"/>
  <c r="I54" i="3"/>
  <c r="J51" i="3"/>
  <c r="J64" i="3"/>
  <c r="I61" i="3"/>
  <c r="J60" i="3"/>
  <c r="I60" i="3"/>
  <c r="J59" i="3"/>
  <c r="J58" i="3"/>
  <c r="I51" i="3"/>
  <c r="I44" i="3"/>
  <c r="J52" i="3"/>
  <c r="J46" i="3"/>
  <c r="I48" i="3"/>
  <c r="J53" i="3"/>
  <c r="I46" i="3"/>
  <c r="I53" i="3"/>
  <c r="J62" i="3"/>
  <c r="I49" i="3"/>
  <c r="I47" i="3"/>
  <c r="I58" i="3"/>
  <c r="J42" i="3"/>
  <c r="I57" i="3"/>
  <c r="I55" i="3"/>
  <c r="I50" i="3"/>
  <c r="J49" i="3"/>
  <c r="J56" i="3"/>
  <c r="I62" i="3"/>
  <c r="M650" i="18"/>
  <c r="M922" i="18"/>
  <c r="M445" i="18"/>
  <c r="O447" i="18"/>
  <c r="P222" i="18"/>
  <c r="M222" i="18"/>
  <c r="L650" i="18"/>
  <c r="O222" i="18"/>
  <c r="L447" i="18"/>
  <c r="L652" i="18"/>
  <c r="P786" i="18"/>
  <c r="P650" i="18"/>
  <c r="P445" i="18"/>
  <c r="P922" i="18"/>
  <c r="L788" i="18"/>
  <c r="B724" i="22"/>
  <c r="N652" i="18"/>
  <c r="N650" i="18"/>
  <c r="M786" i="18"/>
  <c r="M652" i="18"/>
  <c r="L922" i="18"/>
  <c r="O786" i="18"/>
  <c r="L220" i="18"/>
  <c r="B721" i="22"/>
  <c r="P652" i="18"/>
  <c r="N445" i="18"/>
  <c r="N922" i="18"/>
  <c r="L222" i="18"/>
  <c r="P447" i="18"/>
  <c r="O220" i="18"/>
  <c r="N924" i="18"/>
  <c r="B723" i="22"/>
  <c r="L786" i="18"/>
  <c r="N220" i="18"/>
  <c r="O922" i="18"/>
  <c r="L445" i="18"/>
  <c r="N786" i="18"/>
  <c r="N447" i="18"/>
  <c r="L924" i="18"/>
  <c r="B722" i="22"/>
  <c r="M447" i="18"/>
  <c r="M788" i="18"/>
  <c r="M220" i="18"/>
  <c r="N788" i="18"/>
  <c r="B725" i="22"/>
  <c r="O445" i="18"/>
  <c r="P788" i="18"/>
  <c r="M924" i="18"/>
  <c r="O788" i="18"/>
  <c r="O650" i="18"/>
  <c r="N222" i="18"/>
  <c r="O924" i="18"/>
  <c r="P220" i="18"/>
  <c r="O652" i="18"/>
  <c r="B401" i="22"/>
  <c r="P924" i="18"/>
  <c r="B699" i="22"/>
  <c r="B698" i="22"/>
  <c r="B702" i="22"/>
  <c r="B701" i="22"/>
  <c r="B695" i="22"/>
  <c r="B693" i="22"/>
  <c r="B208" i="22"/>
  <c r="B700" i="22"/>
  <c r="B696" i="22"/>
  <c r="B209" i="22"/>
  <c r="B694" i="22"/>
  <c r="K156" i="3"/>
  <c r="L156" i="3"/>
  <c r="B697" i="22"/>
  <c r="K155" i="3"/>
  <c r="L155" i="3"/>
  <c r="B333" i="22"/>
  <c r="B339" i="22"/>
  <c r="B331" i="22"/>
  <c r="B328" i="22"/>
  <c r="B338" i="22"/>
  <c r="B336" i="22"/>
  <c r="B334" i="22"/>
  <c r="B335" i="22"/>
  <c r="B332" i="22"/>
  <c r="B329" i="22"/>
  <c r="B330" i="22"/>
  <c r="B337" i="22"/>
  <c r="F5" i="20"/>
  <c r="K6" i="3"/>
  <c r="AB5" i="23"/>
  <c r="BO5" i="23"/>
  <c r="AY132" i="23"/>
  <c r="P17" i="3"/>
  <c r="C5" i="23"/>
  <c r="BO12" i="23"/>
  <c r="I17" i="18"/>
  <c r="AY3" i="23"/>
  <c r="AY67" i="23"/>
  <c r="BN1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<sst xmlns="http://schemas.openxmlformats.org/spreadsheetml/2006/main" count="14981" uniqueCount="4056">
  <si>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</si>
  <si>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</si>
  <si>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</si>
  <si>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</si>
  <si>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</si>
  <si>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</si>
  <si>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</si>
  <si>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</si>
  <si>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</si>
  <si>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</si>
  <si>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</si>
  <si>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</si>
  <si>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</si>
  <si>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</si>
  <si>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</si>
  <si>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</si>
  <si>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</si>
  <si>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</si>
  <si>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</si>
  <si>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</si>
  <si>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</si>
  <si>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</si>
  <si>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</si>
  <si>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</si>
  <si>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</si>
  <si>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</si>
  <si>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</si>
  <si>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</si>
  <si>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</si>
  <si>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</si>
  <si>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</si>
  <si>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</si>
  <si>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</si>
  <si>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</si>
  <si>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</si>
  <si>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</si>
  <si>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</si>
  <si>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</si>
  <si>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</si>
  <si>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</si>
  <si>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</si>
  <si>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</si>
  <si>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</si>
  <si>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</si>
  <si>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</si>
  <si>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</si>
  <si>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</si>
  <si>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</si>
  <si>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</si>
  <si>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</si>
  <si>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</si>
  <si>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</si>
  <si>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</si>
  <si>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</si>
  <si>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</si>
  <si>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</si>
  <si>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</si>
  <si>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</si>
  <si>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</si>
  <si>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</si>
  <si>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</si>
  <si>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</si>
  <si>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</si>
  <si>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</si>
  <si>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</si>
  <si>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</si>
  <si>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</si>
  <si>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</si>
  <si>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</si>
  <si>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</si>
  <si>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</si>
  <si>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</si>
  <si>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</si>
  <si>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</si>
  <si>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</si>
  <si>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</si>
  <si>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</si>
  <si>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</si>
  <si>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</si>
  <si>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</si>
  <si>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</si>
  <si>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</si>
  <si>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</si>
  <si>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</si>
  <si>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</si>
  <si>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</si>
  <si>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</si>
  <si>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</si>
  <si>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</si>
  <si>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</si>
  <si>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</si>
  <si>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</si>
  <si>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</si>
  <si>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</si>
  <si>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</si>
  <si>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</si>
  <si>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</si>
  <si>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</si>
  <si>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</si>
  <si>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</si>
  <si>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</si>
  <si>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</si>
  <si>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</si>
  <si>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</si>
  <si>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</si>
  <si>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</si>
  <si>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</si>
  <si>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</si>
  <si>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</si>
  <si>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</si>
  <si>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</si>
  <si>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</si>
  <si>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</si>
  <si>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</si>
  <si>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</si>
  <si>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</si>
  <si>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</si>
  <si>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</si>
  <si>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</si>
  <si>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</si>
  <si>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</si>
  <si>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</si>
  <si>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</si>
  <si>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</si>
  <si>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</si>
  <si>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</si>
  <si>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</si>
  <si>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</si>
  <si>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</si>
  <si>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</si>
  <si>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</si>
  <si>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</si>
  <si>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</si>
  <si>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</si>
  <si>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</si>
  <si>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</si>
  <si>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</si>
  <si>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</si>
  <si>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</si>
  <si>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</si>
  <si>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</si>
  <si>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</si>
  <si>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</si>
  <si>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</si>
  <si>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</si>
  <si>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</si>
  <si>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</si>
  <si>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</si>
  <si>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</si>
  <si>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</si>
  <si>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</si>
  <si>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</si>
  <si>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</si>
  <si>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</si>
  <si>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</si>
  <si>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</si>
  <si>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</si>
  <si>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</si>
  <si>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</si>
  <si>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</si>
  <si>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</si>
  <si>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</si>
  <si>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</si>
  <si>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</si>
  <si>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</si>
  <si>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</si>
  <si>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</si>
  <si>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</si>
  <si>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</si>
  <si>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</si>
  <si>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</si>
  <si>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</si>
  <si>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</si>
  <si>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</si>
  <si>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</si>
  <si>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</si>
  <si>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</si>
  <si>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</si>
  <si>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</si>
  <si>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</si>
  <si>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</si>
  <si>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</si>
  <si>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</si>
  <si>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</si>
  <si>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</si>
  <si>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</si>
  <si>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</si>
  <si>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</si>
  <si>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</si>
  <si>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</si>
  <si>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</si>
  <si>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</si>
  <si>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</si>
  <si>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</si>
  <si>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</si>
  <si>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</si>
  <si>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</si>
  <si>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</si>
  <si>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</si>
  <si>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</si>
  <si>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</si>
  <si>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</si>
  <si>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</si>
  <si>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</si>
  <si>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</si>
  <si>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</si>
  <si>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</si>
  <si>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</si>
  <si>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</si>
  <si>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</si>
  <si>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</si>
  <si>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</si>
  <si>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</si>
  <si>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</si>
  <si>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</si>
  <si>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</si>
  <si>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</si>
  <si>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</si>
  <si>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</si>
  <si>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</si>
  <si>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</si>
  <si>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</si>
  <si>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</si>
  <si>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</si>
  <si>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</si>
  <si>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</si>
  <si>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</si>
  <si>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</si>
  <si>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</si>
  <si>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</si>
  <si>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</si>
  <si>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</si>
  <si>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</si>
  <si>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</si>
  <si>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</si>
  <si>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</si>
  <si>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</si>
  <si>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</si>
  <si>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</si>
  <si>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</si>
  <si>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</si>
  <si>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</si>
  <si>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</si>
  <si>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</si>
  <si>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</si>
  <si>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</si>
  <si>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</si>
  <si>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</si>
  <si>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</si>
  <si>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</si>
  <si>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</si>
  <si>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</si>
  <si>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</si>
  <si>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</si>
  <si>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</si>
  <si>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</si>
  <si>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</si>
  <si>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</si>
  <si>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</si>
  <si>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</si>
  <si>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</si>
  <si>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</si>
  <si>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</si>
  <si>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</si>
  <si>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</si>
  <si>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</si>
  <si>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</si>
  <si>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</si>
  <si>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</si>
  <si>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</si>
  <si>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</si>
  <si>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</si>
  <si>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</si>
  <si>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</si>
  <si>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</si>
  <si>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</si>
  <si>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</si>
  <si>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</si>
  <si>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</si>
  <si>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</si>
  <si>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</si>
  <si>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</si>
  <si>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</si>
  <si>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</si>
  <si>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</si>
  <si>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</si>
  <si>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</si>
  <si>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</si>
  <si>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</si>
  <si>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</si>
  <si>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</si>
  <si>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</si>
  <si>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</si>
  <si>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</si>
  <si>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</si>
  <si>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</si>
  <si>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</si>
  <si>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</si>
  <si>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</si>
  <si>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</si>
  <si>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</si>
  <si>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</si>
  <si>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</si>
  <si>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</si>
  <si>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</si>
  <si>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</si>
  <si>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</si>
  <si>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</si>
  <si>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</si>
  <si>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</si>
  <si>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</si>
  <si>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</si>
  <si>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</si>
  <si>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</si>
  <si>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</si>
  <si>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</si>
  <si>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</si>
  <si>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</si>
  <si>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</si>
  <si>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</si>
  <si>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</si>
  <si>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</si>
  <si>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</si>
  <si>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</si>
  <si>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</si>
  <si>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</si>
  <si>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</si>
  <si>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</si>
  <si>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</si>
  <si>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</si>
  <si>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</si>
  <si>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</si>
  <si>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</si>
  <si>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</si>
  <si>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</si>
  <si>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</si>
  <si>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</si>
  <si>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</si>
  <si>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</si>
  <si>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</si>
  <si>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</si>
  <si>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</si>
  <si>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</si>
  <si>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</si>
  <si>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</si>
  <si>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</si>
  <si>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</si>
  <si>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</si>
  <si>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</si>
  <si>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</si>
  <si>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</si>
  <si>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</si>
  <si>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</si>
  <si>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</si>
  <si>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</si>
  <si>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</si>
  <si>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</si>
  <si>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</si>
  <si>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</si>
  <si>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</si>
  <si>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</si>
  <si>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</si>
  <si>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</si>
  <si>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</si>
  <si>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</si>
  <si>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</si>
  <si>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</si>
  <si>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</si>
  <si>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</si>
  <si>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</si>
  <si>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</si>
  <si>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</si>
  <si>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</si>
  <si>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</si>
  <si>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</si>
  <si>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</si>
  <si>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</si>
  <si>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</si>
  <si>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</si>
  <si>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</si>
  <si>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</si>
  <si>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</si>
  <si>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</si>
  <si>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</si>
  <si>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</si>
  <si>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</si>
  <si>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</si>
  <si>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</si>
  <si>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</si>
  <si>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</si>
  <si>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</si>
  <si>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</si>
  <si>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</si>
  <si>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</si>
  <si>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</si>
  <si>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</si>
  <si>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</si>
  <si>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</si>
  <si>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</si>
  <si>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</si>
  <si>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</si>
  <si>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</si>
  <si>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</si>
  <si>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</si>
  <si>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</si>
  <si>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</si>
  <si>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</si>
  <si>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</si>
  <si>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</si>
  <si>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</si>
  <si>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</si>
  <si>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</si>
  <si>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</si>
  <si>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</si>
  <si>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</si>
  <si>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</si>
  <si>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</si>
  <si>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</si>
  <si>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</si>
  <si>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</si>
  <si>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</si>
  <si>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</si>
  <si>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</si>
  <si>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</si>
  <si>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</si>
  <si>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</si>
  <si>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</si>
  <si>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</si>
  <si>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</si>
  <si>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</si>
  <si>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</si>
  <si>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</si>
  <si>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</si>
  <si>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</si>
  <si>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</si>
  <si>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</si>
  <si>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</si>
  <si>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</si>
  <si>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</si>
  <si>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</si>
  <si>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</si>
  <si>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</si>
  <si>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</si>
  <si>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</si>
  <si>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</si>
  <si>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</si>
  <si>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</si>
  <si>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</si>
  <si>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</si>
  <si>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</si>
  <si>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</si>
  <si>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</si>
  <si>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</si>
  <si>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</si>
  <si>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</si>
  <si>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</si>
  <si>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</si>
  <si>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</si>
  <si>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</si>
  <si>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</si>
  <si>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</si>
  <si>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</si>
  <si>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</si>
  <si>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</si>
  <si>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</si>
  <si>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</si>
  <si>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</si>
  <si>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</si>
  <si>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</si>
  <si>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</si>
  <si>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</si>
  <si>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</si>
  <si>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</si>
  <si>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</si>
  <si>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</si>
  <si>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</si>
  <si>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</si>
  <si>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</si>
  <si>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</si>
  <si>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</si>
  <si>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</si>
  <si>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</si>
  <si>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</si>
  <si>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</si>
  <si>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</si>
  <si>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</si>
  <si>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</si>
  <si>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</si>
  <si>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</si>
  <si>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</si>
  <si>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</si>
  <si>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</si>
  <si>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</si>
  <si>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</si>
  <si>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</si>
  <si>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</si>
  <si>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</si>
  <si>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</si>
  <si>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</si>
  <si>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</si>
  <si>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</si>
  <si>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</si>
  <si>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</si>
  <si>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</si>
  <si>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</si>
  <si>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</si>
  <si>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</si>
  <si>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</si>
  <si>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</si>
  <si>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</si>
  <si>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</si>
  <si>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</si>
  <si>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</si>
  <si>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</si>
  <si>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</si>
  <si>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</si>
  <si>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</si>
  <si>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</si>
  <si>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</si>
  <si>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</si>
  <si>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</si>
  <si>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</si>
  <si>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</si>
  <si>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</si>
  <si>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</si>
  <si>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</si>
  <si>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</si>
  <si>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</si>
  <si>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</si>
  <si>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</si>
  <si>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</si>
  <si>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</si>
  <si>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</si>
  <si>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</si>
  <si>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</si>
  <si>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</si>
  <si>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</si>
  <si>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</si>
  <si>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</si>
  <si>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</si>
  <si>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</si>
  <si>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</si>
  <si>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</si>
  <si>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</si>
  <si>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</si>
  <si>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</si>
  <si>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</si>
  <si>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</si>
  <si>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</si>
  <si>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</si>
  <si>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</si>
  <si>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</si>
  <si>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</si>
  <si>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</si>
  <si>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</si>
  <si>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</si>
  <si>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</si>
  <si>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</si>
  <si>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</si>
  <si>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</si>
  <si>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</si>
  <si>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</si>
  <si>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</si>
  <si>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</si>
  <si>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</si>
  <si>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</si>
  <si>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</si>
  <si>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</si>
  <si>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</si>
  <si>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</si>
  <si>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</si>
  <si>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</si>
  <si>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</si>
  <si>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</si>
  <si>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</si>
  <si>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</si>
  <si>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</si>
  <si>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</si>
  <si>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</si>
  <si>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</si>
  <si>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</si>
  <si>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</si>
  <si>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</si>
  <si>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</si>
  <si>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</si>
  <si>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</si>
  <si>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</si>
  <si>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</si>
  <si>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</si>
  <si>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</si>
  <si>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</si>
  <si>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</si>
  <si>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</si>
  <si>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</si>
  <si>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</si>
  <si>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</si>
  <si>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</si>
  <si>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</si>
  <si>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</si>
  <si>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</si>
  <si>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</si>
  <si>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</si>
  <si>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</si>
  <si>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</si>
  <si>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</si>
  <si>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</si>
  <si>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</si>
  <si>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</si>
  <si>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</si>
  <si>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</si>
  <si>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</si>
  <si>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</si>
  <si>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</si>
  <si>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</si>
  <si>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</si>
  <si>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</si>
  <si>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</si>
  <si>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</si>
  <si>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</si>
  <si>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</si>
  <si>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</si>
  <si>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</si>
  <si>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</si>
  <si>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</si>
  <si>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</si>
  <si>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</si>
  <si>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</si>
  <si>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</si>
  <si>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</si>
  <si>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</si>
  <si>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</si>
  <si>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</si>
  <si>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</si>
  <si>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</si>
  <si>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</si>
  <si>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</si>
  <si>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</si>
  <si>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</si>
  <si>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</si>
  <si>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</si>
  <si>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</si>
  <si>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</si>
  <si>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</si>
  <si>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</si>
  <si>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</si>
  <si>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</si>
  <si>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</si>
  <si>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</si>
  <si>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</si>
  <si>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</si>
  <si>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</si>
  <si>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</si>
  <si>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</si>
  <si>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</si>
  <si>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</si>
  <si>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</si>
  <si>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</si>
  <si>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</si>
  <si>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</si>
  <si>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</si>
  <si>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</si>
  <si>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</si>
  <si>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</si>
  <si>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</si>
  <si>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</si>
  <si>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</si>
  <si>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</si>
  <si>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</si>
  <si>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</si>
  <si>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</si>
  <si>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</si>
  <si>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</si>
  <si>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</si>
  <si>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</si>
  <si>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</si>
  <si>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</si>
  <si>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</si>
  <si>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</si>
  <si>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</si>
  <si>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</si>
  <si>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</si>
  <si>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</si>
  <si>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</si>
  <si>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</si>
  <si>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</si>
  <si>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</si>
  <si>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</si>
  <si>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</si>
  <si>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</si>
  <si>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</si>
  <si>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</si>
  <si>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</si>
  <si>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</si>
  <si>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</si>
  <si>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</si>
  <si>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</si>
  <si>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</si>
  <si>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</si>
  <si>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</si>
  <si>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</si>
  <si>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</si>
  <si>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</si>
  <si>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</si>
  <si>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</si>
  <si>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</si>
  <si>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</si>
  <si>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</si>
  <si>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</si>
  <si>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</si>
  <si>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</si>
  <si>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</si>
  <si>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</si>
  <si>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</si>
  <si>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</si>
  <si>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</si>
  <si>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</si>
  <si>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</si>
  <si>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</si>
  <si>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</si>
  <si>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</si>
  <si>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</si>
  <si>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</si>
  <si>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</si>
  <si>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</si>
  <si>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</si>
  <si>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</si>
  <si>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</si>
  <si>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</si>
  <si>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</si>
  <si>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</si>
  <si>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</si>
  <si>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</si>
  <si>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</si>
  <si>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</si>
  <si>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</si>
  <si>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</si>
  <si>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</si>
  <si>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</si>
  <si>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</si>
  <si>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</si>
  <si>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</si>
  <si>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</si>
  <si>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</si>
  <si>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</si>
  <si>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</si>
  <si>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</si>
  <si>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</si>
  <si>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</si>
  <si>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</si>
  <si>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</si>
  <si>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</si>
  <si>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</si>
  <si>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</si>
  <si>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</si>
  <si>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</si>
  <si>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</si>
  <si>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</si>
  <si>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</si>
  <si>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</si>
  <si>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</si>
  <si>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</si>
  <si>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</si>
  <si>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</si>
  <si>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</si>
  <si>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</si>
  <si>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</si>
  <si>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</si>
  <si>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</si>
  <si>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</si>
  <si>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</si>
  <si>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</si>
  <si>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</si>
  <si>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</si>
  <si>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</si>
  <si>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</si>
  <si>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</si>
  <si>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</si>
  <si>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</si>
  <si>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</si>
  <si>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</si>
  <si>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</si>
  <si>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</si>
  <si>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</si>
  <si>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</si>
  <si>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</si>
  <si>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</si>
  <si>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</si>
  <si>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</si>
  <si>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</si>
  <si>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</si>
  <si>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</si>
  <si>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</si>
  <si>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</si>
  <si>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</si>
  <si>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</si>
  <si>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</si>
  <si>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</si>
  <si>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</si>
  <si>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</si>
  <si>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</si>
  <si>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</si>
  <si>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</si>
  <si>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</si>
  <si>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</si>
  <si>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</si>
  <si>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</si>
  <si>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</si>
  <si>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</si>
  <si>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</si>
  <si>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</si>
  <si>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</si>
  <si>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</si>
  <si>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</si>
  <si>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</si>
  <si>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</si>
  <si>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</si>
  <si>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</si>
  <si>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</si>
  <si>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</si>
  <si>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</si>
  <si>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</si>
  <si>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</si>
  <si>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</si>
  <si>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</si>
  <si>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</si>
  <si>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</si>
  <si>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</si>
  <si>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</si>
  <si>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</si>
  <si>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</si>
  <si>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</si>
  <si>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</si>
  <si>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</si>
  <si>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</si>
  <si>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</si>
  <si>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</si>
  <si>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</si>
  <si>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</si>
  <si>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</si>
  <si>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</si>
  <si>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</si>
  <si>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</si>
  <si>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</si>
  <si>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</si>
  <si>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</si>
  <si>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</si>
  <si>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</si>
  <si>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</si>
  <si>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</si>
  <si>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</si>
  <si>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</si>
  <si>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</si>
  <si>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</si>
  <si>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</si>
  <si>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</si>
  <si>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</si>
  <si>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</si>
  <si>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</si>
  <si>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</si>
  <si>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</si>
  <si>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</si>
  <si>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</si>
  <si>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</si>
  <si>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</si>
  <si>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</si>
  <si>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</si>
  <si>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</si>
  <si>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</si>
  <si>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</si>
  <si>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</si>
  <si>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</si>
  <si>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</si>
  <si>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</si>
  <si>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</si>
  <si>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</si>
  <si>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</si>
  <si>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</si>
  <si>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</si>
  <si>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</si>
  <si>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</si>
  <si>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</si>
  <si>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</si>
  <si>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</si>
  <si>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</si>
  <si>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</si>
  <si>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</si>
  <si>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</si>
  <si>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</si>
  <si>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</si>
  <si>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</si>
  <si>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</si>
  <si>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</si>
  <si>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</si>
  <si>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</si>
  <si>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</si>
  <si>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</si>
  <si>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</si>
  <si>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</si>
  <si>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</si>
  <si>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</si>
  <si>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</si>
  <si>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</si>
  <si>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</si>
  <si>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</si>
  <si>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</si>
  <si>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</si>
  <si>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</si>
  <si>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</si>
  <si>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</si>
  <si>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</si>
  <si>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</si>
  <si>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</si>
  <si>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</si>
  <si>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</si>
  <si>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</si>
  <si>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</si>
  <si>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</si>
  <si>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</si>
  <si>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</si>
  <si>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</si>
  <si>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</si>
  <si>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</si>
  <si>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</si>
  <si>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</si>
  <si>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</si>
  <si>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</si>
  <si>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</si>
  <si>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</si>
  <si>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</si>
  <si>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</si>
  <si>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</si>
  <si>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</si>
  <si>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</si>
  <si>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</si>
  <si>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</si>
  <si>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</si>
  <si>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</si>
  <si>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</si>
  <si>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</si>
  <si>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</si>
  <si>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</si>
  <si>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</si>
  <si>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</si>
  <si>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</si>
  <si>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</si>
  <si>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</si>
  <si>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</si>
  <si>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</si>
  <si>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</si>
  <si>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</si>
  <si>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</si>
  <si>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</si>
  <si>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</si>
  <si>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</si>
  <si>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</si>
  <si>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</si>
  <si>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</si>
  <si>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</si>
  <si>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</si>
  <si>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</si>
  <si>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</si>
  <si>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</si>
  <si>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</si>
  <si>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</si>
  <si>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</si>
  <si>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</si>
  <si>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</si>
  <si>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</si>
  <si>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</si>
  <si>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</si>
  <si>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</si>
  <si>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</si>
  <si>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</si>
  <si>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</si>
  <si>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</si>
  <si>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</si>
  <si>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</si>
  <si>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</si>
  <si>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</si>
  <si>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</si>
  <si>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</si>
  <si>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</si>
  <si>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</si>
  <si>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</si>
  <si>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</si>
  <si>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</si>
  <si>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</si>
  <si>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</si>
  <si>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</si>
  <si>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</si>
  <si>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</si>
  <si>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</si>
  <si>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</si>
  <si>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</si>
  <si>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</si>
  <si>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</si>
  <si>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</si>
  <si>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</si>
  <si>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</si>
  <si>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</si>
  <si>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</si>
  <si>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</si>
  <si>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</si>
  <si>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</si>
  <si>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</si>
  <si>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</si>
  <si>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</si>
  <si>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</si>
  <si>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</si>
  <si>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</si>
  <si>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</si>
  <si>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</si>
  <si>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</si>
  <si>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</si>
  <si>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</si>
  <si>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</si>
  <si>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</si>
  <si>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</si>
  <si>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</si>
  <si>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</si>
  <si>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</si>
  <si>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</si>
  <si>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</si>
  <si>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</si>
  <si>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</si>
  <si>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</si>
  <si>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</si>
  <si>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</si>
  <si>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</si>
  <si>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</si>
  <si>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</si>
  <si>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</si>
  <si>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</si>
  <si>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</si>
  <si>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</si>
  <si>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</si>
  <si>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</si>
  <si>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</si>
  <si>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</si>
  <si>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</si>
  <si>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</si>
  <si>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</si>
  <si>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</si>
  <si>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</si>
  <si>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</si>
  <si>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</si>
  <si>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</si>
  <si>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</si>
  <si>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</si>
  <si>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</si>
  <si>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</si>
  <si>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</si>
  <si>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</si>
  <si>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</si>
  <si>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</si>
  <si>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</si>
  <si>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</si>
  <si>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</si>
  <si>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</si>
  <si>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</si>
  <si>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</si>
  <si>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</si>
  <si>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</si>
  <si>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</si>
  <si>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</si>
  <si>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</si>
  <si>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</si>
  <si>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</si>
  <si>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</si>
  <si>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</si>
  <si>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</si>
  <si>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</si>
  <si>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</si>
  <si>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</si>
  <si>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</si>
  <si>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</si>
  <si>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</si>
  <si>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</si>
  <si>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</si>
  <si>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</si>
  <si>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</si>
  <si>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</si>
  <si>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</si>
  <si>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</si>
  <si>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</si>
  <si>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</si>
  <si>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</si>
  <si>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</si>
  <si>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</si>
  <si>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</si>
  <si>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</si>
  <si>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</si>
  <si>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</si>
  <si>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</si>
  <si>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</si>
  <si>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</si>
  <si>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</si>
  <si>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</si>
  <si>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</si>
  <si>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</si>
  <si>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</si>
  <si>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</si>
  <si>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</si>
  <si>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</si>
  <si>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</si>
  <si>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</si>
  <si>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</si>
  <si>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</si>
  <si>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</si>
  <si>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</si>
  <si>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</si>
  <si>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</si>
  <si>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</si>
  <si>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</si>
  <si>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</si>
  <si>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</si>
  <si>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</si>
  <si>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</si>
  <si>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</si>
  <si>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</si>
  <si>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</si>
  <si>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</si>
  <si>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</si>
  <si>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</si>
  <si>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</si>
  <si>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</si>
  <si>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</si>
  <si>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</si>
  <si>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</si>
  <si>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</si>
  <si>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</si>
  <si>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</si>
  <si>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</si>
  <si>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</si>
  <si>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</si>
  <si>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</si>
  <si>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</si>
  <si>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</si>
  <si>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</si>
  <si>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</si>
  <si>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</si>
  <si>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</si>
  <si>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</si>
  <si>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</si>
  <si>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</si>
  <si>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</si>
  <si>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</si>
  <si>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</si>
  <si>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</si>
  <si>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</si>
  <si>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</si>
  <si>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</si>
  <si>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</si>
  <si>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</si>
  <si>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</si>
  <si>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</si>
  <si>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</si>
  <si>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</si>
  <si>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</si>
  <si>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</si>
  <si>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</si>
  <si>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</si>
  <si>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</si>
  <si>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</si>
  <si>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</si>
  <si>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</si>
  <si>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</si>
  <si>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</si>
  <si>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</si>
  <si>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</si>
  <si>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</si>
  <si>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</si>
  <si>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</si>
  <si>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</si>
  <si>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</si>
  <si>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</si>
  <si>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</si>
  <si>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</si>
  <si>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</si>
  <si>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</si>
  <si>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</si>
  <si>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</si>
  <si>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</si>
  <si>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</si>
  <si>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</si>
  <si>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</si>
  <si>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</si>
  <si>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</si>
  <si>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</si>
  <si>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</si>
  <si>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</si>
  <si>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</si>
  <si>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</si>
  <si>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</si>
  <si>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</si>
  <si>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</si>
  <si>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</si>
  <si>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</si>
  <si>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</si>
  <si>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</si>
  <si>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</si>
  <si>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</si>
  <si>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</si>
  <si>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</si>
  <si>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</si>
  <si>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</si>
  <si>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</si>
  <si>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</si>
  <si>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</si>
  <si>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</si>
  <si>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</si>
  <si>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</si>
  <si>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</si>
  <si>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</si>
  <si>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</si>
  <si>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</si>
  <si>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</si>
  <si>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</si>
  <si>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</si>
  <si>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</si>
  <si>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</si>
  <si>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</si>
  <si>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</si>
  <si>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</si>
  <si>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</si>
  <si>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</si>
  <si>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</si>
  <si>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</si>
  <si>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</si>
  <si>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</si>
  <si>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</si>
  <si>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</si>
  <si>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</si>
  <si>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</si>
  <si>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</si>
  <si>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</si>
  <si>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</si>
  <si>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</si>
  <si>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</si>
  <si>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</si>
  <si>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</si>
  <si>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</si>
  <si>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</si>
  <si>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</si>
  <si>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</si>
  <si>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</si>
  <si>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</si>
  <si>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</si>
  <si>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</si>
  <si>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</si>
  <si>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</si>
  <si>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</si>
  <si>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</si>
  <si>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</si>
  <si>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</si>
  <si>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</si>
  <si>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</si>
  <si>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</si>
  <si>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</si>
  <si>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</si>
  <si>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</si>
  <si>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</si>
  <si>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</si>
  <si>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</si>
  <si>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</si>
  <si>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</si>
  <si>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</si>
  <si>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</si>
  <si>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</si>
  <si>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</si>
  <si>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</si>
  <si>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</si>
  <si>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</si>
  <si>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</si>
  <si>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</si>
  <si>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</si>
  <si>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</si>
  <si>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</si>
  <si>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</si>
  <si>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</si>
  <si>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</si>
  <si>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</si>
  <si>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</si>
  <si>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</si>
  <si>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</si>
  <si>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</si>
  <si>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</si>
  <si>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</si>
  <si>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</si>
  <si>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</si>
  <si>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</si>
  <si>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</si>
  <si>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</si>
  <si>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</si>
  <si>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</si>
  <si>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</si>
  <si>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</si>
  <si>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</si>
  <si>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</si>
  <si>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</si>
  <si>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</si>
  <si>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</si>
  <si>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</si>
  <si>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</si>
  <si>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</si>
  <si>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</si>
  <si>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</si>
  <si>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</si>
  <si>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</si>
  <si>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</si>
  <si>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</si>
  <si>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</si>
  <si>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</si>
  <si>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</si>
  <si>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</si>
  <si>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</si>
  <si>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</si>
  <si>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</si>
  <si>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</si>
  <si>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</si>
  <si>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</si>
  <si>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</si>
  <si>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</si>
  <si>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</si>
  <si>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</si>
  <si>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</si>
  <si>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</si>
  <si>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</si>
  <si>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</si>
  <si>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</si>
  <si>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</si>
  <si>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</si>
  <si>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</si>
  <si>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</si>
  <si>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</si>
  <si>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</si>
  <si>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</si>
  <si>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</si>
  <si>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</si>
  <si>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</si>
  <si>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</si>
  <si>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</si>
  <si>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</si>
  <si>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</si>
  <si>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</si>
  <si>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</si>
  <si>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</si>
  <si>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</si>
  <si>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</si>
  <si>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</si>
  <si>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</si>
  <si>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</si>
  <si>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</si>
  <si>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</si>
  <si>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</si>
  <si>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</si>
  <si>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</si>
  <si>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</si>
  <si>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</si>
  <si>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</si>
  <si>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</si>
  <si>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</si>
  <si>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</si>
  <si>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</si>
  <si>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</si>
  <si>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</si>
  <si>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</si>
  <si>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</si>
  <si>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</si>
  <si>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</si>
  <si>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</si>
  <si>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</si>
  <si>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</si>
  <si>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</si>
  <si>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</si>
  <si>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</si>
  <si>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</si>
  <si>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</si>
  <si>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</si>
  <si>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</si>
  <si>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</si>
  <si>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</si>
  <si>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</si>
  <si>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</si>
  <si>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</si>
  <si>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</si>
  <si>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</si>
  <si>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</si>
  <si>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</si>
  <si>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</si>
  <si>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</si>
  <si>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</si>
  <si>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</si>
  <si>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</si>
  <si>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</si>
  <si>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</si>
  <si>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</si>
  <si>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</si>
  <si>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</si>
  <si>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</si>
  <si>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</si>
  <si>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</si>
  <si>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</si>
  <si>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</si>
  <si>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</si>
  <si>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</si>
  <si>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</si>
  <si>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</si>
  <si>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</si>
  <si>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</si>
  <si>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</si>
  <si>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</si>
  <si>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</si>
  <si>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</si>
  <si>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</si>
  <si>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</si>
  <si>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</si>
  <si>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</si>
  <si>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</si>
  <si>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</si>
  <si>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</si>
  <si>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</si>
  <si>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</si>
  <si>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</si>
  <si>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</si>
  <si>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</si>
  <si>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</si>
  <si>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</si>
  <si>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</si>
  <si>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</si>
  <si>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</si>
  <si>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</si>
  <si>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</si>
  <si>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</si>
  <si>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</si>
  <si>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</si>
  <si>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</si>
  <si>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</si>
  <si>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</si>
  <si>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</si>
  <si>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</si>
  <si>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</si>
  <si>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</si>
  <si>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</si>
  <si>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</si>
  <si>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</si>
  <si>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</si>
  <si>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</si>
  <si>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</si>
  <si>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</si>
  <si>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</si>
  <si>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</si>
  <si>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</si>
  <si>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</si>
  <si>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</si>
  <si>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</si>
  <si>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</si>
  <si>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</si>
  <si>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</si>
  <si>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</si>
  <si>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</si>
  <si>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</si>
  <si>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</si>
  <si>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</si>
  <si>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</si>
  <si>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</si>
  <si>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</si>
  <si>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</si>
  <si>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</si>
  <si>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</si>
  <si>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</si>
  <si>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</si>
  <si>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</si>
  <si>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</si>
  <si>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</si>
  <si>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</si>
  <si>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</si>
  <si>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</si>
  <si>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</si>
  <si>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</si>
  <si>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</si>
  <si>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</si>
  <si>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</si>
  <si>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</si>
  <si>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</si>
  <si>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</si>
  <si>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</si>
  <si>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</si>
  <si>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</si>
  <si>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</si>
  <si>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</si>
  <si>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</si>
  <si>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</si>
  <si>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</si>
  <si>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</si>
  <si>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</si>
  <si>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</si>
  <si>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</si>
  <si>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</si>
  <si>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</si>
  <si>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</si>
  <si>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</si>
  <si>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</si>
  <si>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</si>
  <si>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</si>
  <si>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</si>
  <si>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</si>
  <si>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</si>
  <si>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</si>
  <si>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</si>
  <si>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</si>
  <si>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</si>
  <si>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</si>
  <si>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</si>
  <si>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</si>
  <si>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</si>
  <si>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</si>
  <si>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</si>
  <si>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</si>
  <si>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</si>
  <si>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</si>
  <si>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</si>
  <si>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</si>
  <si>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</si>
  <si>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</si>
  <si>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</si>
  <si>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</si>
  <si>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</si>
  <si>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</si>
  <si>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</si>
  <si>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</si>
  <si>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</si>
  <si>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</si>
  <si>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</si>
  <si>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</si>
  <si>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</si>
  <si>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</si>
  <si>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</si>
  <si>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</si>
  <si>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</si>
  <si>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</si>
  <si>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</si>
  <si>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</si>
  <si>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</si>
  <si>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</si>
  <si>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</si>
  <si>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</si>
  <si>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</si>
  <si>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</si>
  <si>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</si>
  <si>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</si>
  <si>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</si>
  <si>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</si>
  <si>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</si>
  <si>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</si>
  <si>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</si>
  <si>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</si>
  <si>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</si>
  <si>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</si>
  <si>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</si>
  <si>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</si>
  <si>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</si>
  <si>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</si>
  <si>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</si>
  <si>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</si>
  <si>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</si>
  <si>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</si>
  <si>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</si>
  <si>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</si>
  <si>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</si>
  <si>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</si>
  <si>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</si>
  <si>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</si>
  <si>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</si>
  <si>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</si>
  <si>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</si>
  <si>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</si>
  <si>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</si>
  <si>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</si>
  <si>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</si>
  <si>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</si>
  <si>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</si>
  <si>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</si>
  <si>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</si>
  <si>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</si>
  <si>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</si>
  <si>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</si>
  <si>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</si>
  <si>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</si>
  <si>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</si>
  <si>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</si>
  <si>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</si>
  <si>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</si>
  <si>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</si>
  <si>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</si>
  <si>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</si>
  <si>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</si>
  <si>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</si>
  <si>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</si>
  <si>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</si>
  <si>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</si>
  <si>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</si>
  <si>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</si>
  <si>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</si>
  <si>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</si>
  <si>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</si>
  <si>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</si>
  <si>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</si>
  <si>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</si>
  <si>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</si>
  <si>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</si>
  <si>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</si>
  <si>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</si>
  <si>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</si>
  <si>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</si>
  <si>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</si>
  <si>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</si>
  <si>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</si>
  <si>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</si>
  <si>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</si>
  <si>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</si>
  <si>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</si>
  <si>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</si>
  <si>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</si>
  <si>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</si>
  <si>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</si>
  <si>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</si>
  <si>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</si>
  <si>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</si>
  <si>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</si>
  <si>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</si>
  <si>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</si>
  <si>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</si>
  <si>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</si>
  <si>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</si>
  <si>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</si>
  <si>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</si>
  <si>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</si>
  <si>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</si>
  <si>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</si>
  <si>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</si>
  <si>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</si>
  <si>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</si>
  <si>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</si>
  <si>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</si>
  <si>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</si>
  <si>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</si>
  <si>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</si>
  <si>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</si>
  <si>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</si>
  <si>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</si>
  <si>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</si>
  <si>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</si>
  <si>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</si>
  <si>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</si>
  <si>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</si>
  <si>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</si>
  <si>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</si>
  <si>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</si>
  <si>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</si>
  <si>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</si>
  <si>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</si>
  <si>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</si>
  <si>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</si>
  <si>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</si>
  <si>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</si>
  <si>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</si>
  <si>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</si>
  <si>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</si>
  <si>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</si>
  <si>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</si>
  <si>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</si>
  <si>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</si>
  <si>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</si>
  <si>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</si>
  <si>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</si>
  <si>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</si>
  <si>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</si>
  <si>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</si>
  <si>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</si>
  <si>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</si>
  <si>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</si>
  <si>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</si>
  <si>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</si>
  <si>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</si>
  <si>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</si>
  <si>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</si>
  <si>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</si>
  <si>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</si>
  <si>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</si>
  <si>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</si>
  <si>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</si>
  <si>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</si>
  <si>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</si>
  <si>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</si>
  <si>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</si>
  <si>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</si>
  <si>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</si>
  <si>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</si>
  <si>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</si>
  <si>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</si>
  <si>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</si>
  <si>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</si>
  <si>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</si>
  <si>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</si>
  <si>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</si>
  <si>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</si>
  <si>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</si>
  <si>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</si>
  <si>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</si>
  <si>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</si>
  <si>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</si>
  <si>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</si>
  <si>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</si>
  <si>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</si>
  <si>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</si>
  <si>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</si>
  <si>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</si>
  <si>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</si>
  <si>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</si>
  <si>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</si>
  <si>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</si>
  <si>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</si>
  <si>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</si>
  <si>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</si>
  <si>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</si>
  <si>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</si>
  <si>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</si>
  <si>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</si>
  <si>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</si>
  <si>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</si>
  <si>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</si>
  <si>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</si>
  <si>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</si>
  <si>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</si>
  <si>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</si>
  <si>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</si>
  <si>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</si>
  <si>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</si>
  <si>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</si>
  <si>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</si>
  <si>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</si>
  <si>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</si>
  <si>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</si>
  <si>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</si>
  <si>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</si>
  <si>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</si>
  <si>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</si>
  <si>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</si>
  <si>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</si>
  <si>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</si>
  <si>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</si>
  <si>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</si>
  <si>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</si>
  <si>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</si>
  <si>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</si>
  <si>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</si>
  <si>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</si>
  <si>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</si>
  <si>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</si>
  <si>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</si>
  <si>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</si>
  <si>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</si>
  <si>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</si>
  <si>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</si>
  <si>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</si>
  <si>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</si>
  <si>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</si>
  <si>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</si>
  <si>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</si>
  <si>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</si>
  <si>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</si>
  <si>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</si>
  <si>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</si>
  <si>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</si>
  <si>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</si>
  <si>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</si>
  <si>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</si>
  <si>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</si>
  <si>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</si>
  <si>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</si>
  <si>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</si>
  <si>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</si>
  <si>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</si>
  <si>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</si>
  <si>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</si>
  <si>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</si>
  <si>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</si>
  <si>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</si>
  <si>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</si>
  <si>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</si>
  <si>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</si>
  <si>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</si>
  <si>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</si>
  <si>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</si>
  <si>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</si>
  <si>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</si>
  <si>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</si>
  <si>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</si>
  <si>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</si>
  <si>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</si>
  <si>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</si>
  <si>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</si>
  <si>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</si>
  <si>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</si>
  <si>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</si>
  <si>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</si>
  <si>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</si>
  <si>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</si>
  <si>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</si>
  <si>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</si>
  <si>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</si>
  <si>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</si>
  <si>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</si>
  <si>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</si>
  <si>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</si>
  <si>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</si>
  <si>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</si>
  <si>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</si>
  <si>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</si>
  <si>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</si>
  <si>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</si>
  <si>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</si>
  <si>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</si>
  <si>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</si>
  <si>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</si>
  <si>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</si>
  <si>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</si>
  <si>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</si>
  <si>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</si>
  <si>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</si>
  <si>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</si>
  <si>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</si>
  <si>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</si>
  <si>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</si>
  <si>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</si>
  <si>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</si>
  <si>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</si>
  <si>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</si>
  <si>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</si>
  <si>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</si>
  <si>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</si>
  <si>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</si>
  <si>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</si>
  <si>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</si>
  <si>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</si>
  <si>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</si>
  <si>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</si>
  <si>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</si>
  <si>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</si>
  <si>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</si>
  <si>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</si>
  <si>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</si>
  <si>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</si>
  <si>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</si>
  <si>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</si>
  <si>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</si>
  <si>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</si>
  <si>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</si>
  <si>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</si>
  <si>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</si>
  <si>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</si>
  <si>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</si>
  <si>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</si>
  <si>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</si>
  <si>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</si>
  <si>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</si>
  <si>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</si>
  <si>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</si>
  <si>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</si>
  <si>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</si>
  <si>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</si>
  <si>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</si>
  <si>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</si>
  <si>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</si>
  <si>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</si>
  <si>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</si>
  <si>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</si>
  <si>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</si>
  <si>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</si>
  <si>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</si>
  <si>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</si>
  <si>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</si>
  <si>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</si>
  <si>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</si>
  <si>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</si>
  <si>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</si>
  <si>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</si>
  <si>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</si>
  <si>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</si>
  <si>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</si>
  <si>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</si>
  <si>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</si>
  <si>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</si>
  <si>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</si>
  <si>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</si>
  <si>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</si>
  <si>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</si>
  <si>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</si>
  <si>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</si>
  <si>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</si>
  <si>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</si>
  <si>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</si>
  <si>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</si>
  <si>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</si>
  <si>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</si>
  <si>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</si>
  <si>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</si>
  <si>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</si>
  <si>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</si>
  <si>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</si>
  <si>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</si>
  <si>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</si>
  <si>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</si>
  <si>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</si>
  <si>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</si>
  <si>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</si>
  <si>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</si>
  <si>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</si>
  <si>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</si>
  <si>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</si>
  <si>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</si>
  <si>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</si>
  <si>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</si>
  <si>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</si>
  <si>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</si>
  <si>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</si>
  <si>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</si>
  <si>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</si>
  <si>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</si>
  <si>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</si>
  <si>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</si>
  <si>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</si>
  <si>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</si>
  <si>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</si>
  <si>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</si>
  <si>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</si>
  <si>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</si>
  <si>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</si>
  <si>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</si>
  <si>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</si>
  <si>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</si>
  <si>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</si>
  <si>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</si>
  <si>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</si>
  <si>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</si>
  <si>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</si>
  <si>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</si>
  <si>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</si>
  <si>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</si>
  <si>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</si>
  <si>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</si>
  <si>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</si>
  <si>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</si>
  <si>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</si>
  <si>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</si>
  <si>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</si>
  <si>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</si>
  <si>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</si>
  <si>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</si>
  <si>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</si>
  <si>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</si>
  <si>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</si>
  <si>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</si>
  <si>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</si>
  <si>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</si>
  <si>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</si>
  <si>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</si>
  <si>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</si>
  <si>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</si>
  <si>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</si>
  <si>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</si>
  <si>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</si>
  <si>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</si>
  <si>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</si>
  <si>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</si>
  <si>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</si>
  <si>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</si>
  <si>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</si>
  <si>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</si>
  <si>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</si>
  <si>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</si>
  <si>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</si>
  <si>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</si>
  <si>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</si>
  <si>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</si>
  <si>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</si>
  <si>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</si>
  <si>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</si>
  <si>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</si>
  <si>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</si>
  <si>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</si>
  <si>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</si>
  <si>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</si>
  <si>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</si>
  <si>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</si>
  <si>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</si>
  <si>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</si>
  <si>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</si>
  <si>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</si>
  <si>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</si>
  <si>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</si>
  <si>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</si>
  <si>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</si>
  <si>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</si>
  <si>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</si>
  <si>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</si>
  <si>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</si>
  <si>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</si>
  <si>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</si>
  <si>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</si>
  <si>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</si>
  <si>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</si>
  <si>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</si>
  <si>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</si>
  <si>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</si>
  <si>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</si>
  <si>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</si>
  <si>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</si>
  <si>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</si>
  <si>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</si>
  <si>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</si>
  <si>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</si>
  <si>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</si>
  <si>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</si>
  <si>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</si>
  <si>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</si>
  <si>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</si>
  <si>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</si>
  <si>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</si>
  <si>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</si>
  <si>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</si>
  <si>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</si>
  <si>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</si>
  <si>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</si>
  <si>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</si>
  <si>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</si>
  <si>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</si>
  <si>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</si>
  <si>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</si>
  <si>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</si>
  <si>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</si>
  <si>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</si>
  <si>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</si>
  <si>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</si>
  <si>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</si>
  <si>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</si>
  <si>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</si>
  <si>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</si>
  <si>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</si>
  <si>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</si>
  <si>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</si>
  <si>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</si>
  <si>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</si>
  <si>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</si>
  <si>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</si>
  <si>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</si>
  <si>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</si>
  <si>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</si>
  <si>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</si>
  <si>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</si>
  <si>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</si>
  <si>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</si>
  <si>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</si>
  <si>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</si>
  <si>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</si>
  <si>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</si>
  <si>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</si>
  <si>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</si>
  <si>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</si>
  <si>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</si>
  <si>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</si>
  <si>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</si>
  <si>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</si>
  <si>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</si>
  <si>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</si>
  <si>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</si>
  <si>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</si>
  <si>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</si>
  <si>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</si>
  <si>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</si>
  <si>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</si>
  <si>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</si>
  <si>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</si>
  <si>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</si>
  <si>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</si>
  <si>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</si>
  <si>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</si>
  <si>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</si>
  <si>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</si>
  <si>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</si>
  <si>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</si>
  <si>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</si>
  <si>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</si>
  <si>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</si>
  <si>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</si>
  <si>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</si>
  <si>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</si>
  <si>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</si>
  <si>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</si>
  <si>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</si>
  <si>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</si>
  <si>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</si>
  <si>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</si>
  <si>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</si>
  <si>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</si>
  <si>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</si>
  <si>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</si>
  <si>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</si>
  <si>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</si>
  <si>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</si>
  <si>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</si>
  <si>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</si>
  <si>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</si>
  <si>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</si>
  <si>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</si>
  <si>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</si>
  <si>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</si>
  <si>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</si>
  <si>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</si>
  <si>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</si>
  <si>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</si>
  <si>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</si>
  <si>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</si>
  <si>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</si>
  <si>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</si>
  <si>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</si>
  <si>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</si>
  <si>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</si>
  <si>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</si>
  <si>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</si>
  <si>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</si>
  <si>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</si>
  <si>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</si>
  <si>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</si>
  <si>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</si>
  <si>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</si>
  <si>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</si>
  <si>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</si>
  <si>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</si>
  <si>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</si>
  <si>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</si>
  <si>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</si>
  <si>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</si>
  <si>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</si>
  <si>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</si>
  <si>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</si>
  <si>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</si>
  <si>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</si>
  <si>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</si>
  <si>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</si>
  <si>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</si>
  <si>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</si>
  <si>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</si>
  <si>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</si>
  <si>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</si>
  <si>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</si>
  <si>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</si>
  <si>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</si>
  <si>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</si>
  <si>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</si>
  <si>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</si>
  <si>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</si>
  <si>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</si>
  <si>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</si>
  <si>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</si>
  <si>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</si>
  <si>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</si>
  <si>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</si>
  <si>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</si>
  <si>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</si>
  <si>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</si>
  <si>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</si>
  <si>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</si>
  <si>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</si>
  <si>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</si>
  <si>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</si>
  <si>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</si>
  <si>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</si>
  <si>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</si>
  <si>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</si>
  <si>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</si>
  <si>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</si>
  <si>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</si>
  <si>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</si>
  <si>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</si>
  <si>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</si>
  <si>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</si>
  <si>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</si>
  <si>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</si>
  <si>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</si>
  <si>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</si>
  <si>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</si>
  <si>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</si>
  <si>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</si>
  <si>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</si>
  <si>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</si>
  <si>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</si>
  <si>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</si>
  <si>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</si>
  <si>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</si>
  <si>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</si>
  <si>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</si>
  <si>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</si>
  <si>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</si>
  <si>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</si>
  <si>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</si>
  <si>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</si>
  <si>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</si>
  <si>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</si>
  <si>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</si>
  <si>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</si>
  <si>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</si>
  <si>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</si>
  <si>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</si>
  <si>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</si>
  <si>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</si>
  <si>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</si>
  <si>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</si>
  <si>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</si>
  <si>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</si>
  <si>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</si>
  <si>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</si>
  <si>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</si>
  <si>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</si>
  <si>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</si>
  <si>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</si>
  <si>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</si>
  <si>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</si>
  <si>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</si>
  <si>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</si>
  <si>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</si>
  <si>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</si>
  <si>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</si>
  <si>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</si>
  <si>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</si>
  <si>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</si>
  <si>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</si>
  <si>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</si>
  <si>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</si>
  <si>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</si>
  <si>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</si>
  <si>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</si>
  <si>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</si>
  <si>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</si>
  <si>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</si>
  <si>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</si>
  <si>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</si>
  <si>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</si>
  <si>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</si>
  <si>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</si>
  <si>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</si>
  <si>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</si>
  <si>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</si>
  <si>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</si>
  <si>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</si>
  <si>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</si>
  <si>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</si>
  <si>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</si>
  <si>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</si>
  <si>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</si>
  <si>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</si>
  <si>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</si>
  <si>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</si>
  <si>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</si>
  <si>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</si>
  <si>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</si>
  <si>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</si>
  <si>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</si>
  <si>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</si>
  <si>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</si>
  <si>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</si>
  <si>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</si>
  <si>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</si>
  <si>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</si>
  <si>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</si>
  <si>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</si>
  <si>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</si>
  <si>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</si>
  <si>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</si>
  <si>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</si>
  <si>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</si>
  <si>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</si>
  <si>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</si>
  <si>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</si>
  <si>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</si>
  <si>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</si>
  <si>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</si>
  <si>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</si>
  <si>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</si>
  <si>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</si>
  <si>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</si>
  <si>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</si>
  <si>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</si>
  <si>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</si>
  <si>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</si>
  <si>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</si>
  <si>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</si>
  <si>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</si>
  <si>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</si>
  <si>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</si>
  <si>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</si>
  <si>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</si>
  <si>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</si>
  <si>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</si>
  <si>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</si>
  <si>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</si>
  <si>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</si>
  <si>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</si>
  <si>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</si>
  <si>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</si>
  <si>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</si>
  <si>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</si>
  <si>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</si>
  <si>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</si>
  <si>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</si>
  <si>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</si>
  <si>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</si>
  <si>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</si>
  <si>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</si>
  <si>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</si>
  <si>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</si>
  <si>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</si>
  <si>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</si>
  <si>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</si>
  <si>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</si>
  <si>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</si>
  <si>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</si>
  <si>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</si>
  <si>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</si>
  <si>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</si>
  <si>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</si>
  <si>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</si>
  <si>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</si>
  <si>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</si>
  <si>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</si>
  <si>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</si>
  <si>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</si>
  <si>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</si>
  <si>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</si>
  <si>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</si>
  <si>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</si>
  <si>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</si>
  <si>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</si>
  <si>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</si>
  <si>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</si>
  <si>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</si>
  <si>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</si>
  <si>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</si>
  <si>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</si>
  <si>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</si>
  <si>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</si>
  <si>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</si>
  <si>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</si>
  <si>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</si>
  <si>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</si>
  <si>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</si>
  <si>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</si>
  <si>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</si>
  <si>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</si>
  <si>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</si>
  <si>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</si>
  <si>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</si>
  <si>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</si>
  <si>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</si>
  <si>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</si>
  <si>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</si>
  <si>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</si>
  <si>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</si>
  <si>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</si>
  <si>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</si>
  <si>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</si>
  <si>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</si>
  <si>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</si>
  <si>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</si>
  <si>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</si>
  <si>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</si>
  <si>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</si>
  <si>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</si>
  <si>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</si>
  <si>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</si>
  <si>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</si>
  <si>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</si>
  <si>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</si>
  <si>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</si>
  <si>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</si>
  <si>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</si>
  <si>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</si>
  <si>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</si>
  <si>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</si>
  <si>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</si>
  <si>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</si>
  <si>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</si>
  <si>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</si>
  <si>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</si>
  <si>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</si>
  <si>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</si>
  <si>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</si>
  <si>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</si>
  <si>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</si>
  <si>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</si>
  <si>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</si>
  <si>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</si>
  <si>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</si>
  <si>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</si>
  <si>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</si>
  <si>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</si>
  <si>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</si>
  <si>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</si>
  <si>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</si>
  <si>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</si>
  <si>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</si>
  <si>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</si>
  <si>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</si>
  <si>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</si>
  <si>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</si>
  <si>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</si>
  <si>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</si>
  <si>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</si>
  <si>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</si>
  <si>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</si>
  <si>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</si>
  <si>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</si>
  <si>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</si>
  <si>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</si>
  <si>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</si>
  <si>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</si>
  <si>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</si>
  <si>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</si>
  <si>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</si>
  <si>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</si>
  <si>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</si>
  <si>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</si>
  <si>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</si>
  <si>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</si>
  <si>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</si>
  <si>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</si>
  <si>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</si>
  <si>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</si>
  <si>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</si>
  <si>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</si>
  <si>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</si>
  <si>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</si>
  <si>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</si>
  <si>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</si>
  <si>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</si>
  <si>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</si>
  <si>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</si>
  <si>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</si>
  <si>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</si>
  <si>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</si>
  <si>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</si>
  <si>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</si>
  <si>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</si>
  <si>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</si>
  <si>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</si>
  <si>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</si>
  <si>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</si>
  <si>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</si>
  <si>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</si>
  <si>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</si>
  <si>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</si>
  <si>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</si>
  <si>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</si>
  <si>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</si>
  <si>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</si>
  <si>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</si>
  <si>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</si>
  <si>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</si>
  <si>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</si>
  <si>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</si>
  <si>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</si>
  <si>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</si>
  <si>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</si>
  <si>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</si>
  <si>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</si>
  <si>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</si>
  <si>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</si>
  <si>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</si>
  <si>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</si>
  <si>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</si>
  <si>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</si>
  <si>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</si>
  <si>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</si>
  <si>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</si>
  <si>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</si>
  <si>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</si>
  <si>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</si>
  <si>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</si>
  <si>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</si>
  <si>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</si>
  <si>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</si>
  <si>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</si>
  <si>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</si>
  <si>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</si>
  <si>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</si>
  <si>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</si>
  <si>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</si>
  <si>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</si>
  <si>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</si>
  <si>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</si>
  <si>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</si>
  <si>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</si>
  <si>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</si>
  <si>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</si>
  <si>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</si>
  <si>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</si>
  <si>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</si>
  <si>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</si>
  <si>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</si>
  <si>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</si>
  <si>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</si>
  <si>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</si>
  <si>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</si>
  <si>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</si>
  <si>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</si>
  <si>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</si>
  <si>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</si>
  <si>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</si>
  <si>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</si>
  <si>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</si>
  <si>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</si>
  <si>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</si>
  <si>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</si>
  <si>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</si>
  <si>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</si>
  <si>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</si>
  <si>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</si>
  <si>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</si>
  <si>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</si>
  <si>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</si>
  <si>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</si>
  <si>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</si>
  <si>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</si>
  <si>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</si>
  <si>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</si>
  <si>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</si>
  <si>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</si>
  <si>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</si>
  <si>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</si>
  <si>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</si>
  <si>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</si>
  <si>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</si>
  <si>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</si>
  <si>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</si>
  <si>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</si>
  <si>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</si>
  <si>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</si>
  <si>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</si>
  <si>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</si>
  <si>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</si>
  <si>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</si>
  <si>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</si>
  <si>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</si>
  <si>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</si>
  <si>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</si>
  <si>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</si>
  <si>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</si>
  <si>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</si>
  <si>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</si>
  <si>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</si>
  <si>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</si>
  <si>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</si>
  <si>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</si>
  <si>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</si>
  <si>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</si>
  <si>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</si>
  <si>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</si>
  <si>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</si>
  <si>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</si>
  <si>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</si>
  <si>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</si>
  <si>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</si>
  <si>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</si>
  <si>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</si>
  <si>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</si>
  <si>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</si>
  <si>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</si>
  <si>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</si>
  <si>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</si>
  <si>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</si>
  <si>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</si>
  <si>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</si>
  <si>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</si>
  <si>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</si>
  <si>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</si>
  <si>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</si>
  <si>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</si>
  <si>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</si>
  <si>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</si>
  <si>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</si>
  <si>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</si>
  <si>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</si>
  <si>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</si>
  <si>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</si>
  <si>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</si>
  <si>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</si>
  <si>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</si>
  <si>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</si>
  <si>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</si>
  <si>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</si>
  <si>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</si>
  <si>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</si>
  <si>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</si>
  <si>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</si>
  <si>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</si>
  <si>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</si>
  <si>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</si>
  <si>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</si>
  <si>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</si>
  <si>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</si>
  <si>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</si>
  <si>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</si>
  <si>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</si>
  <si>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</si>
  <si>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</si>
  <si>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</si>
  <si>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</si>
  <si>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</si>
  <si>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</si>
  <si>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</si>
  <si>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</si>
  <si>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</si>
  <si>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</si>
  <si>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</si>
  <si>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</si>
  <si>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</si>
  <si>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</si>
  <si>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</si>
  <si>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</si>
  <si>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</si>
  <si>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</si>
  <si>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</si>
  <si>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</si>
  <si>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</si>
  <si>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</si>
  <si>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</si>
  <si>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</si>
  <si>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</si>
  <si>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</si>
  <si>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</si>
  <si>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</si>
  <si>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</si>
  <si>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</si>
  <si>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</si>
  <si>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</si>
  <si>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</si>
  <si>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</si>
  <si>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</si>
  <si>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</si>
  <si>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</si>
  <si>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</si>
  <si>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</si>
  <si>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</si>
  <si>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</si>
  <si>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</si>
  <si>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</si>
  <si>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</si>
  <si>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</si>
  <si>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</si>
  <si>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</si>
  <si>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</si>
  <si>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</si>
  <si>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</si>
  <si>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</si>
  <si>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</si>
  <si>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</si>
  <si>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</si>
  <si>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</si>
  <si>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</si>
  <si>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</si>
  <si>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</si>
  <si>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</si>
  <si>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</si>
  <si>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</si>
  <si>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</si>
  <si>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</si>
  <si>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</si>
  <si>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</si>
  <si>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</si>
  <si>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</si>
  <si>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</si>
  <si>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</si>
  <si>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</si>
  <si>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</si>
  <si>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</si>
  <si>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</si>
  <si>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</si>
  <si>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</si>
  <si>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</si>
  <si>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</si>
  <si>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</si>
  <si>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</si>
  <si>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</si>
  <si>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</si>
  <si>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</si>
  <si>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</si>
  <si>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</si>
  <si>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</si>
  <si>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</si>
  <si>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</si>
  <si>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</si>
  <si>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</si>
  <si>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</si>
  <si>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</si>
  <si>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</si>
  <si>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</si>
  <si>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</si>
  <si>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</si>
  <si>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</si>
  <si>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</si>
  <si>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</si>
  <si>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</si>
  <si>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</si>
  <si>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</si>
  <si>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</si>
  <si>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</si>
  <si>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</si>
  <si>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</si>
  <si>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</si>
  <si>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</si>
  <si>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</si>
  <si>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</si>
  <si>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</si>
  <si>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</si>
  <si>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</si>
  <si>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</si>
  <si>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</si>
  <si>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</si>
  <si>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</si>
  <si>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</si>
  <si>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</si>
  <si>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</si>
  <si>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</si>
  <si>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</si>
  <si>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</si>
  <si>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</si>
  <si>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</si>
  <si>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</si>
  <si>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</si>
  <si>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</si>
  <si>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</si>
  <si>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</si>
  <si>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</si>
  <si>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</si>
  <si>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</si>
  <si>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</si>
  <si>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</si>
  <si>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</si>
  <si>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</si>
  <si>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</si>
  <si>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</si>
  <si>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</si>
  <si>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</si>
  <si>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</si>
  <si>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</si>
  <si>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</si>
  <si>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</si>
  <si>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</si>
  <si>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</si>
  <si>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</si>
  <si>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</si>
  <si>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</si>
  <si>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</si>
  <si>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</si>
  <si>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</si>
  <si>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</si>
  <si>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</si>
  <si>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</si>
  <si>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</si>
  <si>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</si>
  <si>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</si>
  <si>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</si>
  <si>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</si>
  <si>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</si>
  <si>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</si>
  <si>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</si>
  <si>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</si>
  <si>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</si>
  <si>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</si>
  <si>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</si>
  <si>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</si>
  <si>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</si>
  <si>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</si>
  <si>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</si>
  <si>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</si>
  <si>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</si>
  <si>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</si>
  <si>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</si>
  <si>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</si>
  <si>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</si>
  <si>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</si>
  <si>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</si>
  <si>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</si>
  <si>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</si>
  <si>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</si>
  <si>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</si>
  <si>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</si>
  <si>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</si>
  <si>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</si>
  <si>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</si>
  <si>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</si>
  <si>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</si>
  <si>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</si>
  <si>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</si>
  <si>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</si>
  <si>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</si>
  <si>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</si>
  <si>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</si>
  <si>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</si>
  <si>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</si>
  <si>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</si>
  <si>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</si>
  <si>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</si>
  <si>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</si>
  <si>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</si>
  <si>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</si>
  <si>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</si>
  <si>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</si>
  <si>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</si>
  <si>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</si>
  <si>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</si>
  <si>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</si>
  <si>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</si>
  <si>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</si>
  <si>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</si>
  <si>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</si>
  <si>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</si>
  <si>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</si>
  <si>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</si>
  <si>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</si>
  <si>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</si>
  <si>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</si>
  <si>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</si>
  <si>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</si>
  <si>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</si>
  <si>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</si>
  <si>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</si>
  <si>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</si>
  <si>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</si>
  <si>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</si>
  <si>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</si>
  <si>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</si>
  <si>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</si>
  <si>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</si>
  <si>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</si>
  <si>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</si>
  <si>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</si>
  <si>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</si>
  <si>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</si>
  <si>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</si>
  <si>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</si>
  <si>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</si>
  <si>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</si>
  <si>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</si>
  <si>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</si>
  <si>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</si>
  <si>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</si>
  <si>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</si>
  <si>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</si>
  <si>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</si>
  <si>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</si>
  <si>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</si>
  <si>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</si>
  <si>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</si>
  <si>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</si>
  <si>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</si>
  <si>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</si>
  <si>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</si>
  <si>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</si>
  <si>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</si>
  <si>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</si>
  <si>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</si>
  <si>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</si>
  <si>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</si>
  <si>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</si>
  <si>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</si>
  <si>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</si>
  <si>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</si>
  <si>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</si>
  <si>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</si>
  <si>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</si>
  <si>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</si>
  <si>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</si>
  <si>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</si>
  <si>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</si>
  <si>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</si>
  <si>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</si>
  <si>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</si>
  <si>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</si>
  <si>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</si>
  <si>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</si>
  <si>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</si>
  <si>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</si>
  <si>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</si>
  <si>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</si>
  <si>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</si>
  <si>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</si>
  <si>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</si>
  <si>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</si>
  <si>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</si>
  <si>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</si>
  <si>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</si>
  <si>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</si>
  <si>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</si>
  <si>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</si>
  <si>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</si>
  <si>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</si>
  <si>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</si>
  <si>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</si>
  <si>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</si>
  <si>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</si>
  <si>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</si>
  <si>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</si>
  <si>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</si>
  <si>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</si>
  <si>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</si>
  <si>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</si>
  <si>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</si>
  <si>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</si>
  <si>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</si>
  <si>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</si>
  <si>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</si>
  <si>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</si>
  <si>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</si>
  <si>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</si>
  <si>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</si>
  <si>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</si>
  <si>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</si>
  <si>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</si>
  <si>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</si>
  <si>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</si>
  <si>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</si>
  <si>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</si>
  <si>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</si>
  <si>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</si>
  <si>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</si>
  <si>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</si>
  <si>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</si>
  <si>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</si>
  <si>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</si>
  <si>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</si>
  <si>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</si>
  <si>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</si>
  <si>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</si>
  <si>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</si>
  <si>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</si>
  <si>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</si>
  <si>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</si>
  <si>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</si>
  <si>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</si>
  <si>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</si>
  <si>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</si>
  <si>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</si>
  <si>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</si>
  <si>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</si>
  <si>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</si>
  <si>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</si>
  <si>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</si>
  <si>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</si>
  <si>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</si>
  <si>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</si>
  <si>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</si>
  <si>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</si>
  <si>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</si>
  <si>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</si>
  <si>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</si>
  <si>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</si>
  <si>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</si>
  <si>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</si>
  <si>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</si>
  <si>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</si>
  <si>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</si>
  <si>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</si>
  <si>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</si>
  <si>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</si>
  <si>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</si>
  <si>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</si>
  <si>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</si>
  <si>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</si>
  <si>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</si>
  <si>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</si>
  <si>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</si>
  <si>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</si>
  <si>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</si>
  <si>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</si>
  <si>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</si>
  <si>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</si>
  <si>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</si>
  <si>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</si>
  <si>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</si>
  <si>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</si>
  <si>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</si>
  <si>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</si>
  <si>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</si>
  <si>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</si>
  <si>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</si>
  <si>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</si>
  <si>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</si>
  <si>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</si>
  <si>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</si>
  <si>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</si>
  <si>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</si>
  <si>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</si>
  <si>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</si>
  <si>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</si>
  <si>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</si>
  <si>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</si>
  <si>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</si>
  <si>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</si>
  <si>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</si>
  <si>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</si>
  <si>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</si>
  <si>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</si>
  <si>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</si>
  <si>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</si>
  <si>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</si>
  <si>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</si>
  <si>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</si>
  <si>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</si>
  <si>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</si>
  <si>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</si>
  <si>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</si>
  <si>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</si>
  <si>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</si>
  <si>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</si>
  <si>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</si>
  <si>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</si>
  <si>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</si>
  <si>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</si>
  <si>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</si>
  <si>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</si>
  <si>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</si>
  <si>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</si>
  <si>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</si>
  <si>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</si>
  <si>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</si>
  <si>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</si>
  <si>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</si>
  <si>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</si>
  <si>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</si>
  <si>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</si>
  <si>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</si>
  <si>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</si>
  <si>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</si>
  <si>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</si>
  <si>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</si>
  <si>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</si>
  <si>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</si>
  <si>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</si>
  <si>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</si>
  <si>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</si>
  <si>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</si>
  <si>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</si>
  <si>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</si>
  <si>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</si>
  <si>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</si>
  <si>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</si>
  <si>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</si>
  <si>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</si>
  <si>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</si>
  <si>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</si>
  <si>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</si>
  <si>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</si>
  <si>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</si>
  <si>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</si>
  <si>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</si>
  <si>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</si>
  <si>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</si>
  <si>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</si>
  <si>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</si>
  <si>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</si>
  <si>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</si>
  <si>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</si>
  <si>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</si>
  <si>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</si>
  <si>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</si>
  <si>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</si>
  <si>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</si>
  <si>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</si>
  <si>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</si>
  <si>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</si>
  <si>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</si>
  <si>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</si>
  <si>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</si>
  <si>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</si>
  <si>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</si>
  <si>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</si>
  <si>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</si>
  <si>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</si>
  <si>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</si>
  <si>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</si>
  <si>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</si>
  <si>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</si>
  <si>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</si>
  <si>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</si>
  <si>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</si>
  <si>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</si>
  <si>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</si>
  <si>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</si>
  <si>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</si>
  <si>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</si>
  <si>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</si>
  <si>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</si>
  <si>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</si>
  <si>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</si>
  <si>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</si>
  <si>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</si>
  <si>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</si>
  <si>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</si>
  <si>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</si>
  <si>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</si>
  <si>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</si>
  <si>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</si>
  <si>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</si>
  <si>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</si>
  <si>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</si>
  <si>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</si>
  <si>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</si>
  <si>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</si>
  <si>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</si>
  <si>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</si>
  <si>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</si>
  <si>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</si>
  <si>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</si>
  <si>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</si>
  <si>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</si>
  <si>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</si>
  <si>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</si>
  <si>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</si>
  <si>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</si>
  <si>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</si>
  <si>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</si>
  <si>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</si>
  <si>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</si>
  <si>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</si>
  <si>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</si>
  <si>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</si>
  <si>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</si>
  <si>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</si>
  <si>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</si>
  <si>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</si>
  <si>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</si>
  <si>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</si>
  <si>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</si>
  <si>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</si>
  <si>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</si>
  <si>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</si>
  <si>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</si>
  <si>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</si>
  <si>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</si>
  <si>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</si>
  <si>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</si>
  <si>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</si>
  <si>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</si>
  <si>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</si>
  <si>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</si>
  <si>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</si>
  <si>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</si>
  <si>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</si>
  <si>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</si>
  <si>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</si>
  <si>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</si>
  <si>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</si>
  <si>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</si>
  <si>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</si>
  <si>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</si>
  <si>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</si>
  <si>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</si>
  <si>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</si>
  <si>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</si>
  <si>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</si>
  <si>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</si>
  <si>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</si>
  <si>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</si>
  <si>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</si>
  <si>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</si>
  <si>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</si>
  <si>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</si>
  <si>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</si>
  <si>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</si>
  <si>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</si>
  <si>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</si>
  <si>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</si>
  <si>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</si>
  <si>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</si>
  <si>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</si>
  <si>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</si>
  <si>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</si>
  <si>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</si>
  <si>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</si>
  <si>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</si>
  <si>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</si>
  <si>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</si>
  <si>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</si>
  <si>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</si>
  <si>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</si>
  <si>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</si>
  <si>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</si>
  <si>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</si>
  <si>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</si>
  <si>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</si>
  <si>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</si>
  <si>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</si>
  <si>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</si>
  <si>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</si>
  <si>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</si>
  <si>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</si>
  <si>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</si>
  <si>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</si>
  <si>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</si>
  <si>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</si>
  <si>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</si>
  <si>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</si>
  <si>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</si>
  <si>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</si>
  <si>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</si>
  <si>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</si>
  <si>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</si>
  <si>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</si>
  <si>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</si>
  <si>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</si>
  <si>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</si>
  <si>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</si>
  <si>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</si>
  <si>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</si>
  <si>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</si>
  <si>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</si>
  <si>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</si>
  <si>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</si>
  <si>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</si>
  <si>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</si>
  <si>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</si>
  <si>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</si>
  <si>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</si>
  <si>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</si>
  <si>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</si>
  <si>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</si>
  <si>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</si>
  <si>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</si>
  <si>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</si>
  <si>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</si>
  <si>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</si>
  <si>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</si>
  <si>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</si>
  <si>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</si>
  <si>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</si>
  <si>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</si>
  <si>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</si>
  <si>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</si>
  <si>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</si>
  <si>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</si>
  <si>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</si>
  <si>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</si>
  <si>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</si>
  <si>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</si>
  <si>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</si>
  <si>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</si>
  <si>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</si>
  <si>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</si>
  <si>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</si>
  <si>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</si>
  <si>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</si>
  <si>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</si>
  <si>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</si>
  <si>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</si>
  <si>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</si>
  <si>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</si>
  <si>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</si>
  <si>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</si>
  <si>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</si>
  <si>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</si>
  <si>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</si>
  <si>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</si>
  <si>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</si>
  <si>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</si>
  <si>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</si>
  <si>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</si>
  <si>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</si>
  <si>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</si>
  <si>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</si>
  <si>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</si>
  <si>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</si>
  <si>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</si>
  <si>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</si>
  <si>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</si>
  <si>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</si>
  <si>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</si>
  <si>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</si>
  <si>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</si>
  <si>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</si>
  <si>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</si>
  <si>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</si>
  <si>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</si>
  <si>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</si>
  <si>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</si>
  <si>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</si>
  <si>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</si>
  <si>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</si>
  <si>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</si>
  <si>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</si>
  <si>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</si>
  <si>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</si>
  <si>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</si>
  <si>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</si>
  <si>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</si>
  <si>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</si>
  <si>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</si>
  <si>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</si>
  <si>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</si>
  <si>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</si>
  <si>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</si>
  <si>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</si>
  <si>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</si>
  <si>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</si>
  <si>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</si>
  <si>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</si>
  <si>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</si>
  <si>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</si>
  <si>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</si>
  <si>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</si>
  <si>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</si>
  <si>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</si>
  <si>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</si>
  <si>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</si>
  <si>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</si>
  <si>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</si>
  <si>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</si>
  <si>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</si>
  <si>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</si>
  <si>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</si>
  <si>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</si>
  <si>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</si>
  <si>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</si>
  <si>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</si>
  <si>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</si>
  <si>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</si>
  <si>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</si>
  <si>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</si>
  <si>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</si>
  <si>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</si>
  <si>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</si>
  <si>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</si>
  <si>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</si>
  <si>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</si>
  <si>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</si>
  <si>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</si>
  <si>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</si>
  <si>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</si>
  <si>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</si>
  <si>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</si>
  <si>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</si>
  <si>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</si>
  <si>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</si>
  <si>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</si>
  <si>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</si>
  <si>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</si>
  <si>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</si>
  <si>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</si>
  <si>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</si>
  <si>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</si>
  <si>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</si>
  <si>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</si>
  <si>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</si>
  <si>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</si>
  <si>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</si>
  <si>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</si>
  <si>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</si>
  <si>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</si>
  <si>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</si>
  <si>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</si>
  <si>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</si>
  <si>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</si>
  <si>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</si>
  <si>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</si>
  <si>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</si>
  <si>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</si>
  <si>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</si>
  <si>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</si>
  <si>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</si>
  <si>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</si>
  <si>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</si>
  <si>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</si>
  <si>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</si>
  <si>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</si>
  <si>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</si>
  <si>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</si>
  <si>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</si>
  <si>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</si>
  <si>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</si>
  <si>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</si>
  <si>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</si>
  <si>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</si>
  <si>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</si>
  <si>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</si>
  <si>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</si>
  <si>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</si>
  <si>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</si>
  <si>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</si>
  <si>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</si>
  <si>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</si>
  <si>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</si>
  <si>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</si>
  <si>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</si>
  <si>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</si>
  <si>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</si>
  <si>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</si>
  <si>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</si>
  <si>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</si>
  <si>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</si>
  <si>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</si>
  <si>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</si>
  <si>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</si>
  <si>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</si>
  <si>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</si>
  <si>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</si>
  <si>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</si>
  <si>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</si>
  <si>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</si>
  <si>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</si>
  <si>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</si>
  <si>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</si>
  <si>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</si>
  <si>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</si>
  <si>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</si>
  <si>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</si>
  <si>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</si>
  <si>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</si>
  <si>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</si>
  <si>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</si>
  <si>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</si>
  <si>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</si>
  <si>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</si>
  <si>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</si>
  <si>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</si>
  <si>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</si>
  <si>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</si>
  <si>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</si>
  <si>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</si>
  <si>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</si>
  <si>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</si>
  <si>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</si>
  <si>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</si>
  <si>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</si>
  <si>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</si>
  <si>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</si>
  <si>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</si>
  <si>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</si>
  <si>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</si>
  <si>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</si>
  <si>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</si>
  <si>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</si>
  <si>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</si>
  <si>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</si>
  <si>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</si>
  <si>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</si>
  <si>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</si>
  <si>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</si>
  <si>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</si>
  <si>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</si>
  <si>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</si>
  <si>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</si>
  <si>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</si>
  <si>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</si>
  <si>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</si>
  <si>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</si>
  <si>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</si>
  <si>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</si>
  <si>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</si>
  <si>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</si>
  <si>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</si>
  <si>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</si>
  <si>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</si>
  <si>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</si>
  <si>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</si>
  <si>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</si>
  <si>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</si>
  <si>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</si>
  <si>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</si>
  <si>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</si>
  <si>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</si>
  <si>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</si>
  <si>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</si>
  <si>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</si>
  <si>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</si>
  <si>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</si>
  <si>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</si>
  <si>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</si>
  <si>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</si>
  <si>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</si>
  <si>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</si>
  <si>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</si>
  <si>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</si>
  <si>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</si>
  <si>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</si>
  <si>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</si>
  <si>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</si>
  <si>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</si>
  <si>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</si>
  <si>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</si>
  <si>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</si>
  <si>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</si>
  <si>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</si>
  <si>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</si>
  <si>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</si>
  <si>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</si>
  <si>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</si>
  <si>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</si>
  <si>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</si>
  <si>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</si>
  <si>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</si>
  <si>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</si>
  <si>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</si>
  <si>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</si>
  <si>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</si>
  <si>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</si>
  <si>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</si>
  <si>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</si>
  <si>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</si>
  <si>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</si>
  <si>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</si>
  <si>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</si>
  <si>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</si>
  <si>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</si>
  <si>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</si>
  <si>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</si>
  <si>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</si>
  <si>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</si>
  <si>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</si>
  <si>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</si>
  <si>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</si>
  <si>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</si>
  <si>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</si>
  <si>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</si>
  <si>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</si>
  <si>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</si>
  <si>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</si>
  <si>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</si>
  <si>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</si>
  <si>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</si>
  <si>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</si>
  <si>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</si>
  <si>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</si>
  <si>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</si>
  <si>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</si>
  <si>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</si>
  <si>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</si>
  <si>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</si>
  <si>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</si>
  <si>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</si>
  <si>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</si>
  <si>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</si>
  <si>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</si>
  <si>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</si>
  <si>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</si>
  <si>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</si>
  <si>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</si>
  <si>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</si>
  <si>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</si>
  <si>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</si>
  <si>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</si>
  <si>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</si>
  <si>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</si>
  <si>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</si>
  <si>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</si>
  <si>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</si>
  <si>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</si>
  <si>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</si>
  <si>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</si>
  <si>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</si>
  <si>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</si>
  <si>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</si>
  <si>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</si>
  <si>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</si>
  <si>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</si>
  <si>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</si>
  <si>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</si>
  <si>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</si>
  <si>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</si>
  <si>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</si>
  <si>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</si>
  <si>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</si>
  <si>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</si>
  <si>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</si>
  <si>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</si>
  <si>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</si>
  <si>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</si>
  <si>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</si>
  <si>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</si>
  <si>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</si>
  <si>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</si>
  <si>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</si>
  <si>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</si>
  <si>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</si>
  <si>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</si>
  <si>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</si>
  <si>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</si>
  <si>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</si>
  <si>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</si>
  <si>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</si>
  <si>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</si>
  <si>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</si>
  <si>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</si>
  <si>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</si>
  <si>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</si>
  <si>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</si>
  <si>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</si>
  <si>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</si>
  <si>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</si>
  <si>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</si>
  <si>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</si>
  <si>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</si>
  <si>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</si>
  <si>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</si>
  <si>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</si>
  <si>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</si>
  <si>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</si>
  <si>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</si>
  <si>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</si>
  <si>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</si>
  <si>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</si>
  <si>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</si>
  <si>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</si>
  <si>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</si>
  <si>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</si>
  <si>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</si>
  <si>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</si>
  <si>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</si>
  <si>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</si>
  <si>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</si>
  <si>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</si>
  <si>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</si>
  <si>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</si>
  <si>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</si>
  <si>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</si>
  <si>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</si>
  <si>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</si>
  <si>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</si>
  <si>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</si>
  <si>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</si>
  <si>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</si>
  <si>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</si>
  <si>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</si>
  <si>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</si>
  <si>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</si>
  <si>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</si>
  <si>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</si>
  <si>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</si>
  <si>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</si>
  <si>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</si>
  <si>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</si>
  <si>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</si>
  <si>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</si>
  <si>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</si>
  <si>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</si>
  <si>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</si>
  <si>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</si>
  <si>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</si>
  <si>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</si>
  <si>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</si>
  <si>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</si>
  <si>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</si>
  <si>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</si>
  <si>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</si>
  <si>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</si>
  <si>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</si>
  <si>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</si>
  <si>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</si>
  <si>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</si>
  <si>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</si>
  <si>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</si>
  <si>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</si>
  <si>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</si>
  <si>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</si>
  <si>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</si>
  <si>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</si>
  <si>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</si>
  <si>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</si>
  <si>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</si>
  <si>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</si>
  <si>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</si>
  <si>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</si>
  <si>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</si>
  <si>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</si>
  <si>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</si>
  <si>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</si>
  <si>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</si>
  <si>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</si>
  <si>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</si>
  <si>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</si>
  <si>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</si>
  <si>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</si>
  <si>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</si>
  <si>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</si>
  <si>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</si>
  <si>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</si>
  <si>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</si>
  <si>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</si>
  <si>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</si>
  <si>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</si>
  <si>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</si>
  <si>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</si>
  <si>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</si>
  <si>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</si>
  <si>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</si>
  <si>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</si>
  <si>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</si>
  <si>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</si>
  <si>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</si>
  <si>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</si>
  <si>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</si>
  <si>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</si>
  <si>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</si>
  <si>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</si>
  <si>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</si>
  <si>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</si>
  <si>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</si>
  <si>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</si>
  <si>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</si>
  <si>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</si>
  <si>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</si>
  <si>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</si>
  <si>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</si>
  <si>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</si>
  <si>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</si>
  <si>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</si>
  <si>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</si>
  <si>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</si>
  <si>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</si>
  <si>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</si>
  <si>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</si>
  <si>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</si>
  <si>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</si>
  <si>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</si>
  <si>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</si>
  <si>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</si>
  <si>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</si>
  <si>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</si>
  <si>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</si>
  <si>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</si>
  <si>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</si>
  <si>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</si>
  <si>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</si>
  <si>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</si>
  <si>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</si>
  <si>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</si>
  <si>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</si>
  <si>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</si>
  <si>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</si>
  <si>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</si>
  <si>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</si>
  <si>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</si>
  <si>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</si>
  <si>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</si>
  <si>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</si>
  <si>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</si>
  <si>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</si>
  <si>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</si>
  <si>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</si>
  <si>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</si>
  <si>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</si>
  <si>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</si>
  <si>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</si>
  <si>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</si>
  <si>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</si>
  <si>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</si>
  <si>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</si>
  <si>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</si>
  <si>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</si>
  <si>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</si>
  <si>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</si>
  <si>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</si>
  <si>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</si>
  <si>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</si>
  <si>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</si>
  <si>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</si>
  <si>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</si>
  <si>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</si>
  <si>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</si>
  <si>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</si>
  <si>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</si>
  <si>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</si>
  <si>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</si>
  <si>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</si>
  <si>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</si>
  <si>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</si>
  <si>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</si>
  <si>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</si>
  <si>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</si>
  <si>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</si>
  <si>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</si>
  <si>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</si>
  <si>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</si>
  <si>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</si>
  <si>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</si>
  <si>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</si>
  <si>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</si>
  <si>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</si>
  <si>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</si>
  <si>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</si>
  <si>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</si>
  <si>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</si>
  <si>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</si>
  <si>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</si>
  <si>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</si>
  <si>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</si>
  <si>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</si>
  <si>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</si>
  <si>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</si>
  <si>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</si>
  <si>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</si>
  <si>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</si>
  <si>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</si>
  <si>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</si>
  <si>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</si>
  <si>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</si>
  <si>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</si>
  <si>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</si>
  <si>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</si>
  <si>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</si>
  <si>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</si>
  <si>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</si>
  <si>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</si>
  <si>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</si>
  <si>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</si>
  <si>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</si>
  <si>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</si>
  <si>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</si>
  <si>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</si>
  <si>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</si>
  <si>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</si>
  <si>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</si>
  <si>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</si>
  <si>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</si>
  <si>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</si>
  <si>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</si>
  <si>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</si>
  <si>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</si>
  <si>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</si>
  <si>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</si>
  <si>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</si>
  <si>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</si>
  <si>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</si>
  <si>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</si>
  <si>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</si>
  <si>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</si>
  <si>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</si>
  <si>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</si>
  <si>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</si>
  <si>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</si>
  <si>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</si>
  <si>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</si>
  <si>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</si>
  <si>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</si>
  <si>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</si>
  <si>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</si>
  <si>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</si>
  <si>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</si>
  <si>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</si>
  <si>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</si>
  <si>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</si>
  <si>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</si>
  <si>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</si>
  <si>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</si>
  <si>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</si>
  <si>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</si>
  <si>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</si>
  <si>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</si>
  <si>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</si>
  <si>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</si>
  <si>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</si>
  <si>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</si>
  <si>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</si>
  <si>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</si>
  <si>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</si>
  <si>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</si>
  <si>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</si>
  <si>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</si>
  <si>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</si>
  <si>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</si>
  <si>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</si>
  <si>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</si>
  <si>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</si>
  <si>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</si>
  <si>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</si>
  <si>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</si>
  <si>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</si>
  <si>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</si>
  <si>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</si>
  <si>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</si>
  <si>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</si>
  <si>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</si>
  <si>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</si>
  <si>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</si>
  <si>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</si>
  <si>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</si>
  <si>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</si>
  <si>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</si>
  <si>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</si>
  <si>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</si>
  <si>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</si>
  <si>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</si>
  <si>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</si>
  <si>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</si>
  <si>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</si>
  <si>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</si>
  <si>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</si>
  <si>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</si>
  <si>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</si>
  <si>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</si>
  <si>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</si>
  <si>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</si>
  <si>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</si>
  <si>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</si>
  <si>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</si>
  <si>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</si>
  <si>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</si>
  <si>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</si>
  <si>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</si>
  <si>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</si>
  <si>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</si>
  <si>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</si>
  <si>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</si>
  <si>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</si>
  <si>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</si>
  <si>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</si>
  <si>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</si>
  <si>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</si>
  <si>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</si>
  <si>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</si>
  <si>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</si>
  <si>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</si>
  <si>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</si>
  <si>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</si>
  <si>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</si>
  <si>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</si>
  <si>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</si>
  <si>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</si>
  <si>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</si>
  <si>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</si>
  <si>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</si>
  <si>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</si>
  <si>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</si>
  <si>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</si>
  <si>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</si>
  <si>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</si>
  <si>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</si>
  <si>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</si>
  <si>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</si>
  <si>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</si>
  <si>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</si>
  <si>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</si>
  <si>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</si>
  <si>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</si>
  <si>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</si>
  <si>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</si>
  <si>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</si>
  <si>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</si>
  <si>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</si>
  <si>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</si>
  <si>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</si>
  <si>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</si>
  <si>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</si>
  <si>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</si>
  <si>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</si>
  <si>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</si>
  <si>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</si>
  <si>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</si>
  <si>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</si>
  <si>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</si>
  <si>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</si>
  <si>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</si>
  <si>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</si>
  <si>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</si>
  <si>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</si>
  <si>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</si>
  <si>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</si>
  <si>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</si>
  <si>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</si>
  <si>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</si>
  <si>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</si>
  <si>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</si>
  <si>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</si>
  <si>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</si>
  <si>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</si>
  <si>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</si>
  <si>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</si>
  <si>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</si>
  <si>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</si>
  <si>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</si>
  <si>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</si>
  <si>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</si>
  <si>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</si>
  <si>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</si>
  <si>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</si>
  <si>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</si>
  <si>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</si>
  <si>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</si>
  <si>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</si>
  <si>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</si>
  <si>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</si>
  <si>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</si>
  <si>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</si>
  <si>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</si>
  <si>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</si>
  <si>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</si>
  <si>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</si>
  <si>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</si>
  <si>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</si>
  <si>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</si>
  <si>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</si>
  <si>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</si>
  <si>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</si>
  <si>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</si>
  <si>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</si>
  <si>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</si>
  <si>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</si>
  <si>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</si>
  <si>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</si>
  <si>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</si>
  <si>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</si>
  <si>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</si>
  <si>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</si>
  <si>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</si>
  <si>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</si>
  <si>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</si>
  <si>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</si>
  <si>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</si>
  <si>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</si>
  <si>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</si>
  <si>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</si>
  <si>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</si>
  <si>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</si>
  <si>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</si>
  <si>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</si>
  <si>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</si>
  <si>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</si>
  <si>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</si>
  <si>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</si>
  <si>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</si>
  <si>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</si>
  <si>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</si>
  <si>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</si>
  <si>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</si>
  <si>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</si>
  <si>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</si>
  <si>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</si>
  <si>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</si>
  <si>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</si>
  <si>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</si>
  <si>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</si>
  <si>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</si>
  <si>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</si>
  <si>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</si>
  <si>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</si>
  <si>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Added the NETsedrates used in R as user inputs, for performing verification.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</si>
</sst>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3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  <xf numFmtId="166" fontId="30" fillId="2" borderId="11" xfId="0" applyNumberFormat="1" applyFont="1" applyFill="1" applyBorder="1" applyAlignment="1">
      <alignment horizontal="right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9" zoomScaleNormal="100" workbookViewId="0">
      <selection activeCell="D43" sqref="D43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  <row r="41" spans="2:12" ht="12.75" customHeight="1" x14ac:dyDescent="0.2">
      <c r="D41" s="90" t="s">
        <v>4054</v>
      </c>
    </row>
    <row r="42" spans="2:12" ht="12.75" customHeight="1" x14ac:dyDescent="0.2">
      <c r="D42" s="90"/>
    </row>
    <row r="43" spans="2:12" ht="12.75" customHeight="1" x14ac:dyDescent="0.2">
      <c r="D43" s="2" t="s">
        <v>4055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4" zoomScaleNormal="100" workbookViewId="0">
      <selection activeCell="L5" sqref="L5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1.0271107499999999E-5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1.0271107499999999E-5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2.1393431498763744E-7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2.1393431498763744E-7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2.3770479443070826E-8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2.3770479443070826E-8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1.0696715749381872E-7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1.0696715749381872E-7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0.11374484017894416</v>
      </c>
      <c r="AY8" s="75"/>
      <c r="AZ8" s="295">
        <f>output!AF12</f>
        <v>4.6193529928949605E-6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1.8845871562582393E-3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0.11878757881025195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12609.955294018861</v>
      </c>
      <c r="D11" s="117">
        <f>C11/$C$51</f>
        <v>1.0782139612328912E-3</v>
      </c>
      <c r="E11" s="517">
        <f>M.aC*Molweight</f>
        <v>6273.802808884373</v>
      </c>
      <c r="F11" s="117">
        <f>E11/$E$51</f>
        <v>3.2515275427886744E-3</v>
      </c>
      <c r="G11" s="517">
        <f>M.aM*Molweight</f>
        <v>473.01594921754526</v>
      </c>
      <c r="H11" s="117">
        <f>G11/$G$51</f>
        <v>8.9684735261727033E-4</v>
      </c>
      <c r="I11" s="517">
        <f>M.aA*Molweight</f>
        <v>10.766234877711678</v>
      </c>
      <c r="J11" s="117">
        <f>I11/$I$51</f>
        <v>4.1215302426612091E-5</v>
      </c>
      <c r="K11" s="517">
        <f>M.aT*Molweight</f>
        <v>16.296532292159775</v>
      </c>
      <c r="L11" s="118">
        <f>K11/$K$51</f>
        <v>5.5273176815392091E-3</v>
      </c>
      <c r="M11" s="320">
        <f>C.aR*(Molweight*1000)</f>
        <v>5.4928585154936883E-8</v>
      </c>
      <c r="N11" s="320">
        <f>C.aC*(Molweight*1000)</f>
        <v>8.7145227751284827E-10</v>
      </c>
      <c r="O11" s="320">
        <f>C.aM*(Molweight*1000)</f>
        <v>6.0978310400530872E-12</v>
      </c>
      <c r="P11" s="320">
        <f>C.aA*(Molweight*1000)</f>
        <v>2.5332317359321598E-13</v>
      </c>
      <c r="Q11" s="321">
        <f>C.aT*(Molweight*1000)</f>
        <v>1.2781593954635119E-13</v>
      </c>
      <c r="R11" s="119" t="s">
        <v>1493</v>
      </c>
      <c r="S11" s="323">
        <f>F.aR</f>
        <v>5.8046888430457313E-7</v>
      </c>
      <c r="T11" s="323">
        <f>F.aC</f>
        <v>9.209247422370525E-9</v>
      </c>
      <c r="U11" s="323">
        <f>F.aM</f>
        <v>6.4440057403868478E-11</v>
      </c>
      <c r="V11" s="323">
        <f>F.aA</f>
        <v>2.470394663998757E-12</v>
      </c>
      <c r="W11" s="324">
        <f>F.aT</f>
        <v>1.4123324992138633E-12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1.0782139612328912E-3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12308.235547454935</v>
      </c>
      <c r="D12" s="122">
        <f>C12/$C$51</f>
        <v>1.0524154206719126E-3</v>
      </c>
      <c r="E12" s="318">
        <f>FRgas.aC*E11</f>
        <v>6123.6888592824662</v>
      </c>
      <c r="F12" s="122">
        <f>E12/$E$51</f>
        <v>3.1737278961379719E-3</v>
      </c>
      <c r="G12" s="318">
        <f>FRgas.aM*G11</f>
        <v>461.69804610124265</v>
      </c>
      <c r="H12" s="122">
        <f>G12/$G$51</f>
        <v>8.7538839026341019E-4</v>
      </c>
      <c r="I12" s="318">
        <f>FRgas.aA*I11</f>
        <v>10.382583835086468</v>
      </c>
      <c r="J12" s="122">
        <f>I12/$I$51</f>
        <v>3.9746609431550481E-5</v>
      </c>
      <c r="K12" s="318">
        <f>FRgas.aT*K11</f>
        <v>15.911875275874644</v>
      </c>
      <c r="L12" s="123">
        <f>K12/$K$51</f>
        <v>5.3968530225967795E-3</v>
      </c>
      <c r="M12" s="320">
        <f>FRgas.aR*M11</f>
        <v>5.36143030337367E-8</v>
      </c>
      <c r="N12" s="320">
        <f>FRgas.aC*N11</f>
        <v>8.5060094583220006E-10</v>
      </c>
      <c r="O12" s="320">
        <f>FRgas.aM*O11</f>
        <v>5.9519275857508243E-12</v>
      </c>
      <c r="P12" s="320">
        <f>FRgas.aA*P11</f>
        <v>2.4429609023732865E-13</v>
      </c>
      <c r="Q12" s="320">
        <f>FRgas.aT*Q11</f>
        <v>1.2479902177156584E-13</v>
      </c>
      <c r="R12" s="120" t="s">
        <v>1493</v>
      </c>
      <c r="S12" s="325">
        <f>S11*FRgas.aR</f>
        <v>5.6657994333872433E-7</v>
      </c>
      <c r="T12" s="325">
        <f>T11*FRgas.aC</f>
        <v>8.9888967761124786E-9</v>
      </c>
      <c r="U12" s="325">
        <f>U11*FRgas.aM</f>
        <v>6.2898193270719472E-11</v>
      </c>
      <c r="V12" s="325">
        <f>V11*FRgas.aA</f>
        <v>2.3823630076858376E-12</v>
      </c>
      <c r="W12" s="326">
        <f>W11*FRgas.aT</f>
        <v>1.3789963516573989E-12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1.8845871562582393E-3</v>
      </c>
      <c r="AE12" s="325">
        <f>k.aR.aC*M.aR*Molweight</f>
        <v>0.11878757881025195</v>
      </c>
      <c r="AF12" s="325">
        <f>kesc.aR*M.aR*Molweight</f>
        <v>4.6193529928949605E-6</v>
      </c>
      <c r="AG12" s="326">
        <f>KDEG.aR*M.aR*Molweight</f>
        <v>0.11374484017894416</v>
      </c>
      <c r="AH12" s="325">
        <f>SUM(AH13:AH15)</f>
        <v>4.1161332672369506E-3</v>
      </c>
      <c r="AI12" s="325">
        <f>SUM(AI13:AI15)</f>
        <v>1.3210484196597225E-4</v>
      </c>
      <c r="AJ12" s="325">
        <f>SUM(AJ18:AJ20)</f>
        <v>8.2644182720325046E-2</v>
      </c>
      <c r="AK12" s="325">
        <f>SUM(AK18:AK20)</f>
        <v>1.8274249388082822E-4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56239.208340107303</v>
      </c>
      <c r="BS12" s="425"/>
      <c r="BT12" s="425">
        <f>engine!F45</f>
        <v>9211435.8224337623</v>
      </c>
      <c r="BU12" s="425">
        <f>engine!G45</f>
        <v>460742.03694704559</v>
      </c>
      <c r="BV12" s="425">
        <f>engine!H45</f>
        <v>3324072.3968200004</v>
      </c>
      <c r="BW12" s="425">
        <f>engine!I45</f>
        <v>42032.749697979852</v>
      </c>
      <c r="BX12" s="425">
        <f>engine!J45</f>
        <v>2133176.8665238479</v>
      </c>
      <c r="BY12" s="425">
        <f>engine!K45</f>
        <v>36044236.343586177</v>
      </c>
      <c r="BZ12" s="425">
        <f>engine!L45</f>
        <v>790009.42864063371</v>
      </c>
      <c r="CA12" s="425">
        <f>engine!M45</f>
        <v>27980.567339596702</v>
      </c>
      <c r="CB12" s="425">
        <f>engine!N45</f>
        <v>8999.6059651213163</v>
      </c>
      <c r="CC12" s="425">
        <f>engine!O45</f>
        <v>54023.788682028164</v>
      </c>
      <c r="CD12" s="425">
        <f>engine!P45</f>
        <v>6547579.5469571929</v>
      </c>
      <c r="CE12" s="425">
        <f>engine!Q45</f>
        <v>19495.221829827587</v>
      </c>
      <c r="CF12" s="425">
        <f>engine!R45</f>
        <v>29866.253798814436</v>
      </c>
      <c r="CG12" s="425">
        <f>engine!S45</f>
        <v>515965.46433446789</v>
      </c>
      <c r="CH12" s="425">
        <f>engine!T45</f>
        <v>1210365.3687305921</v>
      </c>
      <c r="CI12" s="425">
        <f>engine!U45</f>
        <v>191084.88479674541</v>
      </c>
      <c r="CJ12" s="425">
        <f>engine!V45</f>
        <v>2109.6064098543629</v>
      </c>
      <c r="CK12" s="425">
        <f>engine!W45</f>
        <v>608137.76290885778</v>
      </c>
      <c r="CL12" s="611"/>
      <c r="CM12" s="425">
        <f>engine!Y45</f>
        <v>484.23822199425149</v>
      </c>
      <c r="CN12" s="425">
        <f>engine!Z45</f>
        <v>149121.94006954122</v>
      </c>
      <c r="CO12" s="425">
        <f>engine!AA45</f>
        <v>48.016389607134414</v>
      </c>
      <c r="CP12" s="425">
        <f>engine!AB45</f>
        <v>114971.12584873229</v>
      </c>
      <c r="CQ12" s="425"/>
      <c r="CR12" s="425">
        <f>engine!AD45</f>
        <v>366.60547696357918</v>
      </c>
      <c r="CS12" s="425">
        <f>engine!AE45</f>
        <v>11901.471291529171</v>
      </c>
      <c r="CT12" s="425">
        <f>engine!AF45</f>
        <v>72.680993185977059</v>
      </c>
      <c r="CU12" s="425">
        <f>engine!AG45</f>
        <v>1250.6486023013772</v>
      </c>
      <c r="CV12" s="425"/>
      <c r="CW12" s="425">
        <f>engine!AI45</f>
        <v>2.5476762075672563</v>
      </c>
      <c r="CX12" s="425">
        <f>engine!AJ45</f>
        <v>1265.6158551734929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301.71974656392621</v>
      </c>
      <c r="D13" s="122">
        <f>C13/$C$51</f>
        <v>2.5798540560978801E-5</v>
      </c>
      <c r="E13" s="318">
        <f>(1-FRgas.aC)*E11</f>
        <v>150.11394960190651</v>
      </c>
      <c r="F13" s="122">
        <f>E13/$E$51</f>
        <v>7.7799646650702649E-5</v>
      </c>
      <c r="G13" s="318">
        <f>(1-FRgas.aM)*G11</f>
        <v>11.317903116302617</v>
      </c>
      <c r="H13" s="122">
        <f>G13/$G$51</f>
        <v>2.1458962353860209E-5</v>
      </c>
      <c r="I13" s="318">
        <f>(1-FRgas.aA)*I11</f>
        <v>0.38365104262521044</v>
      </c>
      <c r="J13" s="122">
        <f>I13/$I$51</f>
        <v>1.4686929950616065E-6</v>
      </c>
      <c r="K13" s="318">
        <f>(1-FRgas.aT)*K11</f>
        <v>0.38465701628513044</v>
      </c>
      <c r="L13" s="123">
        <f>K13/$K$51</f>
        <v>1.304646589424297E-4</v>
      </c>
      <c r="M13" s="320">
        <f>(1-FRgas.aR)*M11</f>
        <v>1.3142821212001837E-9</v>
      </c>
      <c r="N13" s="320">
        <f>(1-FRgas.aC)*N11</f>
        <v>2.0851331680648194E-11</v>
      </c>
      <c r="O13" s="320">
        <f>(1-FRgas.aM)*O11</f>
        <v>1.4590345430226298E-13</v>
      </c>
      <c r="P13" s="320">
        <f>(1-FRgas.aA)*P11</f>
        <v>9.0270833558873054E-15</v>
      </c>
      <c r="Q13" s="320">
        <f>(1-FRgas.aT)*Q11</f>
        <v>3.0169177747853373E-15</v>
      </c>
      <c r="R13" s="120" t="s">
        <v>1493</v>
      </c>
      <c r="S13" s="325">
        <f>S11*(1-FRgas.aR)</f>
        <v>1.3888940965848823E-8</v>
      </c>
      <c r="T13" s="325">
        <f>T11*(1-FRgas.aC)</f>
        <v>2.2035064625804609E-10</v>
      </c>
      <c r="U13" s="325">
        <f>U11*(1-FRgas.aM)</f>
        <v>1.5418641331490015E-12</v>
      </c>
      <c r="V13" s="325">
        <f>V11*(1-FRgas.aA)</f>
        <v>8.8031656312919333E-14</v>
      </c>
      <c r="W13" s="326">
        <f>W11*(1-FRgas.aT)</f>
        <v>3.3336147556464445E-14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5.2490684027069626E-5</v>
      </c>
      <c r="AF13" s="330"/>
      <c r="AG13" s="326">
        <f>KDEG.w0R*M.w0R*Molweight</f>
        <v>1.9018298996004985E-3</v>
      </c>
      <c r="AH13" s="325">
        <f>k.aR.w0R*M.aR*Molweight</f>
        <v>2.9935490858343076E-4</v>
      </c>
      <c r="AI13" s="325">
        <f>k.w0R.aR*M.w0R*Molweight</f>
        <v>4.1459731783321861E-8</v>
      </c>
      <c r="AJ13" s="325"/>
      <c r="AK13" s="325"/>
      <c r="AL13" s="631">
        <f>SUM(AL18:AL20)*AREAFRAC.w0R/(AREAFRAC.w0R+AREAFRAC.w1R)</f>
        <v>1.6550071347759211E-3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5.2490684027069626E-5</v>
      </c>
      <c r="AE14" s="325">
        <f>(WATERflow.w1R.w0R+WATERflow.w1R.w2R)*C.w1R*Molweight</f>
        <v>0.15003857389728814</v>
      </c>
      <c r="AF14" s="330"/>
      <c r="AG14" s="326">
        <f>KDEG.w1R*M.w1R*Molweight</f>
        <v>0.17912796902158154</v>
      </c>
      <c r="AH14" s="325">
        <f>k.aR.w1R*M.aR*Molweight</f>
        <v>3.2929039944177389E-3</v>
      </c>
      <c r="AI14" s="325">
        <f>k.w1R.aR*M.w1R*Molweight</f>
        <v>1.3016582173631827E-4</v>
      </c>
      <c r="AJ14" s="325"/>
      <c r="AK14" s="325"/>
      <c r="AL14" s="631">
        <f>SUM(AL18:AL20)*AREAFRAC.w1R/(AREAFRAC.w0R+AREAFRAC.w1R)</f>
        <v>1.8205078482535133E-2</v>
      </c>
      <c r="AM14" s="325">
        <f>k.w1R.sd1R*M.w1R*Molweight</f>
        <v>5.463593022844123E-2</v>
      </c>
      <c r="AN14" s="326">
        <f>k.sd1R.w1R*M.sd1R*Molweight</f>
        <v>4.5284245970421473E-2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21896.11390843476</v>
      </c>
      <c r="D15" s="122">
        <f>C15/$C$51</f>
        <v>1.8722267575379983E-3</v>
      </c>
      <c r="E15" s="318">
        <f>M.w0C*Molweight</f>
        <v>2017.8916494995017</v>
      </c>
      <c r="F15" s="122">
        <f>E15/$E$51</f>
        <v>1.0458139148746433E-3</v>
      </c>
      <c r="G15" s="318"/>
      <c r="H15" s="122"/>
      <c r="I15" s="318"/>
      <c r="J15" s="122"/>
      <c r="K15" s="318"/>
      <c r="L15" s="123"/>
      <c r="M15" s="320">
        <f>C.w0R*Molweight</f>
        <v>3.8318438830003522E-7</v>
      </c>
      <c r="N15" s="320">
        <f>C.w0C*Molweight</f>
        <v>2.3155298573652279E-9</v>
      </c>
      <c r="O15" s="320"/>
      <c r="P15" s="320"/>
      <c r="Q15" s="320"/>
      <c r="R15" s="120" t="s">
        <v>1489</v>
      </c>
      <c r="S15" s="325">
        <f>F.w0R</f>
        <v>1.9906202801077815E-10</v>
      </c>
      <c r="T15" s="325">
        <f>F.w0C</f>
        <v>1.2029040936963134E-12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0.15006294466264725</v>
      </c>
      <c r="AE15" s="325">
        <f>k.w2R.w2C*M.w2R*Molweight</f>
        <v>0.14151634774232111</v>
      </c>
      <c r="AF15" s="330"/>
      <c r="AG15" s="326">
        <f>KDEG.w2R*M.w2R*Molweight</f>
        <v>8.9689827613023548E-3</v>
      </c>
      <c r="AH15" s="325">
        <f>k.aR.w2R*M.aR*Molweight</f>
        <v>5.2387436423578088E-4</v>
      </c>
      <c r="AI15" s="325">
        <f>k.w2R.aR*M.w2R*Molweight</f>
        <v>1.8975604978706751E-6</v>
      </c>
      <c r="AJ15" s="325"/>
      <c r="AK15" s="325"/>
      <c r="AL15" s="631"/>
      <c r="AM15" s="325">
        <f>k.w2R.sd2R*M.w2R*Molweight</f>
        <v>5.1129354024822844E-4</v>
      </c>
      <c r="AN15" s="326">
        <f>k.sd2R.w2R*M.sd2R*Molweight</f>
        <v>4.1170257748658601E-4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21889.216380838956</v>
      </c>
      <c r="D16" s="122">
        <f>C16/$C$51</f>
        <v>1.8716369845865183E-3</v>
      </c>
      <c r="E16" s="318">
        <f>FRw.w0C*E15</f>
        <v>2017.2559904325105</v>
      </c>
      <c r="F16" s="122">
        <f>E16/$E$51</f>
        <v>1.0454844714689281E-3</v>
      </c>
      <c r="G16" s="318"/>
      <c r="H16" s="122"/>
      <c r="I16" s="318"/>
      <c r="J16" s="122"/>
      <c r="K16" s="318"/>
      <c r="L16" s="123"/>
      <c r="M16" s="320">
        <f>M15*FRw.w0R</f>
        <v>3.8306368081268682E-7</v>
      </c>
      <c r="N16" s="320">
        <f>N15*FRw.w0C</f>
        <v>2.314800438841152E-9</v>
      </c>
      <c r="O16" s="320"/>
      <c r="P16" s="320"/>
      <c r="Q16" s="320"/>
      <c r="R16" s="120" t="s">
        <v>1489</v>
      </c>
      <c r="S16" s="325">
        <f>S15*FRw.w0R</f>
        <v>1.9899932118356567E-10</v>
      </c>
      <c r="T16" s="325">
        <f>T15*FRw.w0C</f>
        <v>1.2025251650783827E-12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2.1564693637446766E-3</v>
      </c>
      <c r="AG16" s="326">
        <f>KDEG.sd1R*M.sd1R*Molweight</f>
        <v>7.1952148942750942E-3</v>
      </c>
      <c r="AH16" s="325"/>
      <c r="AI16" s="325"/>
      <c r="AJ16" s="325"/>
      <c r="AK16" s="325"/>
      <c r="AL16" s="631"/>
      <c r="AM16" s="325">
        <f>k.w1R.sd1R*M.w1R*Molweight</f>
        <v>5.463593022844123E-2</v>
      </c>
      <c r="AN16" s="326">
        <f>k.sd1R.w1R*M.sd1R*Molweight</f>
        <v>4.5284245970421473E-2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6.89752759580474</v>
      </c>
      <c r="D17" s="122">
        <f>C17/$C$51</f>
        <v>5.897729514801154E-7</v>
      </c>
      <c r="E17" s="318">
        <f>(1-FRw.w0C)*E15</f>
        <v>0.63565906699111241</v>
      </c>
      <c r="F17" s="122">
        <f>E17/$E$51</f>
        <v>3.2944340571527928E-7</v>
      </c>
      <c r="G17" s="318"/>
      <c r="H17" s="122"/>
      <c r="I17" s="318"/>
      <c r="J17" s="122"/>
      <c r="K17" s="318"/>
      <c r="L17" s="123"/>
      <c r="M17" s="320">
        <f>M16*Kp.susp1R</f>
        <v>3.9149232913932459E-5</v>
      </c>
      <c r="N17" s="320">
        <f>N16*Kp.susp1C</f>
        <v>2.3657335860503737E-7</v>
      </c>
      <c r="O17" s="320"/>
      <c r="P17" s="320"/>
      <c r="Q17" s="320"/>
      <c r="R17" s="120" t="s">
        <v>1494</v>
      </c>
      <c r="S17" s="325">
        <f>S15*(1-FRw.w0R)</f>
        <v>6.2706827212489128E-14</v>
      </c>
      <c r="T17" s="325">
        <f>T15*(1-FRw.w0C)</f>
        <v>3.789286179307206E-16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8.6077859320500183E-6</v>
      </c>
      <c r="AG17" s="326">
        <f>KDEG.sd2R*M.sd2R*Molweight</f>
        <v>9.0983176829592547E-5</v>
      </c>
      <c r="AH17" s="325"/>
      <c r="AI17" s="325"/>
      <c r="AJ17" s="325"/>
      <c r="AK17" s="325"/>
      <c r="AL17" s="631"/>
      <c r="AM17" s="325">
        <f>k.w2R.sd2R*M.w2R*Molweight</f>
        <v>5.1129354024822844E-4</v>
      </c>
      <c r="AN17" s="326">
        <f>k.sd2R.w2R*M.sd2R*Molweight</f>
        <v>4.1170257748658601E-4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1.4683054880355277E-5</v>
      </c>
      <c r="AG18" s="326">
        <f>KDEG.s1R*M.s1R*Molweight</f>
        <v>2.0778427357865305E-2</v>
      </c>
      <c r="AH18" s="325"/>
      <c r="AI18" s="325"/>
      <c r="AJ18" s="325">
        <f>k.aR.s1R*M.aR*Molweight</f>
        <v>2.3004050860296665E-2</v>
      </c>
      <c r="AK18" s="325">
        <f>k.s1R.aR*M.s1R*Molweight</f>
        <v>2.021797052645076E-5</v>
      </c>
      <c r="AL18" s="631">
        <f>(k.s1R.w1R+k.s1R.w0R)*M.s1R*Molweight</f>
        <v>2.1907224770245396E-3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2065388.1401060983</v>
      </c>
      <c r="D19" s="122">
        <f>C19/$C$51</f>
        <v>0.1766009693217156</v>
      </c>
      <c r="E19" s="318">
        <f>M.w1C*Molweight</f>
        <v>12113.213898284355</v>
      </c>
      <c r="F19" s="122">
        <f>E19/$E$51</f>
        <v>6.2779226287104127E-3</v>
      </c>
      <c r="G19" s="318"/>
      <c r="H19" s="122"/>
      <c r="I19" s="318"/>
      <c r="J19" s="122"/>
      <c r="K19" s="318"/>
      <c r="L19" s="123"/>
      <c r="M19" s="320">
        <f>C.w1R*Molweight</f>
        <v>1.0952884350029224E-4</v>
      </c>
      <c r="N19" s="320">
        <f>C.w1C*Molweight</f>
        <v>4.212093358579839E-8</v>
      </c>
      <c r="O19" s="320"/>
      <c r="P19" s="320"/>
      <c r="Q19" s="320"/>
      <c r="R19" s="120" t="s">
        <v>1489</v>
      </c>
      <c r="S19" s="325">
        <f>F.w1R</f>
        <v>5.6899587714339311E-8</v>
      </c>
      <c r="T19" s="325">
        <f>F.w1C</f>
        <v>2.1881576382832909E-11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1.1298530981235771E-4</v>
      </c>
      <c r="AG19" s="326">
        <f>KDEG.s2R*M.s2R*Molweight</f>
        <v>0.35109256915737375</v>
      </c>
      <c r="AH19" s="325"/>
      <c r="AI19" s="325"/>
      <c r="AJ19" s="325">
        <f>k.aR.s2R*M.aR*Molweight</f>
        <v>5.1120113022881469E-2</v>
      </c>
      <c r="AK19" s="325">
        <f>k.s2R.aR*M.s2R*Molweight</f>
        <v>1.5505621132821227E-4</v>
      </c>
      <c r="AL19" s="631">
        <f>(k.s2R.w1R+k.s2R.w0R)*M.s2R*Molweight</f>
        <v>1.6857422182013106E-2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2061683.263365068</v>
      </c>
      <c r="D20" s="122">
        <f>C20/$C$51</f>
        <v>0.17628418391417966</v>
      </c>
      <c r="E20" s="318">
        <f>FRw.w1C*E19</f>
        <v>12091.485311991333</v>
      </c>
      <c r="F20" s="122">
        <f>E20/$E$51</f>
        <v>6.2666613412664446E-3</v>
      </c>
      <c r="G20" s="318"/>
      <c r="H20" s="122"/>
      <c r="I20" s="318"/>
      <c r="J20" s="122"/>
      <c r="K20" s="318"/>
      <c r="L20" s="123"/>
      <c r="M20" s="320">
        <f>M19*FRw.w1R</f>
        <v>1.093323715360757E-4</v>
      </c>
      <c r="N20" s="320">
        <f>N19*FRw.w1C</f>
        <v>4.2045377391724145E-8</v>
      </c>
      <c r="O20" s="320"/>
      <c r="P20" s="320"/>
      <c r="Q20" s="320"/>
      <c r="R20" s="120" t="s">
        <v>1489</v>
      </c>
      <c r="S20" s="325">
        <f>S19*FRw.w1R</f>
        <v>5.6797521688586765E-8</v>
      </c>
      <c r="T20" s="325">
        <f>T19*FRw.w1C</f>
        <v>2.1842325385974917E-11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5.4419590213352574E-6</v>
      </c>
      <c r="AG20" s="326">
        <f>KDEG.s3R*M.s3R*Molweight</f>
        <v>7.6951676078259998E-3</v>
      </c>
      <c r="AH20" s="325"/>
      <c r="AI20" s="325"/>
      <c r="AJ20" s="325">
        <f>k.aR.s3R*M.aR*Molweight</f>
        <v>8.5200188371469133E-3</v>
      </c>
      <c r="AK20" s="325">
        <f>k.s3R.aR*M.s3R*Molweight</f>
        <v>7.4683120261651887E-6</v>
      </c>
      <c r="AL20" s="631">
        <f>(k.s3R.w1R+k.s3R.w0R)*M.s3R*Molweight</f>
        <v>8.1194095827340554E-4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2.021797052645076E-5</v>
      </c>
      <c r="BE20" s="2"/>
      <c r="BF20" s="296">
        <f>IF(output!AK20&lt;0,"",output!AK20)</f>
        <v>7.4683120261651887E-6</v>
      </c>
      <c r="BG20" s="75"/>
      <c r="BH20" s="296">
        <f>IF(output!AK19&lt;0,"",output!AK19)</f>
        <v>1.5505621132821227E-4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3704.8767410302403</v>
      </c>
      <c r="D21" s="122">
        <f>C21/$C$51</f>
        <v>3.1678540753594567E-4</v>
      </c>
      <c r="E21" s="318">
        <f>(1-FRw.w1C)*E19</f>
        <v>21.728586293021216</v>
      </c>
      <c r="F21" s="122">
        <f>E21/$E$51</f>
        <v>1.1261287443967711E-5</v>
      </c>
      <c r="G21" s="318"/>
      <c r="H21" s="122"/>
      <c r="I21" s="318"/>
      <c r="J21" s="122"/>
      <c r="K21" s="318"/>
      <c r="L21" s="123"/>
      <c r="M21" s="320">
        <f>M20*Kp.susp1R</f>
        <v>1.1173803972273289E-2</v>
      </c>
      <c r="N21" s="320">
        <f>N20*Kp.susp1C</f>
        <v>4.2970512604344056E-6</v>
      </c>
      <c r="O21" s="320"/>
      <c r="P21" s="320"/>
      <c r="Q21" s="320"/>
      <c r="R21" s="120" t="s">
        <v>1494</v>
      </c>
      <c r="S21" s="325">
        <f>S19*(1-FRw.w1R)</f>
        <v>1.0206602575254291E-10</v>
      </c>
      <c r="T21" s="325">
        <f>T19*(1-FRw.w1C)</f>
        <v>3.9250996857989992E-14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1.8975604978706751E-6</v>
      </c>
      <c r="AV21" s="75"/>
      <c r="AW21" s="75"/>
      <c r="AX21" s="288">
        <f>IF(output!AI14&lt;0,"",output!AI14)</f>
        <v>1.3016582173631827E-4</v>
      </c>
      <c r="AY21" s="75"/>
      <c r="AZ21" s="75"/>
      <c r="BA21" s="296">
        <f>IF(output!AI13&lt;0,"",output!AI13)</f>
        <v>4.1459731783321861E-8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0.11884823895496013</v>
      </c>
      <c r="AE22" s="325">
        <f>(k.aC.aM+k.aC.aR)*M.aC*Molweight</f>
        <v>1.0553640285638309E-2</v>
      </c>
      <c r="AF22" s="325">
        <f>kesc.aC*M.aC*Molweight</f>
        <v>2.2982563463804689E-6</v>
      </c>
      <c r="AG22" s="326">
        <f>KDEG.aC*M.aC*Molweight</f>
        <v>5.659121552550183E-2</v>
      </c>
      <c r="AH22" s="325">
        <f>SUM(AH23:AH25)</f>
        <v>3.1725408567093619E-2</v>
      </c>
      <c r="AI22" s="325">
        <f>SUM(AI23:AI25)</f>
        <v>2.1155316014635003E-6</v>
      </c>
      <c r="AJ22" s="325">
        <f>SUM(AJ28:AJ30)</f>
        <v>1.99896899225812E-2</v>
      </c>
      <c r="AK22" s="325">
        <f>SUM(AK28:AK30)</f>
        <v>1.1898070599750682E-5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2.3004050860296665E-2</v>
      </c>
      <c r="BE22" s="2"/>
      <c r="BF22" s="296">
        <f>IF(output!AJ20&lt;0,"",output!AJ20)</f>
        <v>8.5200188371469133E-3</v>
      </c>
      <c r="BG22" s="75"/>
      <c r="BH22" s="296">
        <f>IF(output!AJ19&lt;0,"",output!AJ19)</f>
        <v>5.1120113022881469E-2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745323.51281498047</v>
      </c>
      <c r="D23" s="122">
        <f>C23/$C$51</f>
        <v>6.3728871230290959E-2</v>
      </c>
      <c r="E23" s="318">
        <f>M.sd1C*Molweight</f>
        <v>4371.2186386839421</v>
      </c>
      <c r="F23" s="122">
        <f>E23/$E$51</f>
        <v>2.2654741043350514E-3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3.0403829824081296E-3</v>
      </c>
      <c r="N23" s="320">
        <f>C.sd1C*(Molweight*1000)/(FRACw.sdC*1000+FRACs.sdC*RHOsolid)</f>
        <v>1.169224156713229E-6</v>
      </c>
      <c r="O23" s="320"/>
      <c r="P23" s="320"/>
      <c r="Q23" s="320"/>
      <c r="R23" s="120" t="s">
        <v>1495</v>
      </c>
      <c r="S23" s="325">
        <f>F.sd1R</f>
        <v>7.7748526773306556E-8</v>
      </c>
      <c r="T23" s="325">
        <f>F.sd1C</f>
        <v>2.9899343661045552E-11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4.8374114885262029E-6</v>
      </c>
      <c r="AF23" s="330"/>
      <c r="AG23" s="326">
        <f>KDEG.w0C*M.w0C*Molweight</f>
        <v>1.7526793517885284E-4</v>
      </c>
      <c r="AH23" s="325">
        <f>k.aC.w0C*M.aC*Molweight</f>
        <v>7.2413650398328971E-5</v>
      </c>
      <c r="AI23" s="325">
        <f>k.w0C.aC*M.w0C*Molweight</f>
        <v>3.8208262391175498E-9</v>
      </c>
      <c r="AJ23" s="325"/>
      <c r="AK23" s="325"/>
      <c r="AL23" s="631">
        <f>SUM(AL28:AL30)*AREAFRAC.w0C/(AREAFRAC.w1C+AREAFRAC.w0C)</f>
        <v>1.0769551709528923E-4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5.2387436423578088E-4</v>
      </c>
      <c r="AV23" s="75"/>
      <c r="AW23" s="75"/>
      <c r="AX23" s="288">
        <f>IF(output!AH14&lt;0,"",output!AH14)</f>
        <v>3.2929039944177389E-3</v>
      </c>
      <c r="AY23" s="291">
        <f>output!AL14</f>
        <v>1.8205078482535133E-2</v>
      </c>
      <c r="AZ23" s="87"/>
      <c r="BA23" s="296">
        <f>IF(output!AH13&lt;0,"",output!AH13)</f>
        <v>2.9935490858343076E-4</v>
      </c>
      <c r="BB23" s="291">
        <f>output!AL13</f>
        <v>1.6550071347759211E-3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596258.8102519844</v>
      </c>
      <c r="D24" s="122">
        <f>C24/$C$51</f>
        <v>5.098309698423277E-2</v>
      </c>
      <c r="E24" s="318">
        <f>E23*FRACw.sdC</f>
        <v>3496.9749109471541</v>
      </c>
      <c r="F24" s="122">
        <f>E24/$E$51</f>
        <v>1.8123792834680412E-3</v>
      </c>
      <c r="G24" s="318"/>
      <c r="H24" s="122"/>
      <c r="I24" s="318"/>
      <c r="J24" s="122"/>
      <c r="K24" s="318"/>
      <c r="L24" s="123"/>
      <c r="M24" s="320">
        <f>M25/Kp.sd1R</f>
        <v>1.4966200219383531E-4</v>
      </c>
      <c r="N24" s="320">
        <f>N25/Kp.sd1C</f>
        <v>5.7554732189857633E-8</v>
      </c>
      <c r="O24" s="320"/>
      <c r="P24" s="320"/>
      <c r="Q24" s="320"/>
      <c r="R24" s="120" t="s">
        <v>1489</v>
      </c>
      <c r="S24" s="325">
        <f>S23*FRACw.sdR</f>
        <v>6.2198821418645252E-8</v>
      </c>
      <c r="T24" s="325">
        <f>T23*FRACw.sdC</f>
        <v>2.3919474928836444E-11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4.8374114885262029E-6</v>
      </c>
      <c r="AE24" s="325">
        <f>(k.w1C.w0C+k.w1C.w1R+k.w1C.w2C)*M.w1C*Molweight</f>
        <v>8.7995534752999683E-4</v>
      </c>
      <c r="AF24" s="330"/>
      <c r="AG24" s="326">
        <f>KDEG.w1C*M.w1C*Molweight</f>
        <v>1.0505606001069651E-3</v>
      </c>
      <c r="AH24" s="325">
        <f>k.aC.w1C*M.aC*Molweight</f>
        <v>7.9655015438161842E-4</v>
      </c>
      <c r="AI24" s="325">
        <f>k.w1C.aC*M.w1C*Molweight</f>
        <v>7.6340442279143637E-7</v>
      </c>
      <c r="AJ24" s="518"/>
      <c r="AK24" s="518"/>
      <c r="AL24" s="631">
        <f>SUM(AL28:AL30)*AREAFRAC.w1C/(AREAFRAC.w1C+AREAFRAC.w0C)</f>
        <v>1.1846506880481813E-3</v>
      </c>
      <c r="AM24" s="325">
        <f>k.w1C.sd1C*M.w1C*Molweight</f>
        <v>3.204321243729284E-4</v>
      </c>
      <c r="AN24" s="326">
        <f>k.sd1C.w1C*M.sd1C*Molweight</f>
        <v>2.6567322251435608E-4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5.2490684027069626E-5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149064.70256299607</v>
      </c>
      <c r="D25" s="122">
        <f>C25/$C$51</f>
        <v>1.2745774246058189E-2</v>
      </c>
      <c r="E25" s="318">
        <f>E23*FRACs.sdC</f>
        <v>874.24372773678817</v>
      </c>
      <c r="F25" s="122">
        <f>E25/$E$51</f>
        <v>4.5309482086701013E-4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7.6655365507510018E-3</v>
      </c>
      <c r="N25" s="320">
        <f>C.sd1C*FRACs.sdC/(FRACw.sdC/(Kp.sd1C*RHOsolid/1000)+FRACs.sdC)*(Molweight*1000)/(FRACs.sdC*RHOsolid)</f>
        <v>2.9478952359506238E-6</v>
      </c>
      <c r="O25" s="320"/>
      <c r="P25" s="320"/>
      <c r="Q25" s="320"/>
      <c r="R25" s="120" t="s">
        <v>1494</v>
      </c>
      <c r="S25" s="325">
        <f>S23*(1-FRACw.sdR)</f>
        <v>1.5549705354661307E-8</v>
      </c>
      <c r="T25" s="325">
        <f>T23*(1-FRACw.sdC)</f>
        <v>5.9798687322091094E-12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0.14322376787261032</v>
      </c>
      <c r="AE25" s="325">
        <f>(k.w2C.w2M+k.w2C.w2R)*M.w2C*Molweight</f>
        <v>4.6550383398557951E-2</v>
      </c>
      <c r="AF25" s="330"/>
      <c r="AG25" s="326">
        <f>KDEG.w2C*M.w2C*Molweight</f>
        <v>0.1274577168474523</v>
      </c>
      <c r="AH25" s="325">
        <f>k.aC.w2C*M.aC*Molweight</f>
        <v>3.0856444762313671E-2</v>
      </c>
      <c r="AI25" s="325">
        <f>k.w2C.aC*M.w2C*Molweight</f>
        <v>1.3483063524329465E-6</v>
      </c>
      <c r="AJ25" s="325"/>
      <c r="AK25" s="325"/>
      <c r="AL25" s="631"/>
      <c r="AM25" s="325">
        <f>k.w2C.sd2C*M.w2C*Molweight</f>
        <v>3.6329820790862626E-4</v>
      </c>
      <c r="AN25" s="326">
        <f>k.sd2C.w2C*M.sd2C*Molweight</f>
        <v>2.9253412534729797E-4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0.15003857389728814</v>
      </c>
      <c r="AT25" s="75"/>
      <c r="AU25" s="75"/>
      <c r="AV25" s="87"/>
      <c r="AW25" s="75"/>
      <c r="AX25" s="289">
        <f>output!AD14</f>
        <v>5.2490684027069626E-5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1.2559968221818523E-5</v>
      </c>
      <c r="AG26" s="326">
        <f>KDEG.sd1C*M.sd1C*Molweight</f>
        <v>4.2198933636753823E-5</v>
      </c>
      <c r="AH26" s="325"/>
      <c r="AI26" s="325"/>
      <c r="AJ26" s="325"/>
      <c r="AK26" s="325"/>
      <c r="AL26" s="631"/>
      <c r="AM26" s="325">
        <f>k.w1C.sd1C*M.w1C*Molweight</f>
        <v>3.204321243729284E-4</v>
      </c>
      <c r="AN26" s="326">
        <f>k.sd1C.w1C*M.sd1C*Molweight</f>
        <v>2.6567322251435608E-4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0.14151634774232111</v>
      </c>
      <c r="AT26" s="75"/>
      <c r="AU26" s="285">
        <f>output!AD15</f>
        <v>0.15006294466264725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103307.57952426656</v>
      </c>
      <c r="D27" s="122">
        <f>C27/$C$51</f>
        <v>8.8333124065138168E-3</v>
      </c>
      <c r="E27" s="318">
        <f>M.w2C*Molweight</f>
        <v>1468098.2860187418</v>
      </c>
      <c r="F27" s="122">
        <f>E27/$E$51</f>
        <v>0.76087217879256774</v>
      </c>
      <c r="G27" s="318">
        <f>M.w2M*Molweight</f>
        <v>136356.64919942411</v>
      </c>
      <c r="H27" s="122">
        <f>G27/$G$51</f>
        <v>0.25853483386460258</v>
      </c>
      <c r="I27" s="318">
        <f>M.w2A*Molweight</f>
        <v>25778.825837802753</v>
      </c>
      <c r="J27" s="122">
        <f>I27/$I$51</f>
        <v>9.8686506023341447E-2</v>
      </c>
      <c r="K27" s="318">
        <f>M.w2T*Molweight</f>
        <v>280.42042960801479</v>
      </c>
      <c r="L27" s="123">
        <f>K27/$K$51</f>
        <v>9.5110589851246444E-2</v>
      </c>
      <c r="M27" s="320">
        <f>C.w2R*Molweight</f>
        <v>1.0330757952426645E-5</v>
      </c>
      <c r="N27" s="320">
        <f>C.w2C*Molweight</f>
        <v>1.9767522116043498E-9</v>
      </c>
      <c r="O27" s="320">
        <f>C.w2M*Molweight</f>
        <v>3.5156523131251605E-11</v>
      </c>
      <c r="P27" s="320">
        <f>C.w2A*Molweight</f>
        <v>1.0109343465805002E-11</v>
      </c>
      <c r="Q27" s="320">
        <f>C.w2T*Molweight</f>
        <v>3.1419655978489056E-14</v>
      </c>
      <c r="R27" s="120" t="s">
        <v>1489</v>
      </c>
      <c r="S27" s="325">
        <f>F.w2R</f>
        <v>5.3667677799240161E-9</v>
      </c>
      <c r="T27" s="325">
        <f>F.w2C</f>
        <v>1.0269111063278581E-12</v>
      </c>
      <c r="U27" s="325">
        <f>F.w2M</f>
        <v>1.8263606258496766E-14</v>
      </c>
      <c r="V27" s="325">
        <f>F.w2A</f>
        <v>1.5350547401952003E-16</v>
      </c>
      <c r="W27" s="326">
        <f>F.w2T</f>
        <v>1.0300718584882409E-16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6.1162384364500922E-6</v>
      </c>
      <c r="AG27" s="326">
        <f>KDEG.sd2C*M.sd2C*Molweight</f>
        <v>6.4647844124878225E-5</v>
      </c>
      <c r="AH27" s="325"/>
      <c r="AI27" s="325"/>
      <c r="AJ27" s="325"/>
      <c r="AK27" s="325"/>
      <c r="AL27" s="631"/>
      <c r="AM27" s="325">
        <f>k.w2C.sd2C*M.w2C*Molweight</f>
        <v>3.6329820790862626E-4</v>
      </c>
      <c r="AN27" s="326">
        <f>k.sd2C.w2C*M.sd2C*Molweight</f>
        <v>2.9253412534729797E-4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1.9018298996004985E-3</v>
      </c>
      <c r="BB27" s="264">
        <f>IF(ISERROR(output!D15),0,output!D15)</f>
        <v>1.8722267575379983E-3</v>
      </c>
      <c r="BC27" s="86"/>
      <c r="BD27" s="295">
        <f>output!AG18</f>
        <v>2.0778427357865305E-2</v>
      </c>
      <c r="BE27" s="75"/>
      <c r="BF27" s="295">
        <f>output!AG19</f>
        <v>0.35109256915737375</v>
      </c>
      <c r="BG27" s="75"/>
      <c r="BH27" s="256">
        <f>output!AG20</f>
        <v>7.6951676078259998E-3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103229.00298254953</v>
      </c>
      <c r="D28" s="122">
        <f>C28/$C$51</f>
        <v>8.826593720972966E-3</v>
      </c>
      <c r="E28" s="318">
        <f>FRw.w2C*E27</f>
        <v>1466981.6391400974</v>
      </c>
      <c r="F28" s="122">
        <f>E28/$E$51</f>
        <v>0.76029345354536371</v>
      </c>
      <c r="G28" s="318">
        <f>FRw.w2M*G27</f>
        <v>136252.93528043042</v>
      </c>
      <c r="H28" s="122">
        <f>G28/$G$51</f>
        <v>0.2583381902760874</v>
      </c>
      <c r="I28" s="318">
        <f>FRw.w2A*I27</f>
        <v>25759.21826405852</v>
      </c>
      <c r="J28" s="122">
        <f>I28/$I$51</f>
        <v>9.8611444305767945E-2</v>
      </c>
      <c r="K28" s="318">
        <f>FRw.w2T*K27</f>
        <v>280.20713966659059</v>
      </c>
      <c r="L28" s="123">
        <f>K28/$K$51</f>
        <v>9.5038248003091685E-2</v>
      </c>
      <c r="M28" s="320">
        <f>M27*FRw.w2R</f>
        <v>1.0322900298254942E-5</v>
      </c>
      <c r="N28" s="320">
        <f>N27*FRw.w2C</f>
        <v>1.9752486786270536E-9</v>
      </c>
      <c r="O28" s="320">
        <f>O27*FRw.w2M</f>
        <v>3.5129782808623102E-11</v>
      </c>
      <c r="P28" s="320">
        <f>P27*FRw.w2A</f>
        <v>1.0101654221199419E-11</v>
      </c>
      <c r="Q28" s="320">
        <f>Q27*FRw.w2T</f>
        <v>3.1395757945836486E-14</v>
      </c>
      <c r="R28" s="120" t="s">
        <v>1489</v>
      </c>
      <c r="S28" s="325">
        <f>S27*FRw.w2R</f>
        <v>5.3626857749609067E-9</v>
      </c>
      <c r="T28" s="325">
        <f>T27*FRw.w2C</f>
        <v>1.0261300298206198E-12</v>
      </c>
      <c r="U28" s="325">
        <f>U27*FRw.w2M</f>
        <v>1.8249714818723587E-14</v>
      </c>
      <c r="V28" s="325">
        <f>V27*FRw.w2A</f>
        <v>1.5338871657211264E-16</v>
      </c>
      <c r="W28" s="326">
        <f>W27*FRw.w2T</f>
        <v>1.0292883778885331E-16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3.5514866807722761E-6</v>
      </c>
      <c r="AG28" s="326">
        <f>KDEG.s1C*M.s1C*Molweight</f>
        <v>5.0258143560835992E-3</v>
      </c>
      <c r="AH28" s="325"/>
      <c r="AI28" s="325"/>
      <c r="AJ28" s="325">
        <f>k.aC.s1C*M.aC*Molweight</f>
        <v>5.564140493914356E-3</v>
      </c>
      <c r="AK28" s="325">
        <f>k.s1C.aC*M.s1C*Molweight</f>
        <v>4.890252990404877E-6</v>
      </c>
      <c r="AL28" s="631">
        <f>(k.s1C.w1C+k.s1C.w0C)*M.s1C*Molweight</f>
        <v>5.2988439815957735E-4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78.576541717038637</v>
      </c>
      <c r="D29" s="122">
        <f>C29/$C$51</f>
        <v>6.7186855408516122E-6</v>
      </c>
      <c r="E29" s="318">
        <f>(1-FRw.w2C)*E27</f>
        <v>1116.646878644247</v>
      </c>
      <c r="F29" s="122">
        <f>E29/$E$51</f>
        <v>5.7872524720400215E-4</v>
      </c>
      <c r="G29" s="318">
        <f>(1-FRw.w2M)*G27</f>
        <v>103.71391899369176</v>
      </c>
      <c r="H29" s="122">
        <f>G29/$G$51</f>
        <v>1.9664358851518475E-4</v>
      </c>
      <c r="I29" s="318">
        <f>(1-FRw.w2A)*I27</f>
        <v>19.607573744234063</v>
      </c>
      <c r="J29" s="122">
        <f>I29/$I$51</f>
        <v>7.5061717573495014E-5</v>
      </c>
      <c r="K29" s="318">
        <f>(1-FRw.w2T)*K27</f>
        <v>0.21328994142417457</v>
      </c>
      <c r="L29" s="123">
        <f>K29/$K$51</f>
        <v>7.2341848154743857E-5</v>
      </c>
      <c r="M29" s="320">
        <f>M28*Kp.susp2R</f>
        <v>1.0264598211489487E-3</v>
      </c>
      <c r="N29" s="320">
        <f>N28*Kp.susp2C</f>
        <v>1.9640927905997197E-7</v>
      </c>
      <c r="O29" s="320">
        <f>O28*Kp.susp2M</f>
        <v>3.4931375424439986E-9</v>
      </c>
      <c r="P29" s="320">
        <f>P28*Kp.susp2A</f>
        <v>1.0044601696825184E-9</v>
      </c>
      <c r="Q29" s="320">
        <f>Q28*Kp.susp2T</f>
        <v>3.1218439735746364E-12</v>
      </c>
      <c r="R29" s="120" t="s">
        <v>1494</v>
      </c>
      <c r="S29" s="325">
        <f>S27*(1-FRw.w2R)</f>
        <v>4.0820049631092369E-12</v>
      </c>
      <c r="T29" s="325">
        <f>T27*(1-FRw.w2C)</f>
        <v>7.8107650723834066E-16</v>
      </c>
      <c r="U29" s="325">
        <f>U27*(1-FRw.w2M)</f>
        <v>1.389143977317987E-17</v>
      </c>
      <c r="V29" s="325">
        <f>V27*(1-FRw.w2A)</f>
        <v>1.1675744740738315E-19</v>
      </c>
      <c r="W29" s="326">
        <f>W27*(1-FRw.w2T)</f>
        <v>7.8348059970794693E-20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3.7940464286326564E-6</v>
      </c>
      <c r="AG29" s="326">
        <f>KDEG.s2C*M.s2C*Molweight</f>
        <v>1.1789687618180113E-2</v>
      </c>
      <c r="AH29" s="325"/>
      <c r="AI29" s="325"/>
      <c r="AJ29" s="325">
        <f>k.aC.s2C*M.aC*Molweight</f>
        <v>1.2364756653143011E-2</v>
      </c>
      <c r="AK29" s="325">
        <f>k.s2C.aC*M.s2C*Molweight</f>
        <v>5.2027926723494943E-6</v>
      </c>
      <c r="AL29" s="631">
        <f>(k.s2C.w1C+k.s2C.w0C)*M.s2C*Molweight</f>
        <v>5.660721958619119E-4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1.3162831669613965E-6</v>
      </c>
      <c r="AG30" s="326">
        <f>KDEG.s3C*M.s3C*Molweight</f>
        <v>1.8612818562978952E-3</v>
      </c>
      <c r="AH30" s="325"/>
      <c r="AI30" s="325"/>
      <c r="AJ30" s="325">
        <f>k.aC.s3C*M.aC*Molweight</f>
        <v>2.0607927755238349E-3</v>
      </c>
      <c r="AK30" s="325">
        <f>k.s3C.aC*M.s3C*Molweight</f>
        <v>1.8050249369963116E-6</v>
      </c>
      <c r="AL30" s="631">
        <f>(k.s3C.w1C+k.s3C.w0C)*M.s3C*Molweight</f>
        <v>1.9638961112198135E-4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0.1766009693217156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357046.4386946701</v>
      </c>
      <c r="H31" s="122">
        <f>G31/$G$51</f>
        <v>0.67696692645234346</v>
      </c>
      <c r="I31" s="318">
        <f>M.w3A*Molweight</f>
        <v>232679.01867763992</v>
      </c>
      <c r="J31" s="122">
        <f>I31/$I$51</f>
        <v>0.89074186398992594</v>
      </c>
      <c r="K31" s="318">
        <f>M.w3T*Molweight</f>
        <v>2367.2972080984409</v>
      </c>
      <c r="L31" s="123">
        <f>K31/$K$51</f>
        <v>0.80291950957419256</v>
      </c>
      <c r="M31" s="320"/>
      <c r="N31" s="320"/>
      <c r="O31" s="320">
        <f>C.w3M*Molweight</f>
        <v>3.0685489008905121E-12</v>
      </c>
      <c r="P31" s="320">
        <f>C.w3A*Molweight</f>
        <v>3.041555799707711E-12</v>
      </c>
      <c r="Q31" s="320">
        <f>C.w3T*Molweight</f>
        <v>8.841446155362992E-15</v>
      </c>
      <c r="R31" s="120" t="s">
        <v>1489</v>
      </c>
      <c r="S31" s="325"/>
      <c r="T31" s="325"/>
      <c r="U31" s="325">
        <f>F.w3M</f>
        <v>1.594093042181107E-15</v>
      </c>
      <c r="V31" s="325">
        <f>F.w3A</f>
        <v>4.6184548617843784E-17</v>
      </c>
      <c r="W31" s="326">
        <f>F.w3T</f>
        <v>2.8986074447198425E-17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0.17912796902158154</v>
      </c>
      <c r="AY31" s="75"/>
      <c r="AZ31" s="75"/>
      <c r="BA31" s="87"/>
      <c r="BB31" s="2"/>
      <c r="BC31" s="86"/>
      <c r="BD31" s="277">
        <f>IF(ISERROR(output!D39),0,output!D39)</f>
        <v>4.0897109812706445E-2</v>
      </c>
      <c r="BE31" s="75"/>
      <c r="BF31" s="277">
        <f>IF(ISERROR(output!D43),0,output!D43)</f>
        <v>0.69103744513268595</v>
      </c>
      <c r="BG31" s="75"/>
      <c r="BH31" s="273">
        <f>IF(ISERROR(output!D47),0,output!D47)</f>
        <v>1.5146002595105618E-2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356774.86641977791</v>
      </c>
      <c r="H32" s="122">
        <f>G32/$G$51</f>
        <v>0.67645202018716533</v>
      </c>
      <c r="I32" s="318">
        <f>FRw.w3A*I31</f>
        <v>232502.0412215617</v>
      </c>
      <c r="J32" s="122">
        <f>I32/$I$51</f>
        <v>0.89006435885857704</v>
      </c>
      <c r="K32" s="318">
        <f>FRw.w3T*K31</f>
        <v>2365.4966235848419</v>
      </c>
      <c r="L32" s="123">
        <f>K32/$K$51</f>
        <v>0.80230880280291761</v>
      </c>
      <c r="M32" s="320"/>
      <c r="N32" s="320"/>
      <c r="O32" s="320">
        <f>O31*FRw.w3M</f>
        <v>3.0662149389311676E-12</v>
      </c>
      <c r="P32" s="320">
        <f>P31*FRw.w3A</f>
        <v>3.0392423689093028E-12</v>
      </c>
      <c r="Q32" s="320">
        <f>Q31*FRw.w3T</f>
        <v>8.8347212832300358E-15</v>
      </c>
      <c r="R32" s="120" t="s">
        <v>1489</v>
      </c>
      <c r="S32" s="325"/>
      <c r="T32" s="325"/>
      <c r="U32" s="325">
        <f>U31*FRw.w3M</f>
        <v>1.5928805627192263E-15</v>
      </c>
      <c r="V32" s="325">
        <f>V31*FRw.w3A</f>
        <v>4.6149420293979606E-17</v>
      </c>
      <c r="W32" s="326">
        <f>W31*FRw.w3T</f>
        <v>2.8964027415426878E-17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8.6830211554544921E-3</v>
      </c>
      <c r="AE32" s="325">
        <f>(k.aM.aA+k.aM.aC+k.aM.aT)*M.aM*Molweight</f>
        <v>5.5086055898350187E-4</v>
      </c>
      <c r="AF32" s="325">
        <f>kesc.aM*M.aM*Molweight</f>
        <v>1.7327798471589496E-7</v>
      </c>
      <c r="AG32" s="326">
        <f>KDEG.aM*M.aM*Molweight</f>
        <v>4.2667180248736562E-3</v>
      </c>
      <c r="AH32" s="325">
        <f>AH33</f>
        <v>2.2588110916003492E-3</v>
      </c>
      <c r="AI32" s="325">
        <f>AI33</f>
        <v>2.5046080097352188E-7</v>
      </c>
      <c r="AJ32" s="325">
        <f>AJ36</f>
        <v>1.6081220210004954E-3</v>
      </c>
      <c r="AK32" s="325">
        <f>AK36</f>
        <v>1.4133581872590758E-6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4.5284245970421473E-2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271.57227489219895</v>
      </c>
      <c r="H33" s="122">
        <f>G33/$G$51</f>
        <v>5.1490626517818072E-4</v>
      </c>
      <c r="I33" s="318">
        <f>(1-FRw.w3A)*I31</f>
        <v>176.97745607822077</v>
      </c>
      <c r="J33" s="122">
        <f>I33/$I$51</f>
        <v>6.7750513134882278E-4</v>
      </c>
      <c r="K33" s="318">
        <f>(1-FRw.w3T)*K31</f>
        <v>1.8005845135988521</v>
      </c>
      <c r="L33" s="123">
        <f>K33/$K$51</f>
        <v>6.1070677127481228E-4</v>
      </c>
      <c r="M33" s="320"/>
      <c r="N33" s="320"/>
      <c r="O33" s="320">
        <f>O32*Kp.susp3M</f>
        <v>3.0488974482796967E-10</v>
      </c>
      <c r="P33" s="320">
        <f>P32*Kp.susp3A</f>
        <v>3.0220772150112897E-10</v>
      </c>
      <c r="Q33" s="320">
        <f>Q32*Kp.susp3T</f>
        <v>8.7848241930788747E-13</v>
      </c>
      <c r="R33" s="120" t="s">
        <v>1494</v>
      </c>
      <c r="S33" s="325"/>
      <c r="T33" s="325"/>
      <c r="U33" s="325">
        <f>U31*(1-FRw.w3M)</f>
        <v>1.212479461880743E-18</v>
      </c>
      <c r="V33" s="325">
        <f>V31*(1-FRw.w3A)</f>
        <v>3.512832386417647E-20</v>
      </c>
      <c r="W33" s="326">
        <f>W31*(1-FRw.w3T)</f>
        <v>2.2047031771550402E-20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4.9495542419357386E-2</v>
      </c>
      <c r="AE33" s="325">
        <f>(k.w2M.w2C+k.w2M.w2A+k.w2M.w2T+k.w2M.w3M)*M.w2M*Molweight</f>
        <v>4.0069002782619552E-2</v>
      </c>
      <c r="AF33" s="330"/>
      <c r="AG33" s="326">
        <f>KDEG.w2M*M.w2M*Molweight</f>
        <v>1.1838244993159615E-2</v>
      </c>
      <c r="AH33" s="325">
        <f>k.aM.w2M*M.aM*Molweight</f>
        <v>2.2588110916003492E-3</v>
      </c>
      <c r="AI33" s="325">
        <f>k.w2M.aM*M.w2M*Molweight</f>
        <v>2.5046080097352188E-7</v>
      </c>
      <c r="AJ33" s="325"/>
      <c r="AK33" s="325"/>
      <c r="AL33" s="325">
        <f>AL36</f>
        <v>1.5314472562240217E-4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8.9689827613023548E-3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3.4424292900128765E-2</v>
      </c>
      <c r="AE34" s="325">
        <f>(k.w3M.w2M+k.w3M.w3A+k.w3M.w3T)*M.w3M*Molweight</f>
        <v>3.4250991728953109E-3</v>
      </c>
      <c r="AF34" s="330"/>
      <c r="AG34" s="326">
        <f>KDEG.w3M*M.w3M*Molweight</f>
        <v>3.0998145231780173E-2</v>
      </c>
      <c r="AH34" s="325"/>
      <c r="AI34" s="325"/>
      <c r="AJ34" s="325"/>
      <c r="AK34" s="325"/>
      <c r="AL34" s="325"/>
      <c r="AM34" s="325">
        <f>k.w3M.sdM*M.w3M*Molweight</f>
        <v>5.8903563679738958E-6</v>
      </c>
      <c r="AN34" s="326">
        <f>k.sdM.w3M*M.sdM*Molweight</f>
        <v>4.8418609146958702E-6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5.463593022844123E-2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9424.5831372810426</v>
      </c>
      <c r="D35" s="122">
        <f>C35/$C$51</f>
        <v>8.0584878221070274E-4</v>
      </c>
      <c r="E35" s="318">
        <f>M.sd2C*Molweight</f>
        <v>6696.6114267701732</v>
      </c>
      <c r="F35" s="122">
        <f>E35/$E$51</f>
        <v>3.4706568186462557E-3</v>
      </c>
      <c r="G35" s="318">
        <f>M.sdM*Molweight</f>
        <v>108.57589413555107</v>
      </c>
      <c r="H35" s="122">
        <f>G35/$G$51</f>
        <v>2.0586198705265578E-4</v>
      </c>
      <c r="I35" s="318">
        <f>M.sdA*Molweight</f>
        <v>82.20028004477372</v>
      </c>
      <c r="J35" s="122">
        <f>I35/$I$51</f>
        <v>3.146791278547364E-4</v>
      </c>
      <c r="K35" s="318">
        <f>M.sdT*Molweight</f>
        <v>0.57123995926073023</v>
      </c>
      <c r="L35" s="123">
        <f>K35/$K$51</f>
        <v>1.9374825702904916E-4</v>
      </c>
      <c r="M35" s="320">
        <f>C.sd2R*(Molweight*1000)/(FRACw.sdR*1000+FRACs.sdR*RHOsolid)</f>
        <v>2.4165597787900083E-4</v>
      </c>
      <c r="N35" s="320">
        <f>C.sd2C*(Molweight*1000)/(FRACw.sdC*1000+FRACs.sdC*RHOsolid)</f>
        <v>4.623997492918889E-8</v>
      </c>
      <c r="O35" s="320">
        <f>C.sdM*(Molweight*1000)/(FRACw.sdM*1000+FRACs.sdM*RHOsolid)</f>
        <v>7.1779165549033816E-11</v>
      </c>
      <c r="P35" s="320">
        <f>C.sdA*(Molweight*1000)/(FRACw.sdA*1000+FRACs.sdA*RHOsolid)</f>
        <v>8.2654881895197309E-11</v>
      </c>
      <c r="Q35" s="320">
        <f>C.sdT*(Molweight*1000)/(FRACw.sdT*1000+FRACs.sdT*RHOsolid)</f>
        <v>1.6411404417459746E-13</v>
      </c>
      <c r="R35" s="120" t="s">
        <v>1495</v>
      </c>
      <c r="S35" s="325">
        <f>F.sd2R</f>
        <v>6.2216575548792086E-9</v>
      </c>
      <c r="T35" s="325">
        <f>F.sd2C</f>
        <v>1.190491093498468E-12</v>
      </c>
      <c r="U35" s="325">
        <f>F.sdM</f>
        <v>1.8480212719781371E-15</v>
      </c>
      <c r="V35" s="325">
        <f>F.sdA</f>
        <v>6.2201000149292158E-17</v>
      </c>
      <c r="W35" s="326">
        <f>F.sdT</f>
        <v>2.6664889466687441E-17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3.2391808417106065E-10</v>
      </c>
      <c r="AG35" s="326">
        <f>KDEG.sdM*M.sdM*Molweight</f>
        <v>1.0481715351938523E-6</v>
      </c>
      <c r="AH35" s="325"/>
      <c r="AI35" s="325"/>
      <c r="AJ35" s="325"/>
      <c r="AK35" s="325"/>
      <c r="AL35" s="325"/>
      <c r="AM35" s="325">
        <f>k.w3M.sdM*M.w3M*Molweight</f>
        <v>5.8903563679738958E-6</v>
      </c>
      <c r="AN35" s="326">
        <f>k.sdM.w3M*M.sdM*Molweight</f>
        <v>4.8418609146958702E-6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7.1952148942750942E-3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7539.6665098248341</v>
      </c>
      <c r="D36" s="122">
        <f>C36/$C$51</f>
        <v>6.446790257685622E-4</v>
      </c>
      <c r="E36" s="318">
        <f>E35*FRACw.sdC</f>
        <v>5357.2891414161386</v>
      </c>
      <c r="F36" s="122">
        <f>E36/$E$51</f>
        <v>2.7765254549170048E-3</v>
      </c>
      <c r="G36" s="318">
        <f>G35*FRACw.sdM</f>
        <v>86.860715308440859</v>
      </c>
      <c r="H36" s="122">
        <f>G36/$G$51</f>
        <v>1.6468958964212463E-4</v>
      </c>
      <c r="I36" s="318">
        <f>I35*FRACw.sdA</f>
        <v>65.760224035818979</v>
      </c>
      <c r="J36" s="122">
        <f>I36/$I$51</f>
        <v>2.5174330228378916E-4</v>
      </c>
      <c r="K36" s="318">
        <f>K35*FRACw.sdT</f>
        <v>0.45699196740858422</v>
      </c>
      <c r="L36" s="123">
        <f>K36/$K$51</f>
        <v>1.5499860562323935E-4</v>
      </c>
      <c r="M36" s="320">
        <f>M37/Kp.sd2R</f>
        <v>1.1976377756231833E-5</v>
      </c>
      <c r="N36" s="320">
        <f>N37/Kp.sd2C</f>
        <v>2.2916354565329289E-9</v>
      </c>
      <c r="O36" s="320">
        <f>O37/Kp.sdM</f>
        <v>3.5573479670871919E-12</v>
      </c>
      <c r="P36" s="320">
        <f>P37/Kp.sdA</f>
        <v>4.0963443059093892E-12</v>
      </c>
      <c r="Q36" s="320">
        <f>Q37/Kp.sdT</f>
        <v>8.1334292053889773E-15</v>
      </c>
      <c r="R36" s="120" t="s">
        <v>1489</v>
      </c>
      <c r="S36" s="325">
        <f>S35*FRACw.sdR</f>
        <v>4.9773260439033672E-9</v>
      </c>
      <c r="T36" s="325">
        <f>T35*FRACw.sdC</f>
        <v>9.5239287479877437E-13</v>
      </c>
      <c r="U36" s="325">
        <f>U35*FRACw.sdM</f>
        <v>1.4784170175825097E-15</v>
      </c>
      <c r="V36" s="325">
        <f>V35*FRACw.sdA</f>
        <v>4.976080011943373E-17</v>
      </c>
      <c r="W36" s="326">
        <f>W35*FRACw.sdT</f>
        <v>2.1331911573349954E-17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1.0264341716184865E-6</v>
      </c>
      <c r="AG36" s="326">
        <f>KDEG.sM*M.sM*Molweight</f>
        <v>1.452537503019216E-3</v>
      </c>
      <c r="AH36" s="325"/>
      <c r="AI36" s="325"/>
      <c r="AJ36" s="325">
        <f>k.aM.sM*M.aM*Molweight</f>
        <v>1.6081220210004954E-3</v>
      </c>
      <c r="AK36" s="325">
        <f>k.sM.aM*M.sM*Molweight</f>
        <v>1.4133581872590758E-6</v>
      </c>
      <c r="AL36" s="325">
        <f>k.sM.w2M*M.sM*Molweight</f>
        <v>1.5314472562240217E-4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1884.9166274562081</v>
      </c>
      <c r="D37" s="122">
        <f>C37/$C$51</f>
        <v>1.6116975644214052E-4</v>
      </c>
      <c r="E37" s="318">
        <f>E35*FRACs.sdC</f>
        <v>1339.3222853540344</v>
      </c>
      <c r="F37" s="122">
        <f>E37/$E$51</f>
        <v>6.94131363729251E-4</v>
      </c>
      <c r="G37" s="318">
        <f>G35*FRACs.sdM</f>
        <v>21.715178827110208</v>
      </c>
      <c r="H37" s="122">
        <f>G37/$G$51</f>
        <v>4.1172397410531144E-5</v>
      </c>
      <c r="I37" s="318">
        <f>I35*FRACs.sdA</f>
        <v>16.440056008954741</v>
      </c>
      <c r="J37" s="122">
        <f>I37/$I$51</f>
        <v>6.2935825570947278E-5</v>
      </c>
      <c r="K37" s="318">
        <f>K35*FRACs.sdT</f>
        <v>0.11424799185214603</v>
      </c>
      <c r="L37" s="123">
        <f>K37/$K$51</f>
        <v>3.8749651405809824E-5</v>
      </c>
      <c r="M37" s="320">
        <f>C.sd2R*FRACs.sdR/(FRACw.sdR/(Kp.sd2R*RHOsolid/1000)+FRACs.sdR)*(Molweight*1000)/(FRACs.sdR*RHOsolid)</f>
        <v>6.0914333807543129E-4</v>
      </c>
      <c r="N37" s="320">
        <f>C.sd2C*FRACs.sdC/(FRACw.sdC/(Kp.sd2C*RHOsolid/1000)+FRACs.sdC)*(Molweight*1000)/(FRACs.sdC*RHOsolid)</f>
        <v>1.1655731808543844E-7</v>
      </c>
      <c r="O37" s="320">
        <f>C.sdM*FRACs.sdM/(FRACw.sdM/(Kp.sdM*RHOsolid/1000)+FRACs.sdM)*(Molweight*1000)/(FRACs.sdM*RHOsolid)</f>
        <v>1.8093407368014847E-10</v>
      </c>
      <c r="P37" s="320">
        <f>C.sdA*FRACs.sdA/(FRACw.sdA/(Kp.sdA*RHOsolid/1000)+FRACs.sdA)*(Molweight*1000)/(FRACs.sdA*RHOsolid)</f>
        <v>2.0834854203805802E-10</v>
      </c>
      <c r="Q37" s="320">
        <f>C.sdT*FRACs.sdT/(FRACw.sdT/(Kp.sdT*RHOsolid/1000)+FRACs.sdT)*(Molweight*1000)/(FRACs.sdT*RHOsolid)</f>
        <v>4.1368302812533119E-13</v>
      </c>
      <c r="R37" s="120" t="s">
        <v>1494</v>
      </c>
      <c r="S37" s="325">
        <f>S35*(1-FRACw.sdR)</f>
        <v>1.2443315109758414E-9</v>
      </c>
      <c r="T37" s="325">
        <f>T35*(1-FRACw.sdC)</f>
        <v>2.3809821869969354E-13</v>
      </c>
      <c r="U37" s="325">
        <f>U35*(1-FRACw.sdM)</f>
        <v>3.6960425439562734E-16</v>
      </c>
      <c r="V37" s="325">
        <f>V35*(1-FRACw.sdA)</f>
        <v>1.2440200029858429E-17</v>
      </c>
      <c r="W37" s="326">
        <f>W35*(1-FRACw.sdT)</f>
        <v>5.3329778933374868E-18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8.8333124065138168E-3</v>
      </c>
      <c r="AW37" s="75"/>
      <c r="AX37" s="75"/>
      <c r="AY37" s="300">
        <f>IF(ISERROR(output!D23),0,output!D23)</f>
        <v>6.3728871230290959E-2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1.7942580457042351E-4</v>
      </c>
      <c r="AE38" s="325">
        <f>k.aA.aM*M.aA*Molweight</f>
        <v>7.4539149969462125E-6</v>
      </c>
      <c r="AF38" s="325">
        <f>kesc.aA*M.aA*Molweight</f>
        <v>3.9439504855466752E-9</v>
      </c>
      <c r="AG38" s="326">
        <f>KDEG.aA*M.aA*Molweight</f>
        <v>8.0240931032536539E-5</v>
      </c>
      <c r="AH38" s="325">
        <f>AH39</f>
        <v>6.2062404804646539E-5</v>
      </c>
      <c r="AI38" s="325">
        <f>AI39</f>
        <v>1.4998662589266775E-9</v>
      </c>
      <c r="AJ38" s="325">
        <f>AJ42</f>
        <v>2.9669683720413063E-5</v>
      </c>
      <c r="AK38" s="325">
        <f>AK42</f>
        <v>3.5740683454997981E-9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478300.91701197717</v>
      </c>
      <c r="D39" s="122">
        <f>C39/$C$51</f>
        <v>4.0897109812706445E-2</v>
      </c>
      <c r="E39" s="318">
        <f>M.s1C*Molweight</f>
        <v>115689.77641307439</v>
      </c>
      <c r="F39" s="122">
        <f>E39/$E$51</f>
        <v>5.995860977547466E-2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9.117993858604969E-5</v>
      </c>
      <c r="N39" s="320">
        <f>C.s1C*(Molweight*1000)/(FRACw.s1C*1000+(1-FRACa.s1C-FRACw.s1C)*RHOsolid)</f>
        <v>1.4461216990208345E-6</v>
      </c>
      <c r="O39" s="320"/>
      <c r="P39" s="320"/>
      <c r="Q39" s="320"/>
      <c r="R39" s="120" t="s">
        <v>1495</v>
      </c>
      <c r="S39" s="325">
        <f>F.s1R</f>
        <v>2.6013327445272906E-9</v>
      </c>
      <c r="T39" s="325">
        <f>F.s1C</f>
        <v>4.1257361943539285E-11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7.3618598382244249E-3</v>
      </c>
      <c r="AE39" s="325">
        <f>(k.w2A.w2M+k.w2A.w3A)*M.w2A*Molweight</f>
        <v>6.9412386069504541E-3</v>
      </c>
      <c r="AF39" s="330"/>
      <c r="AG39" s="326">
        <f>KDEG.w2A*M.w2A*Molweight</f>
        <v>4.8708880155723567E-4</v>
      </c>
      <c r="AH39" s="325">
        <f>k.aA.w2A*M.aA*Molweight</f>
        <v>6.2062404804646539E-5</v>
      </c>
      <c r="AI39" s="325">
        <f>k.w2A.aA*M.w2A*Molweight</f>
        <v>1.4998662589266775E-9</v>
      </c>
      <c r="AJ39" s="325"/>
      <c r="AK39" s="325"/>
      <c r="AL39" s="325">
        <f>AL42</f>
        <v>4.4066653448758915E-6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3090.2832122062418</v>
      </c>
      <c r="D40" s="122">
        <f>C40/$C$51</f>
        <v>2.642346008272384E-4</v>
      </c>
      <c r="E40" s="318">
        <f>E39*FRw.s1C</f>
        <v>747.46704670078009</v>
      </c>
      <c r="F40" s="122">
        <f>E40/$E$51</f>
        <v>3.8739019438621436E-4</v>
      </c>
      <c r="G40" s="318"/>
      <c r="H40" s="122"/>
      <c r="I40" s="318"/>
      <c r="J40" s="122"/>
      <c r="K40" s="318"/>
      <c r="L40" s="123"/>
      <c r="M40" s="320">
        <f>M41/Kp.s1R</f>
        <v>5.0074346495785247E-6</v>
      </c>
      <c r="N40" s="320">
        <f>N41/Kp.s1C</f>
        <v>7.9418345915536774E-8</v>
      </c>
      <c r="O40" s="320"/>
      <c r="P40" s="320"/>
      <c r="Q40" s="320"/>
      <c r="R40" s="120" t="s">
        <v>1489</v>
      </c>
      <c r="S40" s="325">
        <f>S39*FRACw.s1R</f>
        <v>5.2026654890545811E-10</v>
      </c>
      <c r="T40" s="325">
        <f>T39*FRACw.s1C</f>
        <v>8.2514723887078577E-12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6.9412386069504541E-3</v>
      </c>
      <c r="AE40" s="325">
        <f>(k.w3A.w2A+k.w3A.w3M)*M.w3A*Molweight</f>
        <v>2.5446147384928404E-3</v>
      </c>
      <c r="AF40" s="330"/>
      <c r="AG40" s="326">
        <f>KDEG.w3A*M.w3A*Molweight</f>
        <v>4.3964509892070926E-3</v>
      </c>
      <c r="AH40" s="325"/>
      <c r="AI40" s="325"/>
      <c r="AJ40" s="325"/>
      <c r="AK40" s="325"/>
      <c r="AL40" s="325"/>
      <c r="AM40" s="325">
        <f>k.w3A.sdA*M.w3A*Molweight</f>
        <v>3.8386108663411029E-6</v>
      </c>
      <c r="AN40" s="326">
        <f>k.sdA.w3A*M.sdA*Molweight</f>
        <v>3.6657316158216257E-6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4.1170257748658601E-4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475210.63364786183</v>
      </c>
      <c r="D41" s="122">
        <f>C41/$C$51</f>
        <v>4.0632875198890223E-2</v>
      </c>
      <c r="E41" s="318">
        <f>E39*FRs.s1C</f>
        <v>114942.30932963036</v>
      </c>
      <c r="F41" s="122">
        <f>E41/$E$51</f>
        <v>5.9571219562045495E-2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1.0266960574475911E-4</v>
      </c>
      <c r="N41" s="320">
        <f>C.s1C*FRs.s1C*(Molweight*1000)/(FRACs.s1C*RHOsolid)</f>
        <v>1.6283488122476783E-6</v>
      </c>
      <c r="O41" s="320"/>
      <c r="P41" s="320"/>
      <c r="Q41" s="320"/>
      <c r="R41" s="120" t="s">
        <v>1494</v>
      </c>
      <c r="S41" s="325">
        <f>S39*(1-FRACw.s1R)</f>
        <v>2.0810661956218324E-9</v>
      </c>
      <c r="T41" s="325">
        <f>T39*(1-FRACw.s1C)</f>
        <v>3.3005889554831431E-11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1.7371659182795514E-10</v>
      </c>
      <c r="AG41" s="326">
        <f>KDEG.sdA*M.sdA*Molweight</f>
        <v>1.7270553392765038E-7</v>
      </c>
      <c r="AH41" s="325"/>
      <c r="AI41" s="325"/>
      <c r="AJ41" s="325"/>
      <c r="AK41" s="325"/>
      <c r="AL41" s="325"/>
      <c r="AM41" s="325">
        <f>k.w3A.sdA*M.w3A*Molweight</f>
        <v>3.8386108663411029E-6</v>
      </c>
      <c r="AN41" s="326">
        <f>k.sdA.w3A*M.sdA*Molweight</f>
        <v>3.6657316158216257E-6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2.9257160818048049E-8</v>
      </c>
      <c r="AG42" s="326">
        <f>KDEG.sA*M.sA*Molweight</f>
        <v>2.5230187146373625E-5</v>
      </c>
      <c r="AH42" s="325"/>
      <c r="AI42" s="325"/>
      <c r="AJ42" s="325">
        <f>k.aA.sA*M.aA*Molweight</f>
        <v>2.9669683720413063E-5</v>
      </c>
      <c r="AK42" s="325">
        <f>k.sA.aA*M.sA*Molweight</f>
        <v>3.5740683454997981E-9</v>
      </c>
      <c r="AL42" s="325">
        <f>k.sA.w2A*M.sA*Molweight</f>
        <v>4.4066653448758915E-6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5.1129354024822844E-4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8081838.6729588928</v>
      </c>
      <c r="D43" s="122">
        <f>C43/$C$51</f>
        <v>0.69103744513268595</v>
      </c>
      <c r="E43" s="318">
        <f>M.s2C*Molweight</f>
        <v>271388.12297677336</v>
      </c>
      <c r="F43" s="122">
        <f>E43/$E$51</f>
        <v>0.14065248518730766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1.7332482933015954E-4</v>
      </c>
      <c r="N43" s="320">
        <f>C.s2C*(Molweight*1000)/(FRACw.s2C*1000+(1-FRACa.s2C-FRACw.s2C)*RHOsolid)</f>
        <v>3.8163941436229242E-7</v>
      </c>
      <c r="O43" s="320"/>
      <c r="P43" s="320"/>
      <c r="Q43" s="320"/>
      <c r="R43" s="120" t="s">
        <v>1495</v>
      </c>
      <c r="S43" s="325">
        <f>F.s2R</f>
        <v>4.9486966112649669E-9</v>
      </c>
      <c r="T43" s="325">
        <f>F.s2C</f>
        <v>1.0896405805669483E-11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8.0584878221070274E-4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52256.543726646261</v>
      </c>
      <c r="D44" s="122">
        <f>C44/$C$51</f>
        <v>4.4681946682691223E-3</v>
      </c>
      <c r="E44" s="318">
        <f>E43*FRw.s2C</f>
        <v>1754.7746112130717</v>
      </c>
      <c r="F44" s="122">
        <f>E44/$E$51</f>
        <v>9.0944808970816146E-4</v>
      </c>
      <c r="G44" s="318"/>
      <c r="H44" s="122"/>
      <c r="I44" s="318"/>
      <c r="J44" s="122"/>
      <c r="K44" s="318"/>
      <c r="L44" s="123"/>
      <c r="M44" s="320">
        <f>M45/Kp.s2R</f>
        <v>9.5259919876198119E-6</v>
      </c>
      <c r="N44" s="320">
        <f>N45/Kp.s2C</f>
        <v>2.0975032933394717E-8</v>
      </c>
      <c r="O44" s="320"/>
      <c r="P44" s="320"/>
      <c r="Q44" s="320"/>
      <c r="R44" s="120" t="s">
        <v>1489</v>
      </c>
      <c r="S44" s="325">
        <f>S43*FRACw.s2R</f>
        <v>9.897393222529935E-10</v>
      </c>
      <c r="T44" s="325">
        <f>T43*FRACw.s2C</f>
        <v>2.1792811611338969E-12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3.1077460970489756E-4</v>
      </c>
      <c r="AE44" s="325">
        <f>k.aT.aM*M.aT*Molweight</f>
        <v>6.5141110774752222E-6</v>
      </c>
      <c r="AF44" s="325">
        <f>kesc.aT*M.aT*Molweight</f>
        <v>5.9698415626662923E-9</v>
      </c>
      <c r="AG44" s="326">
        <f>KDEG.aT*M.aT*Molweight</f>
        <v>1.6343258148510063E-4</v>
      </c>
      <c r="AH44" s="325">
        <f>AH45</f>
        <v>1.080461685076316E-4</v>
      </c>
      <c r="AI44" s="325">
        <f>AI45</f>
        <v>3.1081439270392719E-9</v>
      </c>
      <c r="AJ44" s="325">
        <f>AJ48</f>
        <v>3.2851244753276892E-5</v>
      </c>
      <c r="AK44" s="325">
        <f>AK48</f>
        <v>7.2357816222451246E-8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9.0983176829592547E-5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8029582.1266720584</v>
      </c>
      <c r="D45" s="122">
        <f>C45/$C$51</f>
        <v>0.68656925024550797</v>
      </c>
      <c r="E45" s="318">
        <f>E43*FRs.s2C</f>
        <v>269633.34827958921</v>
      </c>
      <c r="F45" s="122">
        <f>E45/$E$51</f>
        <v>0.13974303705304322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1.9516467424693766E-4</v>
      </c>
      <c r="N45" s="320">
        <f>C.s2C*FRs.s2C*(Molweight*1000)/(FRACs.s2C*RHOsolid)</f>
        <v>4.2972799841579568E-7</v>
      </c>
      <c r="O45" s="320"/>
      <c r="P45" s="320"/>
      <c r="Q45" s="320"/>
      <c r="R45" s="120" t="s">
        <v>1494</v>
      </c>
      <c r="S45" s="325">
        <f>S43*(1-FRACw.s2R)</f>
        <v>3.958957289011974E-9</v>
      </c>
      <c r="T45" s="325">
        <f>T43*(1-FRACw.s2C)</f>
        <v>8.7171246445355877E-12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1.7931837069898448E-5</v>
      </c>
      <c r="AE45" s="325">
        <f>(k.w2T.w2M+k.w2T.w3T)*M.w2T*Molweight</f>
        <v>6.8436929960216493E-5</v>
      </c>
      <c r="AF45" s="330"/>
      <c r="AG45" s="326">
        <f>KDEG.w2T*M.w2T*Molweight</f>
        <v>5.9945922479217311E-5</v>
      </c>
      <c r="AH45" s="325">
        <f>k.aT.w2T*M.aT*Molweight</f>
        <v>1.080461685076316E-4</v>
      </c>
      <c r="AI45" s="325">
        <f>k.w2T.aT*M.w2T*Molweight</f>
        <v>3.1081439270392719E-9</v>
      </c>
      <c r="AJ45" s="325"/>
      <c r="AK45" s="325"/>
      <c r="AL45" s="325">
        <f>AL48</f>
        <v>2.4079550058308146E-6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5.2400631669701999E-4</v>
      </c>
      <c r="AE46" s="325">
        <f>(k.w3T.w2T+k.w3T.w3M)*M.w3T*Molweight</f>
        <v>1.7931837069898448E-5</v>
      </c>
      <c r="AF46" s="330"/>
      <c r="AG46" s="326">
        <f>KDEG.w3T*M.w3T*Molweight</f>
        <v>5.0606089977219232E-4</v>
      </c>
      <c r="AH46" s="325"/>
      <c r="AI46" s="325"/>
      <c r="AJ46" s="325"/>
      <c r="AK46" s="325"/>
      <c r="AL46" s="325"/>
      <c r="AM46" s="325">
        <f>k.w3T.sdT*M.w3T*Molweight</f>
        <v>3.9054371290155738E-8</v>
      </c>
      <c r="AN46" s="326">
        <f>k.sdT.w3T*M.sdT*Molweight</f>
        <v>2.5474516361040706E-8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177135.91408980289</v>
      </c>
      <c r="D47" s="122">
        <f>C47/$C$51</f>
        <v>1.5146002595105618E-2</v>
      </c>
      <c r="E47" s="318">
        <f>M.s3C*Molweight</f>
        <v>42845.052869126259</v>
      </c>
      <c r="F47" s="122">
        <f>E47/$E$51</f>
        <v>2.2205331235294886E-2</v>
      </c>
      <c r="G47" s="318">
        <f>M.sM*Molweight</f>
        <v>33436.121402392535</v>
      </c>
      <c r="H47" s="122">
        <f>G47/$G$51</f>
        <v>6.3395530343383841E-2</v>
      </c>
      <c r="I47" s="318">
        <f>M.sA*Molweight</f>
        <v>2668.5478929866708</v>
      </c>
      <c r="J47" s="122">
        <f>I47/$I$51</f>
        <v>1.0215735556451189E-2</v>
      </c>
      <c r="K47" s="318">
        <f>M.sT*Molweight</f>
        <v>283.77638704700058</v>
      </c>
      <c r="L47" s="123">
        <f>K47/$K$51</f>
        <v>9.6248834635992653E-2</v>
      </c>
      <c r="M47" s="320">
        <f>C.s3R*(Molweight*1000)/(FRACw.s3R*1000+(1-FRACa.s3R-FRACw.s3R)*RHOsolid)</f>
        <v>9.1173466792154236E-5</v>
      </c>
      <c r="N47" s="320">
        <f>C.s3C*(Molweight*1000)/(FRACw.s3C*1000+(1-FRACa.s3C-FRACw.s3C)*RHOsolid)</f>
        <v>1.4460200282260009E-6</v>
      </c>
      <c r="O47" s="320">
        <f>C.sM*(Molweight*1000)/(FRACw.sM*1000+(1-FRACa.sM-FRACw.sM)*RHOsolid)</f>
        <v>1.0142069107258506E-8</v>
      </c>
      <c r="P47" s="320">
        <f>C.sA*(Molweight*1000)/(FRACw.sA*1000+(1-FRACa.sA-FRACw.sA)*RHOsolid)</f>
        <v>1.8467459467035781E-9</v>
      </c>
      <c r="Q47" s="320">
        <f>C.sT*(Molweight*1000)/(FRACw.sT*1000+(1-FRACa.sT-FRACw.sT)*RHOsolid)</f>
        <v>8.7282241306266972E-11</v>
      </c>
      <c r="R47" s="120" t="s">
        <v>1495</v>
      </c>
      <c r="S47" s="325">
        <f>F.s3R</f>
        <v>2.6031459421901937E-9</v>
      </c>
      <c r="T47" s="325">
        <f>F.s3C</f>
        <v>4.1286147179018802E-11</v>
      </c>
      <c r="U47" s="325">
        <f>F.sM</f>
        <v>2.893497942101788E-13</v>
      </c>
      <c r="V47" s="325">
        <f>F.sA</f>
        <v>1.5400118567011813E-15</v>
      </c>
      <c r="W47" s="326">
        <f>F.sT</f>
        <v>1.5714768256411093E-14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1.2072204472376764E-12</v>
      </c>
      <c r="AG47" s="326">
        <f>KDEG.sdT*M.sdT*Molweight</f>
        <v>1.3578647708667803E-8</v>
      </c>
      <c r="AH47" s="325"/>
      <c r="AI47" s="325"/>
      <c r="AJ47" s="325"/>
      <c r="AK47" s="325"/>
      <c r="AL47" s="325"/>
      <c r="AM47" s="325">
        <f>k.w3T.sdT*M.w3T*Molweight</f>
        <v>3.9054371290155738E-8</v>
      </c>
      <c r="AN47" s="326">
        <f>k.sdT.w3T*M.sdT*Molweight</f>
        <v>2.5474516361040706E-8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8.6077859320500183E-6</v>
      </c>
      <c r="AW47" s="75"/>
      <c r="AX47" s="290">
        <f>output!AF16</f>
        <v>2.1564693637446766E-3</v>
      </c>
      <c r="AY47" s="75"/>
      <c r="AZ47" s="75"/>
      <c r="BA47" s="75"/>
      <c r="BB47" s="75"/>
      <c r="BC47" s="2"/>
      <c r="BD47" s="295">
        <f>output!AF18</f>
        <v>1.4683054880355277E-5</v>
      </c>
      <c r="BE47" s="75"/>
      <c r="BF47" s="295">
        <f>output!AF20</f>
        <v>5.4419590213352574E-6</v>
      </c>
      <c r="BG47" s="75"/>
      <c r="BH47" s="299">
        <f>output!AF19</f>
        <v>1.1298530981235771E-4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1145.3471189872539</v>
      </c>
      <c r="D48" s="122">
        <f>C48/$C$51</f>
        <v>9.7932881231995873E-5</v>
      </c>
      <c r="E48" s="318">
        <f>E47*FRw.s3C</f>
        <v>277.03279777375917</v>
      </c>
      <c r="F48" s="122">
        <f>E48/$E$51</f>
        <v>1.4357795417821911E-4</v>
      </c>
      <c r="G48" s="318">
        <f>G47*FRw.sM</f>
        <v>216.02945128477782</v>
      </c>
      <c r="H48" s="122">
        <f>G48/$G$51</f>
        <v>4.0959600155682891E-4</v>
      </c>
      <c r="I48" s="318">
        <f>I47*FRw.sA</f>
        <v>17.241381866292151</v>
      </c>
      <c r="J48" s="122">
        <f>I48/$I$51</f>
        <v>6.6003461371908476E-5</v>
      </c>
      <c r="K48" s="318">
        <f>K47*FRw.sT</f>
        <v>1.8334679535800149</v>
      </c>
      <c r="L48" s="123">
        <f>K48/$K$51</f>
        <v>6.2185989366792156E-4</v>
      </c>
      <c r="M48" s="320">
        <f>M49/Kp.s3R</f>
        <v>5.0109249638502599E-6</v>
      </c>
      <c r="N48" s="320">
        <f>N49/Kp.s3C</f>
        <v>7.947375604553251E-8</v>
      </c>
      <c r="O48" s="320">
        <f>O49/Kp.sM</f>
        <v>5.5698379548893728E-10</v>
      </c>
      <c r="P48" s="320">
        <f>P49/Kp.sA</f>
        <v>1.0141989333113029E-10</v>
      </c>
      <c r="Q48" s="320">
        <f>Q49/Kp.sT</f>
        <v>4.7933802707974225E-12</v>
      </c>
      <c r="R48" s="120" t="s">
        <v>1489</v>
      </c>
      <c r="S48" s="325">
        <f>S47*FRACw.s3R</f>
        <v>5.2062918843803878E-10</v>
      </c>
      <c r="T48" s="325">
        <f>T47*FRACw.s3C</f>
        <v>8.2572294358037608E-12</v>
      </c>
      <c r="U48" s="325">
        <f>U47*FRACw.sM</f>
        <v>5.7869958842035764E-14</v>
      </c>
      <c r="V48" s="325">
        <f>V47*FRACw.sA</f>
        <v>3.0800237134023626E-16</v>
      </c>
      <c r="W48" s="326">
        <f>W47*FRACw.sT</f>
        <v>3.1429536512822189E-15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1.6178444940251911E-8</v>
      </c>
      <c r="AG48" s="326">
        <f>KDEG.sT*M.sT*Molweight</f>
        <v>3.0354753486283371E-5</v>
      </c>
      <c r="AH48" s="325"/>
      <c r="AI48" s="325"/>
      <c r="AJ48" s="325">
        <f>k.aT.sT*M.aT*Molweight</f>
        <v>3.2851244753276892E-5</v>
      </c>
      <c r="AK48" s="325">
        <f>k.sT.aT*M.sT*Molweight</f>
        <v>7.2357816222451246E-8</v>
      </c>
      <c r="AL48" s="333">
        <f>k.sT.w2T*M.sT*Molweight</f>
        <v>2.4079550058308146E-6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175990.56691470201</v>
      </c>
      <c r="D49" s="122">
        <f>C49/$C$51</f>
        <v>1.5048069709075629E-2</v>
      </c>
      <c r="E49" s="318">
        <f>E47*FRs.s3C</f>
        <v>42568.020057779919</v>
      </c>
      <c r="F49" s="122">
        <f>E49/$E$51</f>
        <v>2.2061753274082396E-2</v>
      </c>
      <c r="G49" s="318">
        <f>G47*FRs.sM</f>
        <v>33220.091940488397</v>
      </c>
      <c r="H49" s="122">
        <f>G49/$G$51</f>
        <v>6.2985934321692499E-2</v>
      </c>
      <c r="I49" s="318">
        <f>I47*FRs.sA</f>
        <v>2651.3065110935336</v>
      </c>
      <c r="J49" s="122">
        <f>I49/$I$51</f>
        <v>1.0149732094976513E-2</v>
      </c>
      <c r="K49" s="318">
        <f>K47*FRs.sT</f>
        <v>281.94291854945328</v>
      </c>
      <c r="L49" s="123">
        <f>K49/$K$51</f>
        <v>9.5626974557826594E-2</v>
      </c>
      <c r="M49" s="320">
        <f>C.s3R*FRs.s3R*(Molweight*1000)/(FRACs.s3R*RHOsolid)</f>
        <v>1.0266180566986161E-4</v>
      </c>
      <c r="N49" s="320">
        <f>C.s3C*FRs.s3C*(Molweight*1000)/(FRACs.s3C*RHOsolid)</f>
        <v>1.6282261973309123E-6</v>
      </c>
      <c r="O49" s="320">
        <f>C.sM*FRs.sM*(Molweight*1000)/(FRACs.sM*RHOsolid)</f>
        <v>1.1420080478510491E-8</v>
      </c>
      <c r="P49" s="320">
        <f>C.sA*FRs.sA*(Molweight*1000)/(FRACs.sA*RHOsolid)</f>
        <v>2.0794560871321825E-9</v>
      </c>
      <c r="Q49" s="320">
        <f>C.sT*FRs.sT*(Molweight*1000)/(FRACs.sT*RHOsolid)</f>
        <v>9.8280755921378013E-11</v>
      </c>
      <c r="R49" s="120" t="s">
        <v>1494</v>
      </c>
      <c r="S49" s="325">
        <f>S47*(1-FRACw.s3R)</f>
        <v>2.0825167537521551E-9</v>
      </c>
      <c r="T49" s="325">
        <f>T47*(1-FRACw.s3C)</f>
        <v>3.3028917743215043E-11</v>
      </c>
      <c r="U49" s="325">
        <f>U47*(1-FRACw.sM)</f>
        <v>2.3147983536814306E-13</v>
      </c>
      <c r="V49" s="325">
        <f>V47*(1-FRACw.sA)</f>
        <v>1.2320094853609451E-15</v>
      </c>
      <c r="W49" s="326">
        <f>W47*(1-FRACw.sT)</f>
        <v>1.2571814605128876E-14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2.3336986660607226E-3</v>
      </c>
      <c r="AG49" s="336">
        <f>SUM(AG11:AG48)</f>
        <v>0.94896006084687712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11695225.388845753</v>
      </c>
      <c r="D51" s="130">
        <f>C51/SUM($C$51,$E$51,$G$51,$I$51,$K$51)</f>
        <v>0.81124969584360795</v>
      </c>
      <c r="E51" s="317">
        <f>SUM(E11,E15,E19,E23,E27,E31,E35,E39,E43,E47)</f>
        <v>1929493.9766998382</v>
      </c>
      <c r="F51" s="130">
        <f>E51/SUM($C$51,$E$51,$G$51,$I$51,$K$51)</f>
        <v>0.13384106331312892</v>
      </c>
      <c r="G51" s="317">
        <f>SUM(G11,G15,G19,G23,G27,G31,G35,G39,G43,G47)</f>
        <v>527420.80113983992</v>
      </c>
      <c r="H51" s="130">
        <f>G51/SUM($C$51,$E$51,$G$51,$I$51,$K$51)</f>
        <v>3.658501228324898E-2</v>
      </c>
      <c r="I51" s="317">
        <f>SUM(I11,I15,I19,I23,I27,I31,I35,I39,I43,I47)</f>
        <v>261219.35892335186</v>
      </c>
      <c r="J51" s="130">
        <f>I51/SUM($C$51,$E$51,$G$51,$I$51,$K$51)</f>
        <v>1.811971282547006E-2</v>
      </c>
      <c r="K51" s="317">
        <f>SUM(K11,K15,K19,K23,K27,K31,K35,K39,K43,K47)</f>
        <v>2948.3617970048772</v>
      </c>
      <c r="L51" s="130">
        <f>K51/SUM($C$51,$E$51,$G$51,$I$51,$K$51)</f>
        <v>2.0451573454397374E-4</v>
      </c>
      <c r="M51" s="199"/>
      <c r="N51" s="199"/>
      <c r="O51" s="199"/>
      <c r="P51" s="199"/>
      <c r="Q51" s="199"/>
      <c r="R51" s="199"/>
      <c r="S51" s="328">
        <f>SUM(S11,S15,S19,S23,S27,S35,S39,S43,S47)</f>
        <v>7.370576614530155E-7</v>
      </c>
      <c r="T51" s="328">
        <f>SUM(T11,T15,T19,T23,T27,T35,T39,T43,T47)</f>
        <v>9.357888563636152E-9</v>
      </c>
      <c r="U51" s="328">
        <f>SUM(U11,U15,U19,U23,U27,U35,U39,U43,U47)</f>
        <v>6.4749518825609127E-11</v>
      </c>
      <c r="V51" s="328">
        <f>SUM(V11,V15,V19,V23,V27,V35,V39,V43,V47)</f>
        <v>2.4721503823296267E-12</v>
      </c>
      <c r="W51" s="328">
        <f>SUM(W11,W15,W19,W23,W27,W35,W39,W43,W47)</f>
        <v>1.4281769395455899E-12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5.4928585154936883E-8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3.8318438830003522E-7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1.0952884350029224E-4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1.0330757952426645E-5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3.0403829824081296E-3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2.4165597787900083E-4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9.117993858604969E-5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1.7332482933015954E-4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9.1173466792154236E-5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5.659121552550183E-2</v>
      </c>
      <c r="AY72" s="75"/>
      <c r="AZ72" s="256">
        <f>output!AF22</f>
        <v>2.2982563463804689E-6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0.11884823895496013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1.0553640285638309E-2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3.2515275427886744E-3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4.890252990404877E-6</v>
      </c>
      <c r="BE84" s="2"/>
      <c r="BF84" s="304">
        <f>IF(output!AK30&lt;0,"",output!AK30)</f>
        <v>1.8050249369963116E-6</v>
      </c>
      <c r="BG84" s="75"/>
      <c r="BH84" s="311">
        <f>IF(output!AK29&lt;0,"",output!AK29)</f>
        <v>5.2027926723494943E-6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1.3483063524329465E-6</v>
      </c>
      <c r="AV85" s="87"/>
      <c r="AW85" s="75"/>
      <c r="AX85" s="304">
        <f>output!AL24</f>
        <v>1.1846506880481813E-3</v>
      </c>
      <c r="AY85" s="87"/>
      <c r="AZ85" s="201"/>
      <c r="BA85" s="311">
        <f>IF(output!AI23&lt;0,"",output!AI23)</f>
        <v>3.8208262391175498E-9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5.564140493914356E-3</v>
      </c>
      <c r="BE86" s="87"/>
      <c r="BF86" s="304">
        <f>IF(output!AJ30&lt;0,"",output!AJ30)</f>
        <v>2.0607927755238349E-3</v>
      </c>
      <c r="BG86" s="75"/>
      <c r="BH86" s="311">
        <f>IF(output!AJ29&lt;0,"",output!AJ29)</f>
        <v>1.2364756653143011E-2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3.0856444762313671E-2</v>
      </c>
      <c r="AV87" s="200"/>
      <c r="AW87" s="84"/>
      <c r="AX87" s="304">
        <f>IF(output!AH24&lt;0,"",output!AH24)</f>
        <v>7.9655015438161842E-4</v>
      </c>
      <c r="AY87" s="291">
        <f>output!AL24</f>
        <v>1.1846506880481813E-3</v>
      </c>
      <c r="AZ87" s="75"/>
      <c r="BA87" s="311">
        <f>IF(output!AH23&lt;0,"",output!AH23)</f>
        <v>7.2413650398328971E-5</v>
      </c>
      <c r="BB87" s="291">
        <f>output!AL23</f>
        <v>1.0769551709528923E-4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4.8374114885262029E-6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8.7995534752999683E-4</v>
      </c>
      <c r="AT89" s="83"/>
      <c r="AU89" s="302"/>
      <c r="AV89" s="75"/>
      <c r="AW89" s="81"/>
      <c r="AX89" s="265">
        <f>output!AD24</f>
        <v>4.8374114885262029E-6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4.6550383398557951E-2</v>
      </c>
      <c r="AT90" s="81"/>
      <c r="AU90" s="278">
        <f>output!AD25</f>
        <v>0.14322376787261032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1.7526793517885284E-4</v>
      </c>
      <c r="BB91" s="309">
        <f>IF(ISERROR(output!F15),0,output!F15)</f>
        <v>1.0458139148746433E-3</v>
      </c>
      <c r="BC91" s="2"/>
      <c r="BD91" s="295">
        <f>output!AG28</f>
        <v>5.0258143560835992E-3</v>
      </c>
      <c r="BE91" s="2"/>
      <c r="BF91" s="312">
        <f>output!AG30</f>
        <v>1.8612818562978952E-3</v>
      </c>
      <c r="BG91" s="75"/>
      <c r="BH91" s="295">
        <f>output!AG29</f>
        <v>1.1789687618180113E-2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6.2779226287104127E-3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1.0505606001069651E-3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2.6567322251435608E-4</v>
      </c>
      <c r="AZ96" s="75"/>
      <c r="BA96" s="75"/>
      <c r="BB96" s="43"/>
      <c r="BC96" s="2"/>
      <c r="BD96" s="277">
        <f>IF(ISERROR(output!F39),0,output!F39)</f>
        <v>5.995860977547466E-2</v>
      </c>
      <c r="BE96" s="43"/>
      <c r="BF96" s="277">
        <f>IF(ISERROR(output!F47),0,output!F47)</f>
        <v>2.2205331235294886E-2</v>
      </c>
      <c r="BG96" s="43"/>
      <c r="BH96" s="277">
        <f>IF(ISERROR(output!F43),0,output!F43)</f>
        <v>0.14065248518730766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0.1274577168474523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3.204321243729284E-4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4.2198933636753823E-5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0.76087217879256774</v>
      </c>
      <c r="AW101" s="56"/>
      <c r="AX101" s="307"/>
      <c r="AY101" s="276">
        <f>IF(ISERROR(output!F23),0,output!F23)</f>
        <v>2.2654741043350514E-3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2.9253412534729797E-4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3.6329820790862626E-4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3.4706568186462557E-3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6.4647844124878225E-5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6.1162384364500922E-6</v>
      </c>
      <c r="AW111" s="75"/>
      <c r="AX111" s="290">
        <f>output!AF26</f>
        <v>1.2559968221818523E-5</v>
      </c>
      <c r="AY111" s="75"/>
      <c r="AZ111" s="75"/>
      <c r="BA111" s="75"/>
      <c r="BB111" s="76"/>
      <c r="BC111" s="2"/>
      <c r="BD111" s="295">
        <f>output!AF28</f>
        <v>3.5514866807722761E-6</v>
      </c>
      <c r="BE111" s="76"/>
      <c r="BF111" s="295">
        <f>output!AF30</f>
        <v>1.3162831669613965E-6</v>
      </c>
      <c r="BG111" s="43"/>
      <c r="BH111" s="294">
        <f>output!AF29</f>
        <v>3.7940464286326564E-6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8.7145227751284827E-10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2.3155298573652279E-9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4.212093358579839E-8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1.9767522116043498E-9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1.169224156713229E-6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4.623997492918889E-8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1.4461216990208345E-6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3.8163941436229242E-7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1.4460200282260009E-6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5.5086055898350187E-4</v>
      </c>
      <c r="AT136" s="81">
        <f>output!AD32</f>
        <v>8.6830211554544921E-3</v>
      </c>
      <c r="AU136" s="268">
        <f>output!AF32</f>
        <v>1.7327798471589496E-7</v>
      </c>
      <c r="AV136" s="221"/>
      <c r="AW136" s="221"/>
      <c r="AX136" s="221"/>
      <c r="AY136" s="279">
        <f>output!AE38</f>
        <v>7.4539149969462125E-6</v>
      </c>
      <c r="AZ136" s="266">
        <f>output!AD38</f>
        <v>1.7942580457042351E-4</v>
      </c>
      <c r="BA136" s="268">
        <f>output!AF38</f>
        <v>3.9439504855466752E-9</v>
      </c>
      <c r="BB136" s="75"/>
      <c r="BC136" s="75"/>
      <c r="BD136" s="75"/>
      <c r="BE136" s="279">
        <f>output!AE44</f>
        <v>6.5141110774752222E-6</v>
      </c>
      <c r="BF136" s="266">
        <f>output!AD44</f>
        <v>3.1077460970489756E-4</v>
      </c>
      <c r="BG136" s="268">
        <f>output!AF44</f>
        <v>5.9698415626662923E-9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4.2667180248736562E-3</v>
      </c>
      <c r="AV141" s="223" t="s">
        <v>446</v>
      </c>
      <c r="AW141" s="221"/>
      <c r="AX141" s="221"/>
      <c r="AY141" s="2"/>
      <c r="AZ141" s="202"/>
      <c r="BA141" s="269">
        <f>output!AG38</f>
        <v>8.0240931032536539E-5</v>
      </c>
      <c r="BB141" s="47" t="s">
        <v>446</v>
      </c>
      <c r="BC141" s="75"/>
      <c r="BD141" s="75"/>
      <c r="BE141" s="2"/>
      <c r="BF141" s="202"/>
      <c r="BG141" s="269">
        <f>output!AG44</f>
        <v>1.6343258148510063E-4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8.9684735261727033E-4</v>
      </c>
      <c r="AW142" s="221"/>
      <c r="AX142" s="221"/>
      <c r="AY142" s="203"/>
      <c r="AZ142" s="202"/>
      <c r="BA142" s="75"/>
      <c r="BB142" s="277">
        <f>IF(ISERROR(output!J11),0,output!J11)</f>
        <v>4.1215302426612091E-5</v>
      </c>
      <c r="BC142" s="75"/>
      <c r="BD142" s="75"/>
      <c r="BE142" s="203"/>
      <c r="BF142" s="75"/>
      <c r="BG142" s="75"/>
      <c r="BH142" s="277">
        <f>IF(ISERROR(output!L11),0,output!L11)</f>
        <v>5.5273176815392091E-3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1.4133581872590758E-6</v>
      </c>
      <c r="AY144" s="2"/>
      <c r="AZ144" s="75"/>
      <c r="BA144" s="75"/>
      <c r="BB144" s="75"/>
      <c r="BC144" s="75"/>
      <c r="BD144" s="270">
        <f>k.sA.aA*M.sA*Molweight</f>
        <v>3.5740683454997981E-9</v>
      </c>
      <c r="BE144" s="2"/>
      <c r="BF144" s="75"/>
      <c r="BG144" s="75"/>
      <c r="BH144" s="75"/>
      <c r="BI144" s="75"/>
      <c r="BJ144" s="270">
        <f>k.sT.aT*M.sT*Molweight</f>
        <v>7.2357816222451246E-8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2.5046080097352188E-7</v>
      </c>
      <c r="AV145" s="221"/>
      <c r="AW145" s="221"/>
      <c r="AX145" s="221"/>
      <c r="AY145" s="2"/>
      <c r="AZ145" s="75"/>
      <c r="BA145" s="270">
        <f>k.w2A.aA*M.w2A*Molweight</f>
        <v>1.4998662589266775E-9</v>
      </c>
      <c r="BB145" s="75"/>
      <c r="BC145" s="75"/>
      <c r="BD145" s="221"/>
      <c r="BE145" s="2"/>
      <c r="BF145" s="75"/>
      <c r="BG145" s="270">
        <f>k.w2T.aT*M.w2T*Molweight</f>
        <v>3.1081439270392719E-9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1.6081220210004954E-3</v>
      </c>
      <c r="AY146" s="2"/>
      <c r="AZ146" s="75"/>
      <c r="BA146" s="221"/>
      <c r="BB146" s="75"/>
      <c r="BC146" s="75"/>
      <c r="BD146" s="270">
        <f>IF(output!AJ42&lt;0,"",output!AJ42)</f>
        <v>2.9669683720413063E-5</v>
      </c>
      <c r="BE146" s="2"/>
      <c r="BF146" s="75"/>
      <c r="BG146" s="221"/>
      <c r="BH146" s="75"/>
      <c r="BI146" s="75"/>
      <c r="BJ146" s="270">
        <f>IF(output!AJ48&lt;0,"",output!AJ48)</f>
        <v>3.2851244753276892E-5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4.0069002782619552E-2</v>
      </c>
      <c r="AT147" s="81">
        <f>output!AD33</f>
        <v>4.9495542419357386E-2</v>
      </c>
      <c r="AU147" s="270">
        <f>IF(output!AH33&lt;0,"",output!AH33)</f>
        <v>2.2588110916003492E-3</v>
      </c>
      <c r="AV147" s="272">
        <f>output!AL33</f>
        <v>1.5314472562240217E-4</v>
      </c>
      <c r="AW147" s="221"/>
      <c r="AX147" s="221"/>
      <c r="AY147" s="279">
        <f>output!AE39</f>
        <v>6.9412386069504541E-3</v>
      </c>
      <c r="AZ147" s="266">
        <f>output!AD39</f>
        <v>7.3618598382244249E-3</v>
      </c>
      <c r="BA147" s="270">
        <f>IF(output!AH39&lt;0,"",output!AH39)</f>
        <v>6.2062404804646539E-5</v>
      </c>
      <c r="BB147" s="272">
        <f>output!AL39</f>
        <v>4.4066653448758915E-6</v>
      </c>
      <c r="BC147" s="75"/>
      <c r="BD147" s="75"/>
      <c r="BE147" s="279">
        <f>output!AE45</f>
        <v>6.8436929960216493E-5</v>
      </c>
      <c r="BF147" s="266">
        <f>output!AD45</f>
        <v>1.7931837069898448E-5</v>
      </c>
      <c r="BG147" s="270">
        <f>IF(output!AH45&lt;0,"",output!AH45)</f>
        <v>1.080461685076316E-4</v>
      </c>
      <c r="BH147" s="272">
        <f>output!AL45</f>
        <v>2.4079550058308146E-6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0.25853483386460258</v>
      </c>
      <c r="AW150" s="221"/>
      <c r="AX150" s="221"/>
      <c r="AY150" s="2"/>
      <c r="AZ150" s="75"/>
      <c r="BA150" s="59"/>
      <c r="BB150" s="273">
        <f>IF(ISERROR(output!J27),0,output!J27)</f>
        <v>9.8686506023341447E-2</v>
      </c>
      <c r="BC150" s="78"/>
      <c r="BD150" s="75"/>
      <c r="BE150" s="2"/>
      <c r="BF150" s="75"/>
      <c r="BG150" s="59"/>
      <c r="BH150" s="273">
        <f>IF(ISERROR(output!L27),0,output!L27)</f>
        <v>9.5110589851246444E-2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1.452537503019216E-3</v>
      </c>
      <c r="AY151" s="2"/>
      <c r="AZ151" s="75"/>
      <c r="BA151" s="59"/>
      <c r="BB151" s="49"/>
      <c r="BC151" s="75"/>
      <c r="BD151" s="274">
        <f>output!AJ42</f>
        <v>2.9669683720413063E-5</v>
      </c>
      <c r="BE151" s="2"/>
      <c r="BF151" s="75"/>
      <c r="BG151" s="59"/>
      <c r="BH151" s="59"/>
      <c r="BI151" s="75"/>
      <c r="BJ151" s="274">
        <f>output!AG48</f>
        <v>3.0354753486283371E-5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1.1838244993159615E-2</v>
      </c>
      <c r="AW152" s="221"/>
      <c r="AX152" s="221"/>
      <c r="AY152" s="2"/>
      <c r="AZ152" s="75"/>
      <c r="BA152" s="59"/>
      <c r="BB152" s="257">
        <f>output!AG39</f>
        <v>4.8708880155723567E-4</v>
      </c>
      <c r="BC152" s="2"/>
      <c r="BD152" s="75"/>
      <c r="BE152" s="2"/>
      <c r="BF152" s="75"/>
      <c r="BG152" s="59"/>
      <c r="BH152" s="257">
        <f>output!AG45</f>
        <v>5.9945922479217311E-5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2.9648168377617344E-3</v>
      </c>
      <c r="AU153" s="224"/>
      <c r="AV153" s="225"/>
      <c r="AW153" s="221"/>
      <c r="AX153" s="221"/>
      <c r="AY153" s="2"/>
      <c r="AZ153" s="275">
        <f>k.w3A.w2A*M.w3A*Molweight</f>
        <v>2.0883813685366836E-3</v>
      </c>
      <c r="BA153" s="59"/>
      <c r="BB153" s="49"/>
      <c r="BC153" s="2"/>
      <c r="BD153" s="75"/>
      <c r="BE153" s="2"/>
      <c r="BF153" s="275">
        <f>k.w3T.w2T*M.w3T*Molweight</f>
        <v>1.7931837069898448E-5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3.3968059530172609E-2</v>
      </c>
      <c r="AU155" s="221"/>
      <c r="AV155" s="223" t="s">
        <v>2166</v>
      </c>
      <c r="AW155" s="221"/>
      <c r="AX155" s="271">
        <f>IF(ISERROR(output!H47),0,output!H47)</f>
        <v>6.3395530343383841E-2</v>
      </c>
      <c r="AY155" s="2"/>
      <c r="AZ155" s="275">
        <f>k.w2A.w3A*M.w2A*Molweight</f>
        <v>6.9412386069504541E-3</v>
      </c>
      <c r="BA155" s="75"/>
      <c r="BB155" s="223" t="s">
        <v>2166</v>
      </c>
      <c r="BC155" s="47"/>
      <c r="BD155" s="271">
        <f>IF(ISERROR(output!J47),0,output!J47)</f>
        <v>1.0215735556451189E-2</v>
      </c>
      <c r="BE155" s="2"/>
      <c r="BF155" s="275">
        <f>k.w2T.w3T*M.w2T*Molweight</f>
        <v>6.3723981563443142E-5</v>
      </c>
      <c r="BG155" s="75"/>
      <c r="BH155" s="223" t="s">
        <v>2166</v>
      </c>
      <c r="BI155" s="47"/>
      <c r="BJ155" s="271">
        <f>IF(ISERROR(output!L47),0,output!L47)</f>
        <v>9.6248834635992653E-2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0.67696692645234346</v>
      </c>
      <c r="AW156" s="221"/>
      <c r="AX156" s="221"/>
      <c r="AY156" s="203"/>
      <c r="AZ156" s="2"/>
      <c r="BA156" s="75"/>
      <c r="BB156" s="273">
        <f>IF(ISERROR(output!J31),0,output!J31)</f>
        <v>0.89074186398992594</v>
      </c>
      <c r="BC156" s="75"/>
      <c r="BD156" s="75"/>
      <c r="BE156" s="203"/>
      <c r="BF156" s="2"/>
      <c r="BG156" s="75"/>
      <c r="BH156" s="273">
        <f>IF(ISERROR(output!L31),0,output!L31)</f>
        <v>0.80291950957419256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3.4250991728953109E-3</v>
      </c>
      <c r="AT157" s="266">
        <f>output!AD34</f>
        <v>3.4424292900128765E-2</v>
      </c>
      <c r="AU157" s="221"/>
      <c r="AV157" s="225"/>
      <c r="AW157" s="226"/>
      <c r="AX157" s="221"/>
      <c r="AY157" s="279">
        <f>output!AE40</f>
        <v>2.5446147384928404E-3</v>
      </c>
      <c r="AZ157" s="266">
        <f>output!AD40</f>
        <v>6.9412386069504541E-3</v>
      </c>
      <c r="BA157" s="75"/>
      <c r="BB157" s="2"/>
      <c r="BC157" s="76"/>
      <c r="BD157" s="75"/>
      <c r="BE157" s="279">
        <f>output!AE46</f>
        <v>1.7931837069898448E-5</v>
      </c>
      <c r="BF157" s="266">
        <f>output!AD46</f>
        <v>5.2400631669701999E-4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3.0998145231780173E-2</v>
      </c>
      <c r="AW158" s="226"/>
      <c r="AX158" s="221"/>
      <c r="AY158" s="2"/>
      <c r="AZ158" s="75"/>
      <c r="BA158" s="75"/>
      <c r="BB158" s="274">
        <f>output!AG40</f>
        <v>4.3964509892070926E-3</v>
      </c>
      <c r="BC158" s="2"/>
      <c r="BD158" s="75"/>
      <c r="BE158" s="2"/>
      <c r="BF158" s="75"/>
      <c r="BG158" s="75"/>
      <c r="BH158" s="274">
        <f>output!AG46</f>
        <v>5.0606089977219232E-4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4.8418609146958702E-6</v>
      </c>
      <c r="AU159" s="221"/>
      <c r="AV159" s="221"/>
      <c r="AW159" s="226"/>
      <c r="AX159" s="221"/>
      <c r="AY159" s="2"/>
      <c r="AZ159" s="272">
        <f>k.sdA.w3A*M.sdA*Molweight</f>
        <v>3.6657316158216257E-6</v>
      </c>
      <c r="BA159" s="2"/>
      <c r="BB159" s="75"/>
      <c r="BC159" s="2"/>
      <c r="BD159" s="75"/>
      <c r="BE159" s="2"/>
      <c r="BF159" s="275">
        <f>k.sdT.w3T*M.sdT*Molweight</f>
        <v>2.5474516361040706E-8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5.8903563679738958E-6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3.8386108663411029E-6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3.9054371290155738E-8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2.0586198705265578E-4</v>
      </c>
      <c r="AW162" s="221"/>
      <c r="AX162" s="221"/>
      <c r="AY162" s="2"/>
      <c r="AZ162" s="75"/>
      <c r="BA162" s="47"/>
      <c r="BB162" s="276">
        <f>IF(ISERROR(output!J35),0,output!J35)</f>
        <v>3.146791278547364E-4</v>
      </c>
      <c r="BC162" s="75"/>
      <c r="BD162" s="75"/>
      <c r="BE162" s="2"/>
      <c r="BF162" s="75"/>
      <c r="BG162" s="47"/>
      <c r="BH162" s="276">
        <f>IF(ISERROR(output!L35),0,output!L35)</f>
        <v>1.9374825702904916E-4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1.0481715351938523E-6</v>
      </c>
      <c r="AV164" s="269">
        <f>output!AF35</f>
        <v>3.2391808417106065E-10</v>
      </c>
      <c r="AW164" s="221"/>
      <c r="AX164" s="274">
        <f>output!AF36</f>
        <v>1.0264341716184865E-6</v>
      </c>
      <c r="AY164" s="2"/>
      <c r="AZ164" s="2"/>
      <c r="BA164" s="269">
        <f>output!AG41</f>
        <v>1.7270553392765038E-7</v>
      </c>
      <c r="BB164" s="269">
        <f>output!AF41</f>
        <v>1.7371659182795514E-10</v>
      </c>
      <c r="BC164" s="75"/>
      <c r="BD164" s="274">
        <f>output!AF42</f>
        <v>2.9257160818048049E-8</v>
      </c>
      <c r="BE164" s="2"/>
      <c r="BF164" s="2"/>
      <c r="BG164" s="269">
        <f>output!AG47</f>
        <v>1.3578647708667803E-8</v>
      </c>
      <c r="BH164" s="269">
        <f>output!AF47</f>
        <v>1.2072204472376764E-12</v>
      </c>
      <c r="BI164" s="75"/>
      <c r="BJ164" s="274">
        <f>output!AF48</f>
        <v>1.6178444940251911E-8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473.01594921754526</v>
      </c>
      <c r="BA172" s="128">
        <f>output!I11</f>
        <v>10.766234877711678</v>
      </c>
      <c r="BB172" s="128">
        <f>output!K11</f>
        <v>16.296532292159775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136356.64919942411</v>
      </c>
      <c r="BA173" s="128">
        <f>output!I27</f>
        <v>25778.825837802753</v>
      </c>
      <c r="BB173" s="128">
        <f>output!K27</f>
        <v>280.42042960801479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357046.4386946701</v>
      </c>
      <c r="BA174" s="128">
        <f>output!I31</f>
        <v>232679.01867763992</v>
      </c>
      <c r="BB174" s="128">
        <f>output!K31</f>
        <v>2367.2972080984409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108.57589413555107</v>
      </c>
      <c r="BA175" s="128">
        <f>output!I35</f>
        <v>82.20028004477372</v>
      </c>
      <c r="BB175" s="128">
        <f>output!K35</f>
        <v>0.57123995926073023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33436.121402392535</v>
      </c>
      <c r="BA176" s="128">
        <f>output!I47</f>
        <v>2668.5478929866708</v>
      </c>
      <c r="BB176" s="128">
        <f>output!K47</f>
        <v>283.77638704700058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0.48054359624685944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1.4416307887405782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1.4416307887405782</v>
      </c>
      <c r="G11" s="508">
        <f>2*Scale*(M.tot/Emis.tot)/(3600*24*365)</f>
        <v>2.8832615774811563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0.12462796418239608</v>
      </c>
      <c r="M220" s="452">
        <f t="shared" si="0"/>
        <v>0.12462796418239608</v>
      </c>
      <c r="N220" s="452">
        <f t="shared" si="0"/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0.87537203581760392</v>
      </c>
      <c r="M222" s="452">
        <f>(0.00015*0.172)/((IF(Tm&gt;298,EXP(-6.79*(1-Tm/298))*Pvap25*EXP((H0vap/8.314)*(1/298-1/TEMP.R)),Pvap25*EXP((H0vap/8.314)*(1/298-1/TEMP.R))))+(0.00015*0.172))</f>
        <v>0.87537203581760392</v>
      </c>
      <c r="N222" s="452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0.99978338121031318</v>
      </c>
      <c r="M226" s="452">
        <f t="shared" si="1"/>
        <v>0.99978338121031318</v>
      </c>
      <c r="N226" s="452">
        <f t="shared" si="1"/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0.99830430980414364</v>
      </c>
      <c r="M232" s="452">
        <f t="shared" si="2"/>
        <v>0.99830430980414364</v>
      </c>
      <c r="N232" s="452">
        <f t="shared" si="2"/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0.99933769729472144</v>
      </c>
      <c r="M238" s="452">
        <f t="shared" si="3"/>
        <v>0.99933769729472144</v>
      </c>
      <c r="N238" s="452">
        <f t="shared" si="3"/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1.8297591523602687E-5</v>
      </c>
      <c r="M268" s="451">
        <f>((DRYDEPaerosol.R+AerosolWashout.R+GasWashout.R+GASABS.aR.wR)/HEIGHT.aR)*AREAFRAC.w0R</f>
        <v>1.8297591523602687E-5</v>
      </c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2.0127350675962956E-4</v>
      </c>
      <c r="M269" s="451">
        <f>((DRYDEPaerosol.R+AerosolWashout.R+GasWashout.R+GASABS.aR.wR)/HEIGHT.aR)*AREAFRAC.w1R</f>
        <v>2.0127350675962956E-4</v>
      </c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3.2020985297462849E-5</v>
      </c>
      <c r="M270" s="451">
        <f>((DRYDEPaerosol.R+AerosolWashout.R+GasWashout.R+GASABS.aR.wR)/HEIGHT.aR)*AREAFRAC.w2R</f>
        <v>3.2020985297462849E-5</v>
      </c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1.9754002880121276E-3</v>
      </c>
      <c r="M271" s="451">
        <f>((DRYDEPaerosol.R+AerosolWashout.R+GasWashout.R+GASABS.aR.sR)/HEIGHT.aR)*AREAFRAC.s1R</f>
        <v>1.9754002880121276E-3</v>
      </c>
      <c r="N271" s="451">
        <f>((DRYDEPaerosol.R+AerosolWashout.R+GasWashout.R+GASABS.aR.sR)/HEIGHT.aR)*AREAFRAC.s1R</f>
        <v>1.9754002880121276E-3</v>
      </c>
      <c r="O271" s="451">
        <f>((DRYDEPaerosol.R+AerosolWashout.R+GasWashout.R+GASABS.aR.sR)/HEIGHT.aR)*AREAFRAC.s1R</f>
        <v>1.9754002880121276E-3</v>
      </c>
      <c r="P271" s="451">
        <f>((DRYDEPaerosol.R+AerosolWashout.R+GasWashout.R+GASABS.aR.sR)/HEIGHT.aR)*AREAFRAC.s1R</f>
        <v>1.9754002880121276E-3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4.389778417804727E-3</v>
      </c>
      <c r="M272" s="451">
        <f>((DRYDEPaerosol.R+AerosolWashout.R+GasWashout.R+GASABS.aR.sR)/HEIGHT.aR)*AREAFRAC.s2R</f>
        <v>4.389778417804727E-3</v>
      </c>
      <c r="N272" s="451">
        <f>((DRYDEPaerosol.R+AerosolWashout.R+GasWashout.R+GASABS.aR.sR)/HEIGHT.aR)*AREAFRAC.s2R</f>
        <v>4.389778417804727E-3</v>
      </c>
      <c r="O272" s="451">
        <f>((DRYDEPaerosol.R+AerosolWashout.R+GasWashout.R+GASABS.aR.sR)/HEIGHT.aR)*AREAFRAC.s2R</f>
        <v>4.389778417804727E-3</v>
      </c>
      <c r="P272" s="451">
        <f>((DRYDEPaerosol.R+AerosolWashout.R+GasWashout.R+GASABS.aR.sR)/HEIGHT.aR)*AREAFRAC.s2R</f>
        <v>4.389778417804727E-3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7.3162973630078783E-4</v>
      </c>
      <c r="M273" s="451">
        <f>((DRYDEPaerosol.R+AerosolWashout.R+GasWashout.R+GASABS.aR.sR)/HEIGHT.aR)*AREAFRAC.s3R</f>
        <v>7.3162973630078783E-4</v>
      </c>
      <c r="N273" s="451">
        <f>((DRYDEPaerosol.R+AerosolWashout.R+GasWashout.R+GASABS.aR.sR)/HEIGHT.aR)*AREAFRAC.s3R</f>
        <v>7.3162973630078783E-4</v>
      </c>
      <c r="O273" s="451">
        <f>((DRYDEPaerosol.R+AerosolWashout.R+GasWashout.R+GASABS.aR.sR)/HEIGHT.aR)*AREAFRAC.s3R</f>
        <v>7.3162973630078783E-4</v>
      </c>
      <c r="P273" s="451">
        <f>((DRYDEPaerosol.R+AerosolWashout.R+GasWashout.R+GASABS.aR.sR)/HEIGHT.aR)*AREAFRAC.s3R</f>
        <v>7.3162973630078783E-4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2.352999540191509E-5</v>
      </c>
      <c r="M286" s="451">
        <f>AEROSOLdeprate.R*FRaers.aR</f>
        <v>2.352999540191509E-5</v>
      </c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1.0622130094040873E-4</v>
      </c>
      <c r="M287" s="452">
        <f t="shared" si="4"/>
        <v>1.0622130094040873E-4</v>
      </c>
      <c r="N287" s="452">
        <f t="shared" si="4"/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0.44073100068471405</v>
      </c>
      <c r="M288" s="452">
        <f t="shared" si="5"/>
        <v>0.44073100068471405</v>
      </c>
      <c r="N288" s="452">
        <f t="shared" si="5"/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8.6799999999999987E-11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2.74E-11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0.12462796418239608</v>
      </c>
      <c r="M445" s="452">
        <f t="shared" si="6"/>
        <v>0.12462796418239608</v>
      </c>
      <c r="N445" s="452">
        <f t="shared" si="6"/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0.87537203581760392</v>
      </c>
      <c r="M447" s="452">
        <f t="shared" si="7"/>
        <v>0.87537203581760392</v>
      </c>
      <c r="N447" s="452">
        <f t="shared" si="7"/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0.99978338121031318</v>
      </c>
      <c r="M451" s="452">
        <f t="shared" si="8"/>
        <v>0.99978338121031318</v>
      </c>
      <c r="N451" s="452">
        <f t="shared" si="8"/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0.99830430980414364</v>
      </c>
      <c r="M457" s="452">
        <f t="shared" si="9"/>
        <v>0.99830430980414364</v>
      </c>
      <c r="N457" s="452">
        <f t="shared" si="9"/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0.99933769729472144</v>
      </c>
      <c r="M463" s="452">
        <f t="shared" si="10"/>
        <v>0.99933769729472144</v>
      </c>
      <c r="N463" s="452">
        <f t="shared" si="10"/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8.8983611508293877E-6</v>
      </c>
      <c r="M493" s="451">
        <f>((DRYDEPaerosol.C+AerosolWashout.C+GasWashout.C+GASABS.aC.wC)/HEIGHT.aC)*AREAFRAC.w0C</f>
        <v>8.8983611508293877E-6</v>
      </c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9.7881972659123254E-5</v>
      </c>
      <c r="M494" s="451">
        <f>((DRYDEPaerosol.C+AerosolWashout.C+GasWashout.C+GASABS.aC.wC)/HEIGHT.aC)*AREAFRAC.w1C</f>
        <v>9.7881972659123254E-5</v>
      </c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3.7917131344067834E-3</v>
      </c>
      <c r="M495" s="451">
        <f>((DRYDEPaerosol.C+AerosolWashout.C+GasWashout.C+GASABS.aC.wC)/HEIGHT.aC)*AREAFRAC.w2C</f>
        <v>3.7917131344067834E-3</v>
      </c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9.6066332869602325E-4</v>
      </c>
      <c r="M496" s="451">
        <f>((DRYDEPaerosol.C+AerosolWashout.C+GasWashout.C+GASABS.aC.sC)/HEIGHT.aC)*AREAFRAC.s1C</f>
        <v>9.6066332869602325E-4</v>
      </c>
      <c r="N496" s="451">
        <f>((DRYDEPaerosol.C+AerosolWashout.C+GasWashout.C+GASABS.aC.sC)/HEIGHT.aC)*AREAFRAC.s1C</f>
        <v>9.6066332869602325E-4</v>
      </c>
      <c r="O496" s="451">
        <f>((DRYDEPaerosol.C+AerosolWashout.C+GasWashout.C+GASABS.aC.sC)/HEIGHT.aC)*AREAFRAC.s1C</f>
        <v>9.6066332869602325E-4</v>
      </c>
      <c r="P496" s="451">
        <f>((DRYDEPaerosol.C+AerosolWashout.C+GasWashout.C+GASABS.aC.sC)/HEIGHT.aC)*AREAFRAC.s1C</f>
        <v>9.6066332869602325E-4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2.1348073971022737E-3</v>
      </c>
      <c r="M497" s="451">
        <f>((DRYDEPaerosol.C+AerosolWashout.C+GasWashout.C+GASABS.aC.sC)/HEIGHT.aC)*AREAFRAC.s2C</f>
        <v>2.1348073971022737E-3</v>
      </c>
      <c r="N497" s="451">
        <f>((DRYDEPaerosol.C+AerosolWashout.C+GasWashout.C+GASABS.aC.sC)/HEIGHT.aC)*AREAFRAC.s2C</f>
        <v>2.1348073971022737E-3</v>
      </c>
      <c r="O497" s="451">
        <f>((DRYDEPaerosol.C+AerosolWashout.C+GasWashout.C+GASABS.aC.sC)/HEIGHT.aC)*AREAFRAC.s2C</f>
        <v>2.1348073971022737E-3</v>
      </c>
      <c r="P497" s="451">
        <f>((DRYDEPaerosol.C+AerosolWashout.C+GasWashout.C+GASABS.aC.sC)/HEIGHT.aC)*AREAFRAC.s2C</f>
        <v>2.1348073971022737E-3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3.5580123285037889E-4</v>
      </c>
      <c r="M498" s="451">
        <f>((DRYDEPaerosol.C+AerosolWashout.C+GasWashout.C+GASABS.aC.sC)/HEIGHT.aC)*AREAFRAC.s3C</f>
        <v>3.5580123285037889E-4</v>
      </c>
      <c r="N498" s="451">
        <f>((DRYDEPaerosol.C+AerosolWashout.C+GasWashout.C+GASABS.aC.sC)/HEIGHT.aC)*AREAFRAC.s3C</f>
        <v>3.5580123285037889E-4</v>
      </c>
      <c r="O498" s="451">
        <f>((DRYDEPaerosol.C+AerosolWashout.C+GasWashout.C+GASABS.aC.sC)/HEIGHT.aC)*AREAFRAC.s3C</f>
        <v>3.5580123285037889E-4</v>
      </c>
      <c r="P498" s="451">
        <f>((DRYDEPaerosol.C+AerosolWashout.C+GasWashout.C+GASABS.aC.sC)/HEIGHT.aC)*AREAFRAC.s3C</f>
        <v>3.5580123285037889E-4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2.352999540191509E-5</v>
      </c>
      <c r="M511" s="452">
        <f>AEROSOLdeprate.C*FRaers.aC</f>
        <v>2.352999540191509E-5</v>
      </c>
      <c r="N511" s="452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1.0622130094040873E-4</v>
      </c>
      <c r="M512" s="452">
        <f t="shared" si="11"/>
        <v>1.0622130094040873E-4</v>
      </c>
      <c r="N512" s="452">
        <f t="shared" si="11"/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0.44073100068471405</v>
      </c>
      <c r="M513" s="452">
        <f t="shared" si="12"/>
        <v>0.44073100068471405</v>
      </c>
      <c r="N513" s="452">
        <f t="shared" si="12"/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8.6199999999999984E-11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2.74E-11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0.12462796418239608</v>
      </c>
      <c r="M650" s="452">
        <f t="shared" si="13"/>
        <v>0.12462796418239608</v>
      </c>
      <c r="N650" s="452">
        <f t="shared" si="13"/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0.87537203581760392</v>
      </c>
      <c r="M652" s="452">
        <f t="shared" si="14"/>
        <v>0.87537203581760392</v>
      </c>
      <c r="N652" s="452">
        <f t="shared" si="14"/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0.99933769729472144</v>
      </c>
      <c r="M657" s="452">
        <f t="shared" si="15"/>
        <v>0.99933769729472144</v>
      </c>
      <c r="N657" s="452">
        <f t="shared" si="15"/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0.99933769729472144</v>
      </c>
      <c r="M658" s="452">
        <f t="shared" si="16"/>
        <v>0.99933769729472144</v>
      </c>
      <c r="N658" s="452">
        <f t="shared" si="16"/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3.6755287996258572E-3</v>
      </c>
      <c r="M680" s="451">
        <f>((DRYDEPaerosol.M+AerosolWashout.M+GasWashout.M+GASABS.aM.wM)/HEIGHT.aC)*AREAFRAC.wM</f>
        <v>3.6755287996258572E-3</v>
      </c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3.6741531820136471E-3</v>
      </c>
      <c r="M681" s="452">
        <f>((DRYDEPaerosol.M+AerosolWashout.M+GasWashout.M+GASABS.aM.sM)/HEIGHT.aC)*AREAFRAC.sM</f>
        <v>3.6741531820136471E-3</v>
      </c>
      <c r="N681" s="452">
        <f>((DRYDEPaerosol.M+AerosolWashout.M+GasWashout.M+GASABS.aM.sM)/HEIGHT.aC)*AREAFRAC.sM</f>
        <v>3.6741531820136471E-3</v>
      </c>
      <c r="O681" s="452">
        <f>((DRYDEPaerosol.M+AerosolWashout.M+GasWashout.M+GASABS.aM.sM)/HEIGHT.aC)*AREAFRAC.sM</f>
        <v>3.6741531820136471E-3</v>
      </c>
      <c r="P681" s="452">
        <f>((DRYDEPaerosol.M+AerosolWashout.M+GasWashout.M+GASABS.aM.sM)/HEIGHT.aC)*AREAFRAC.sM</f>
        <v>3.6741531820136471E-3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2.352999540191509E-5</v>
      </c>
      <c r="M690" s="452">
        <f>AEROSOLdeprate.M*FRaers.aM</f>
        <v>2.352999540191509E-5</v>
      </c>
      <c r="N690" s="452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1.0622130094040873E-4</v>
      </c>
      <c r="M691" s="452">
        <f t="shared" si="17"/>
        <v>1.0622130094040873E-4</v>
      </c>
      <c r="N691" s="452">
        <f t="shared" si="17"/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0.44073100068471405</v>
      </c>
      <c r="M692" s="452">
        <f t="shared" si="18"/>
        <v>0.44073100068471405</v>
      </c>
      <c r="N692" s="452">
        <f t="shared" si="18"/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8.9499999999999997E-14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2.9151179054053289E-3</v>
      </c>
      <c r="M786" s="452">
        <f t="shared" si="19"/>
        <v>2.9151179054053289E-3</v>
      </c>
      <c r="N786" s="452">
        <f t="shared" si="19"/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0.99708488209459467</v>
      </c>
      <c r="M788" s="452">
        <f t="shared" si="20"/>
        <v>0.99708488209459467</v>
      </c>
      <c r="N788" s="452">
        <f t="shared" si="20"/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0.99933769729472144</v>
      </c>
      <c r="M793" s="452">
        <f t="shared" si="21"/>
        <v>0.99933769729472144</v>
      </c>
      <c r="N793" s="452">
        <f t="shared" si="21"/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0.99933769729472144</v>
      </c>
      <c r="M794" s="452">
        <f t="shared" si="22"/>
        <v>0.99933769729472144</v>
      </c>
      <c r="N794" s="452">
        <f t="shared" si="22"/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4.9100836054391223E-2</v>
      </c>
      <c r="M816" s="451">
        <f>((DRYDEPaerosol.A+AerosolWashout.A+GasWashout.A+GASABS.aA.wA)/HEIGHT.aC)*AREAFRAC.wA</f>
        <v>4.9100836054391223E-2</v>
      </c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3.2732803484141253E-2</v>
      </c>
      <c r="M817" s="451">
        <f>((DRYDEPaerosol.A+AerosolWashout.A+GasWashout.A+GASABS.aA.sA)/HEIGHT.aC)*AREAFRAC.sA</f>
        <v>3.2732803484141253E-2</v>
      </c>
      <c r="N817" s="451">
        <f>((DRYDEPaerosol.A+AerosolWashout.A+GasWashout.A+GASABS.aA.sA)/HEIGHT.aC)*AREAFRAC.sA</f>
        <v>3.2732803484141253E-2</v>
      </c>
      <c r="O817" s="451">
        <f>((DRYDEPaerosol.A+AerosolWashout.A+GasWashout.A+GASABS.aA.sA)/HEIGHT.aC)*AREAFRAC.sA</f>
        <v>3.2732803484141253E-2</v>
      </c>
      <c r="P817" s="451">
        <f>((DRYDEPaerosol.A+AerosolWashout.A+GasWashout.A+GASABS.aA.sA)/HEIGHT.aC)*AREAFRAC.sA</f>
        <v>3.2732803484141253E-2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2.3247763912725882E-5</v>
      </c>
      <c r="M826" s="451">
        <f>AEROSOLdeprate.A*FRaers.aA</f>
        <v>2.3247763912725882E-5</v>
      </c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5.6498371502115854E-5</v>
      </c>
      <c r="M827" s="452">
        <f t="shared" si="23"/>
        <v>5.6498371502115854E-5</v>
      </c>
      <c r="N827" s="452">
        <f t="shared" si="23"/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4.9098192398628093</v>
      </c>
      <c r="M828" s="452">
        <f t="shared" si="24"/>
        <v>4.9098192398628093</v>
      </c>
      <c r="N828" s="452">
        <f t="shared" si="24"/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6.34E-14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0.5192546583226858</v>
      </c>
      <c r="M922" s="452">
        <f t="shared" si="25"/>
        <v>0.5192546583226858</v>
      </c>
      <c r="N922" s="452">
        <f t="shared" si="25"/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0.48074534167731414</v>
      </c>
      <c r="M924" s="452">
        <f t="shared" si="26"/>
        <v>0.48074534167731414</v>
      </c>
      <c r="N924" s="452">
        <f t="shared" si="26"/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0.99933769729472144</v>
      </c>
      <c r="M929" s="452">
        <f t="shared" si="27"/>
        <v>0.99933769729472144</v>
      </c>
      <c r="N929" s="452">
        <f t="shared" si="27"/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0.99933769729472144</v>
      </c>
      <c r="M930" s="452">
        <f t="shared" si="28"/>
        <v>0.99933769729472144</v>
      </c>
      <c r="N930" s="452">
        <f t="shared" si="28"/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1.5876117326674712E-3</v>
      </c>
      <c r="M952" s="451">
        <f>((DRYDEPaerosol.T+AerosolWashout.T+GasWashout.T+GASABS.aT.wT)/HEIGHT.aT)*AREAFRAC.wT</f>
        <v>1.5876117326674712E-3</v>
      </c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6.7957943816697724E-4</v>
      </c>
      <c r="M953" s="451">
        <f>((DRYDEPaerosol.T+AerosolWashout.T+GasWashout.T+GASABS.aT.sT)/HEIGHT.aT)*AREAFRAC.sT</f>
        <v>6.7957943816697724E-4</v>
      </c>
      <c r="N953" s="451">
        <f>((DRYDEPaerosol.T+AerosolWashout.T+GasWashout.T+GASABS.aT.sT)/HEIGHT.aT)*AREAFRAC.sT</f>
        <v>6.7957943816697724E-4</v>
      </c>
      <c r="O953" s="451">
        <f>((DRYDEPaerosol.T+AerosolWashout.T+GasWashout.T+GASABS.aT.sT)/HEIGHT.aT)*AREAFRAC.sT</f>
        <v>6.7957943816697724E-4</v>
      </c>
      <c r="P953" s="451">
        <f>((DRYDEPaerosol.T+AerosolWashout.T+GasWashout.T+GASABS.aT.sT)/HEIGHT.aT)*AREAFRAC.sT</f>
        <v>6.7957943816697724E-4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2.3537793839004767E-5</v>
      </c>
      <c r="M962" s="451">
        <f>AEROSOLdeprate.T*FRaers.aT</f>
        <v>2.3537793839004767E-5</v>
      </c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1.9460105841749811E-4</v>
      </c>
      <c r="M963" s="452">
        <f t="shared" si="29"/>
        <v>1.9460105841749811E-4</v>
      </c>
      <c r="N963" s="452">
        <f t="shared" si="29"/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0.13565904295464432</v>
      </c>
      <c r="M964" s="452">
        <f t="shared" si="30"/>
        <v>0.13565904295464432</v>
      </c>
      <c r="N964" s="452">
        <f t="shared" si="30"/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6.34E-14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33" transitionEvaluation="1" transitionEntry="1" codeName="Sheet2"/>
  <dimension ref="A1:O219"/>
  <sheetViews>
    <sheetView topLeftCell="A133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64">
        <f t="shared" ref="L60:L65" si="2">IF(ISBLANK(I60),IF(ISNUMBER(J60)=FALSE,K60,J60),I60)</f>
        <v>0.97607289323959479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64">
        <f t="shared" si="2"/>
        <v>3.9711135849005027E-4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64">
        <f t="shared" si="2"/>
        <v>2.3529995401915089E-2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64">
        <f t="shared" si="2"/>
        <v>4.9158665603902462E-8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64">
        <f t="shared" si="2"/>
        <v>20342300.315913603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64">
        <f t="shared" si="2"/>
        <v>1205340070.6487617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64">
        <f>IF(ISBLANK(I66),IF(ISNUMBER(J66)=FALSE,K66,J66),I66)</f>
        <v>0.99968498850414056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102.20032562438601</v>
      </c>
      <c r="L67" s="664">
        <f>IF(ISBLANK(I67),IF(ISNUMBER(J67)=FALSE,K67,J67),I67)</f>
        <v>102.20032562438601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264.01059655875667</v>
      </c>
      <c r="L70" s="664">
        <f>IF(ISBLANK(I70),IF(ISNUMBER(J70)=FALSE,K70,J70),I70)</f>
        <v>264.01059655875667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64">
        <f t="shared" ref="L72:L104" si="3">IF(ISBLANK(I72),IF(ISNUMBER(J72)=FALSE,K72,J72),I72)</f>
        <v>0.99820620799108495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3"/>
        <v>102.20032562438601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 t="shared" si="3"/>
        <v>264.01059655875667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0.99923939228777903</v>
      </c>
      <c r="L78" s="664">
        <f t="shared" si="3"/>
        <v>0.99923939228777903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99.435216023782488</v>
      </c>
      <c r="L79" s="664">
        <f t="shared" si="3"/>
        <v>99.435216023782488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3"/>
        <v>264.01059655875667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26.409494856359572</v>
      </c>
      <c r="L84" s="664">
        <f t="shared" si="3"/>
        <v>26.409494856359572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51.21898971271915</v>
      </c>
      <c r="L85" s="664">
        <f t="shared" si="3"/>
        <v>51.21898971271915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26.231033926700718</v>
      </c>
      <c r="L87" s="664">
        <f t="shared" si="3"/>
        <v>26.231033926700718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50.862067853401449</v>
      </c>
      <c r="L88" s="664">
        <f t="shared" si="3"/>
        <v>50.862067853401449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30.955150979220729</v>
      </c>
      <c r="L90" s="664">
        <f t="shared" si="3"/>
        <v>30.955150979220729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64">
        <f t="shared" si="3"/>
        <v>6.4609602496933077E-3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64">
        <f t="shared" si="3"/>
        <v>0.99353903943270516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20.503433979592884</v>
      </c>
      <c r="L93" s="664">
        <f t="shared" si="3"/>
        <v>20.503433979592884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30.931393837430026</v>
      </c>
      <c r="L95" s="664">
        <f t="shared" si="3"/>
        <v>30.931393837430026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64">
        <f t="shared" si="3"/>
        <v>6.4659226496925713E-3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64">
        <f t="shared" si="3"/>
        <v>0.99353407703352459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20.487595885087657</v>
      </c>
      <c r="L98" s="664">
        <f t="shared" si="3"/>
        <v>20.487595885087657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30.931393837430026</v>
      </c>
      <c r="L100" s="664">
        <f t="shared" si="3"/>
        <v>30.931393837430026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64">
        <f t="shared" si="3"/>
        <v>6.4659226496925713E-3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64">
        <f t="shared" si="3"/>
        <v>0.99353407703352459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20.487595885087657</v>
      </c>
      <c r="L103" s="664">
        <f t="shared" si="3"/>
        <v>20.487595885087657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2.3739569380188086E-8</v>
      </c>
      <c r="L108" s="664">
        <f>IF(ISBLANK(I108),IF(ISNUMBER(J108)=FALSE,K108,J108),I108)</f>
        <v>2.3739569380188086E-8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2.6113526318206898E-7</v>
      </c>
      <c r="L109" s="664">
        <f t="shared" ref="L109:L137" si="4">IF(ISBLANK(I109),IF(ISNUMBER(J109)=FALSE,K109,J109),I109)</f>
        <v>2.6113526318206898E-7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4.1544506068492124E-8</v>
      </c>
      <c r="L110" s="664">
        <f t="shared" si="4"/>
        <v>4.1544506068492124E-8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1.8242769560973718E-6</v>
      </c>
      <c r="L111" s="664">
        <f t="shared" si="4"/>
        <v>1.8242769560973718E-6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4.0539487913274925E-6</v>
      </c>
      <c r="L112" s="664">
        <f t="shared" si="4"/>
        <v>4.0539487913274925E-6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6.7565813188791542E-7</v>
      </c>
      <c r="L113" s="664">
        <f t="shared" si="4"/>
        <v>6.7565813188791542E-7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1.893474429147487E-12</v>
      </c>
      <c r="L114" s="664">
        <f>IF(ISBLANK(I114),IF(ISNUMBER(J114)=FALSE,K114,J114),I114)</f>
        <v>1.893474429147487E-12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6.3022450457971401E-11</v>
      </c>
      <c r="L115" s="664">
        <f t="shared" si="4"/>
        <v>6.3022450457971401E-11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1.83680665698391E-11</v>
      </c>
      <c r="L116" s="664">
        <f t="shared" si="4"/>
        <v>1.83680665698391E-11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4.2270398837526125E-11</v>
      </c>
      <c r="L117" s="664">
        <f t="shared" si="4"/>
        <v>4.2270398837526125E-11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1.9185759281117113E-11</v>
      </c>
      <c r="L118" s="664">
        <f t="shared" si="4"/>
        <v>1.9185759281117113E-11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4.2161478458732919E-11</v>
      </c>
      <c r="L119" s="664">
        <f t="shared" si="4"/>
        <v>4.2161478458732919E-11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5.7638446293405443E-6</v>
      </c>
      <c r="L120" s="664">
        <f t="shared" si="4"/>
        <v>5.7638446293405443E-6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2.5320687308717479E-5</v>
      </c>
      <c r="L121" s="664">
        <f t="shared" si="4"/>
        <v>2.5320687308717479E-5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1.9580769786137339E-5</v>
      </c>
      <c r="L122" s="664">
        <f t="shared" si="4"/>
        <v>1.9580769786137339E-5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7.3668169826823521E-3</v>
      </c>
      <c r="L123" s="664">
        <f t="shared" si="4"/>
        <v>7.3668169826823521E-3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2.3927106760405139E-5</v>
      </c>
      <c r="L126" s="664">
        <f t="shared" si="4"/>
        <v>2.3927106760405139E-5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1.7409729390052177E-3</v>
      </c>
      <c r="L127" s="664">
        <f t="shared" si="4"/>
        <v>1.7409729390052177E-3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7.3455191670639692</v>
      </c>
      <c r="L128" s="664">
        <f t="shared" si="4"/>
        <v>7.3455191670639692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3.7735276288031836E-3</v>
      </c>
      <c r="L131" s="664">
        <f t="shared" ref="L131:L134" si="5">IF(ISBLANK(I131),IF(ISNUMBER(J131)=FALSE,K131,J131),I131)</f>
        <v>3.7735276288031836E-3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1.0222969175601312E-3</v>
      </c>
      <c r="L132" s="664">
        <f t="shared" si="5"/>
        <v>1.0222969175601312E-3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1.893474429147487E-10</v>
      </c>
      <c r="L133" s="664">
        <f t="shared" si="5"/>
        <v>1.893474429147487E-10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1.890673513739142E-10</v>
      </c>
      <c r="L134" s="664">
        <f t="shared" si="5"/>
        <v>1.890673513739142E-10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1.8368066569839099E-10</v>
      </c>
      <c r="L135" s="664">
        <f t="shared" si="4"/>
        <v>1.8368066569839099E-10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3.8661873187415758E-3</v>
      </c>
      <c r="L136" s="664">
        <f t="shared" si="4"/>
        <v>3.8661873187415758E-3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4.6712434275245704E-6</v>
      </c>
      <c r="L137" s="664">
        <f t="shared" si="4"/>
        <v>4.6712434275245704E-6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2.1135199418763065E-12</v>
      </c>
      <c r="L138" s="664">
        <f t="shared" ref="L138:L145" si="6">IF(ISBLANK(I138),IF(ISNUMBER(J138)=FALSE,K138,J138),I138)</f>
        <v>2.1135199418763065E-12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3.8371518562234229E-12</v>
      </c>
      <c r="L139" s="664">
        <f t="shared" si="6"/>
        <v>3.8371518562234229E-12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2.1080739229366462E-12</v>
      </c>
      <c r="L140" s="664">
        <f t="shared" si="6"/>
        <v>2.1080739229366462E-12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4.3442165002884555E-9</v>
      </c>
      <c r="L142" s="664">
        <f t="shared" si="6"/>
        <v>4.3442165002884555E-9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2.6453105432102753E-8</v>
      </c>
      <c r="L147" s="664">
        <f t="shared" ref="L147:L167" si="7">IF(ISBLANK(I147),IF(ISNUMBER(J147)=FALSE,K147,J147),I147)</f>
        <v>2.6453105432102753E-8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4.9492355023972612E-9</v>
      </c>
      <c r="L148" s="664">
        <f t="shared" si="7"/>
        <v>4.9492355023972612E-9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6.0757838967657601E-8</v>
      </c>
      <c r="L149" s="664">
        <f t="shared" si="7"/>
        <v>6.0757838967657601E-8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4.3683903201830172E-8</v>
      </c>
      <c r="L150" s="664">
        <f t="shared" si="7"/>
        <v>4.3683903201830172E-8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5.1903703961662373E-8</v>
      </c>
      <c r="L151" s="664">
        <f t="shared" si="7"/>
        <v>5.1903703961662373E-8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7.812555555555558E-10</v>
      </c>
      <c r="L152" s="664">
        <f t="shared" si="7"/>
        <v>7.812555555555558E-10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2.20083250063939E-8</v>
      </c>
      <c r="L153" s="664">
        <f t="shared" si="7"/>
        <v>2.20083250063939E-8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2.6195185185185192E-10</v>
      </c>
      <c r="L154" s="664">
        <f t="shared" si="7"/>
        <v>2.6195185185185192E-10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>
        <f>8.68*10^-11</f>
        <v>8.6799999999999987E-11</v>
      </c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>IF(ISBLANK(I158),IF(ISNUMBER(J158)=FALSE,K158,J158),I158)</f>
        <v>8.6799999999999987E-11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>
        <f>2.74*10^-11</f>
        <v>2.74E-11</v>
      </c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2.7428797247595103E-11</v>
      </c>
      <c r="L159" s="664">
        <f>IF(ISBLANK(I159),IF(ISNUMBER(J159)=FALSE,K159,J159),I159)</f>
        <v>2.74E-11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2.7455612334645886E-8</v>
      </c>
      <c r="L162" s="664">
        <f t="shared" si="7"/>
        <v>2.7455612334645886E-8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1.0414796134741724E-9</v>
      </c>
      <c r="L163" s="664">
        <f t="shared" si="7"/>
        <v>1.0414796134741724E-9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2.7484030017578719E-8</v>
      </c>
      <c r="L164" s="664">
        <f t="shared" si="7"/>
        <v>2.7484030017578719E-8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1.0485652442030531E-9</v>
      </c>
      <c r="L165" s="664">
        <f t="shared" si="7"/>
        <v>1.0485652442030531E-9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4.1985331810591978E-9</v>
      </c>
      <c r="L169" s="664">
        <f t="shared" ref="L169:L183" si="8">IF(ISBLANK(I169),IF(ISNUMBER(J169)=FALSE,K169,J169),I169)</f>
        <v>4.1985331810591978E-9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1.9120199778154223E-9</v>
      </c>
      <c r="L170" s="664">
        <f t="shared" si="8"/>
        <v>1.9120199778154223E-9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4.2017408811478692E-9</v>
      </c>
      <c r="L171" s="664">
        <f t="shared" si="8"/>
        <v>4.2017408811478692E-9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3.8168483464174523E-10</v>
      </c>
      <c r="L172" s="664">
        <f t="shared" si="8"/>
        <v>3.8168483464174523E-10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1.7381999798322019E-10</v>
      </c>
      <c r="L173" s="664">
        <f t="shared" si="8"/>
        <v>1.7381999798322019E-10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3.8197644374071532E-10</v>
      </c>
      <c r="L174" s="664">
        <f t="shared" si="8"/>
        <v>3.8197644374071532E-10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9.0206076770066419E-6</v>
      </c>
      <c r="L187" s="664">
        <f t="shared" ref="L187:L211" si="9">IF(ISBLANK(I187),IF(ISNUMBER(J187)=FALSE,K187,J187),I187)</f>
        <v>9.0206076770066419E-6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8.685696044300724E-8</v>
      </c>
      <c r="L188" s="664">
        <f>IF(ISBLANK(I188),IF(ISNUMBER(J188)=FALSE,K188,J188),I188)</f>
        <v>8.685696044300724E-8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8.6728477588904822E-8</v>
      </c>
      <c r="L189" s="664">
        <f t="shared" si="9"/>
        <v>8.6728477588904822E-8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8.6818245114295561E-8</v>
      </c>
      <c r="L190" s="664">
        <f t="shared" si="9"/>
        <v>8.6818245114295561E-8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1.2547147778418789E-8</v>
      </c>
      <c r="L191" s="664">
        <f t="shared" si="9"/>
        <v>1.2547147778418789E-8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1.056714777841879E-8</v>
      </c>
      <c r="L192" s="664">
        <f t="shared" si="9"/>
        <v>1.056714777841879E-8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4.3472863365271319E-8</v>
      </c>
      <c r="L193" s="664">
        <f t="shared" si="9"/>
        <v>4.3472863365271319E-8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4.3456145152004627E-8</v>
      </c>
      <c r="L194" s="664">
        <f t="shared" si="9"/>
        <v>4.3456145152004627E-8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4.3472886943431158E-8</v>
      </c>
      <c r="L195" s="664">
        <f t="shared" si="9"/>
        <v>4.3472886943431158E-8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9.0202413511248139E-6</v>
      </c>
      <c r="L197" s="664">
        <f t="shared" si="9"/>
        <v>9.0202413511248139E-6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8.685696044300724E-8</v>
      </c>
      <c r="L200" s="664">
        <f>IF(ISBLANK(I200),IF(ISNUMBER(J200)=FALSE,K200,J200),I200)</f>
        <v>8.685696044300724E-8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8.6728477588904822E-8</v>
      </c>
      <c r="L201" s="664">
        <f t="shared" si="9"/>
        <v>8.6728477588904822E-8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8.6818245114295561E-8</v>
      </c>
      <c r="L202" s="664">
        <f t="shared" si="9"/>
        <v>8.6818245114295561E-8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9.6538144450854565E-9</v>
      </c>
      <c r="L207" s="664">
        <f t="shared" si="9"/>
        <v>9.6538144450854565E-9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9.6538144450854565E-9</v>
      </c>
      <c r="L208" s="664">
        <f t="shared" si="9"/>
        <v>9.6538144450854565E-9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4.3442165002884553E-8</v>
      </c>
      <c r="L209" s="664">
        <f t="shared" si="9"/>
        <v>4.3442165002884553E-8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4.3442165002884553E-8</v>
      </c>
      <c r="L210" s="664">
        <f t="shared" si="9"/>
        <v>4.3442165002884553E-8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4.3442165002884553E-8</v>
      </c>
      <c r="L211" s="664">
        <f t="shared" si="9"/>
        <v>4.3442165002884553E-8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42" transitionEvaluation="1" transitionEntry="1" codeName="Sheet3"/>
  <dimension ref="A1:O225"/>
  <sheetViews>
    <sheetView topLeftCell="A142" zoomScaleNormal="100" workbookViewId="0">
      <selection activeCell="I166" sqref="I166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64">
        <f t="shared" ref="L66:L110" si="2">IF(ISBLANK(I66),IF(ISNUMBER(J66)=FALSE,K66,J66),I66)</f>
        <v>0.97607289323959479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64">
        <f t="shared" si="2"/>
        <v>3.9711135849005027E-4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64">
        <f t="shared" si="2"/>
        <v>2.3529995401915089E-2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64">
        <f t="shared" ref="L69:L71" si="3">IF(ISBLANK(I69),IF(ISNUMBER(J69)=FALSE,K69,J69),I69)</f>
        <v>4.9158665603902462E-8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64">
        <f t="shared" si="3"/>
        <v>20342300.315913603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64">
        <f t="shared" si="3"/>
        <v>1205340070.6487617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64">
        <f t="shared" si="2"/>
        <v>0.99968498850414056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102.20032562438601</v>
      </c>
      <c r="L73" s="664">
        <f t="shared" si="2"/>
        <v>102.20032562438601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264.01059655875667</v>
      </c>
      <c r="L76" s="664">
        <f>IF(ISBLANK(I76),IF(ISNUMBER(J76)=FALSE,K76,J76),I76)</f>
        <v>264.01059655875667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0.99820620799108495</v>
      </c>
      <c r="L78" s="677">
        <f t="shared" si="2"/>
        <v>0.99820620799108495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102.20032562438601</v>
      </c>
      <c r="L79" s="664">
        <f t="shared" si="2"/>
        <v>102.20032562438601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264.01059655875667</v>
      </c>
      <c r="L82" s="664">
        <f t="shared" si="2"/>
        <v>264.01059655875667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0.99923939228777903</v>
      </c>
      <c r="L84" s="664">
        <f t="shared" si="2"/>
        <v>0.99923939228777903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99.435216023782488</v>
      </c>
      <c r="L85" s="664">
        <f t="shared" si="2"/>
        <v>99.435216023782488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264.01059655875667</v>
      </c>
      <c r="L88" s="664">
        <f t="shared" si="2"/>
        <v>264.01059655875667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26.409494856359572</v>
      </c>
      <c r="L90" s="664">
        <f t="shared" si="2"/>
        <v>26.409494856359572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51.21898971271915</v>
      </c>
      <c r="L91" s="664">
        <f t="shared" si="2"/>
        <v>51.21898971271915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26.231033926700718</v>
      </c>
      <c r="L93" s="664">
        <f t="shared" si="2"/>
        <v>26.231033926700718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50.862067853401449</v>
      </c>
      <c r="L94" s="664">
        <f t="shared" si="2"/>
        <v>50.862067853401449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30.955150979220729</v>
      </c>
      <c r="L96" s="664">
        <f t="shared" si="2"/>
        <v>30.955150979220729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6.4609602496933077E-3</v>
      </c>
      <c r="L97" s="664">
        <f t="shared" si="2"/>
        <v>6.4609602496933077E-3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0.99353903943270516</v>
      </c>
      <c r="L98" s="664">
        <f t="shared" si="2"/>
        <v>0.99353903943270516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20.503433979592884</v>
      </c>
      <c r="L99" s="664">
        <f t="shared" si="2"/>
        <v>20.503433979592884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30.931393837430026</v>
      </c>
      <c r="L101" s="664">
        <f t="shared" si="2"/>
        <v>30.931393837430026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6.4659226496925713E-3</v>
      </c>
      <c r="L102" s="664">
        <f t="shared" si="2"/>
        <v>6.4659226496925713E-3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0.99353407703352459</v>
      </c>
      <c r="L103" s="664">
        <f t="shared" si="2"/>
        <v>0.99353407703352459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20.487595885087657</v>
      </c>
      <c r="L104" s="664">
        <f t="shared" si="2"/>
        <v>20.487595885087657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30.931393837430026</v>
      </c>
      <c r="L106" s="664">
        <f t="shared" si="2"/>
        <v>30.931393837430026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6.4659226496925713E-3</v>
      </c>
      <c r="L107" s="664">
        <f t="shared" si="2"/>
        <v>6.4659226496925713E-3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0.99353407703352459</v>
      </c>
      <c r="L108" s="664">
        <f t="shared" si="2"/>
        <v>0.99353407703352459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20.487595885087657</v>
      </c>
      <c r="L109" s="664">
        <f t="shared" si="2"/>
        <v>20.487595885087657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1.1542226079497355E-8</v>
      </c>
      <c r="L114" s="664">
        <f>IF(ISBLANK(I114),IF(ISNUMBER(J114)=FALSE,K114,J114),I114)</f>
        <v>1.1542226079497355E-8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1.2696448687447087E-7</v>
      </c>
      <c r="L115" s="664">
        <f t="shared" ref="L115:L136" si="4">IF(ISBLANK(I115),IF(ISNUMBER(J115)=FALSE,K115,J115),I115)</f>
        <v>1.2696448687447087E-7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4.9183000649331315E-6</v>
      </c>
      <c r="L116" s="664">
        <f t="shared" si="4"/>
        <v>4.9183000649331315E-6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8.8688482303507228E-7</v>
      </c>
      <c r="L117" s="664">
        <f t="shared" si="4"/>
        <v>8.8688482303507228E-7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1.9708551623001603E-6</v>
      </c>
      <c r="L118" s="664">
        <f t="shared" si="4"/>
        <v>1.9708551623001603E-6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3.2847586038336002E-7</v>
      </c>
      <c r="L119" s="664">
        <f t="shared" si="4"/>
        <v>3.2847586038336002E-7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1.893474429147487E-12</v>
      </c>
      <c r="L120" s="664">
        <f>IF(ISBLANK(I120),IF(ISNUMBER(J120)=FALSE,K120,J120),I120)</f>
        <v>1.893474429147487E-12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6.3022450457971401E-11</v>
      </c>
      <c r="L121" s="664">
        <f t="shared" si="4"/>
        <v>6.3022450457971401E-11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9.1840332849195498E-13</v>
      </c>
      <c r="L122" s="664">
        <f t="shared" si="4"/>
        <v>9.1840332849195498E-13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4.2270398837526125E-11</v>
      </c>
      <c r="L123" s="664">
        <f t="shared" si="4"/>
        <v>4.2270398837526125E-11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1.9171040409881066E-11</v>
      </c>
      <c r="L124" s="664">
        <f t="shared" si="4"/>
        <v>1.9171040409881066E-11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4.2129133146594749E-11</v>
      </c>
      <c r="L125" s="664">
        <f t="shared" si="4"/>
        <v>4.2129133146594749E-11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5.7616628679288897E-6</v>
      </c>
      <c r="L126" s="664">
        <f t="shared" si="4"/>
        <v>5.7616628679288897E-6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1.8945439938357102E-5</v>
      </c>
      <c r="L127" s="664">
        <f t="shared" si="4"/>
        <v>1.8945439938357102E-5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1.3207704177188618E-5</v>
      </c>
      <c r="L128" s="664">
        <f t="shared" si="4"/>
        <v>1.3207704177188618E-5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7.3604439170734028E-3</v>
      </c>
      <c r="L129" s="664">
        <f t="shared" si="4"/>
        <v>7.3604439170734028E-3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2.3927106760405139E-5</v>
      </c>
      <c r="L132" s="664">
        <f t="shared" si="4"/>
        <v>2.3927106760405139E-5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1.7409729390052175E-3</v>
      </c>
      <c r="L133" s="664">
        <f t="shared" si="4"/>
        <v>1.7409729390052175E-3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7.3455191670639692</v>
      </c>
      <c r="L134" s="664">
        <f t="shared" si="4"/>
        <v>7.3455191670639692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3.7735276288031836E-3</v>
      </c>
      <c r="L137" s="664">
        <f t="shared" ref="L137:L151" si="5">IF(ISBLANK(I137),IF(ISNUMBER(J137)=FALSE,K137,J137),I137)</f>
        <v>3.7735276288031836E-3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1.0222969175601312E-3</v>
      </c>
      <c r="L138" s="664">
        <f t="shared" si="5"/>
        <v>1.0222969175601312E-3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1.893474429147487E-10</v>
      </c>
      <c r="L139" s="664">
        <f t="shared" si="5"/>
        <v>1.893474429147487E-10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1.890673513739142E-10</v>
      </c>
      <c r="L140" s="664">
        <f t="shared" si="5"/>
        <v>1.890673513739142E-10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1.8368066569839099E-10</v>
      </c>
      <c r="L141" s="664">
        <f t="shared" si="5"/>
        <v>1.8368066569839099E-10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3.8661873187415758E-3</v>
      </c>
      <c r="L142" s="664">
        <f t="shared" si="5"/>
        <v>3.8661873187415758E-3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4.6712434275245704E-6</v>
      </c>
      <c r="L143" s="664">
        <f t="shared" si="5"/>
        <v>4.6712434275245704E-6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2.1135199418763065E-12</v>
      </c>
      <c r="L144" s="664">
        <f t="shared" si="5"/>
        <v>2.1135199418763065E-12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92">
        <f>(L147*L148)/(L147+L148/((L69*FRorig.s2w)/L96))*L150</f>
        <v>3.8342080819762133E-12</v>
      </c>
      <c r="L145" s="664">
        <f t="shared" si="5"/>
        <v>3.8342080819762133E-12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92">
        <f>(L147*L148)/(L147+L148/((L69*FRorig.s3w)/L96))*L151</f>
        <v>2.1064566573297375E-12</v>
      </c>
      <c r="L146" s="664">
        <f t="shared" si="5"/>
        <v>2.1064566573297375E-12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4.3442165002884555E-9</v>
      </c>
      <c r="L148" s="664">
        <f t="shared" si="5"/>
        <v>4.3442165002884555E-9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2.6453105432102753E-8</v>
      </c>
      <c r="L153" s="664">
        <f t="shared" ref="L153:L173" si="6">IF(ISBLANK(I153),IF(ISNUMBER(J153)=FALSE,K153,J153),I153)</f>
        <v>2.6453105432102753E-8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2.4746177511986306E-10</v>
      </c>
      <c r="L154" s="664">
        <f t="shared" si="6"/>
        <v>2.4746177511986306E-10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6.0777838967657597E-8</v>
      </c>
      <c r="L155" s="664">
        <f t="shared" si="6"/>
        <v>6.0777838967657597E-8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4.3683903201830158E-8</v>
      </c>
      <c r="L156" s="664">
        <f t="shared" si="6"/>
        <v>4.3683903201830158E-8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5.1903703961662373E-8</v>
      </c>
      <c r="L157" s="664">
        <f t="shared" si="6"/>
        <v>5.1903703961662373E-8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7.8185555555555577E-10</v>
      </c>
      <c r="L158" s="664">
        <f t="shared" si="6"/>
        <v>7.8185555555555577E-10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2.20083250063939E-8</v>
      </c>
      <c r="L159" s="664">
        <f t="shared" si="6"/>
        <v>2.20083250063939E-8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2.6195185185185192E-10</v>
      </c>
      <c r="L160" s="664">
        <f t="shared" si="6"/>
        <v>2.6195185185185192E-10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>
        <f>8.62*10^-11</f>
        <v>8.6199999999999984E-11</v>
      </c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8.6199999999999984E-11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>
        <f>2.74*10^-11</f>
        <v>2.74E-11</v>
      </c>
      <c r="J165" s="662" t="str">
        <f>IF(ISBLANK(HLOOKUP(CaseName,CaseData,MATCH($G165,cases!$G$3:$G$2464,0),FALSE)),"",HLOOKUP(CaseName,CaseData,MATCH($G165,cases!$G$3:$G$2464,0),FALSE))</f>
        <v/>
      </c>
      <c r="K165" s="663">
        <f>2.74*10^-11</f>
        <v>2.74E-11</v>
      </c>
      <c r="L165" s="664">
        <f t="shared" si="6"/>
        <v>2.74E-11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2.7455612334645883E-8</v>
      </c>
      <c r="L168" s="664">
        <f t="shared" si="6"/>
        <v>2.7455612334645883E-8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1.0414796134741721E-9</v>
      </c>
      <c r="L169" s="664">
        <f t="shared" si="6"/>
        <v>1.0414796134741721E-9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2.7484030017578716E-8</v>
      </c>
      <c r="L170" s="664">
        <f t="shared" si="6"/>
        <v>2.7484030017578716E-8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1.0485652442030529E-9</v>
      </c>
      <c r="L171" s="664">
        <f t="shared" si="6"/>
        <v>1.0485652442030529E-9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4.1985331810591978E-9</v>
      </c>
      <c r="L175" s="664">
        <f t="shared" ref="L175:L177" si="7">IF(ISBLANK(I175),IF(ISNUMBER(J175)=FALSE,K175,J175),I175)</f>
        <v>4.1985331810591978E-9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1.9120199778154223E-9</v>
      </c>
      <c r="L176" s="664">
        <f t="shared" si="7"/>
        <v>1.9120199778154223E-9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4.2017408811478684E-9</v>
      </c>
      <c r="L177" s="664">
        <f t="shared" si="7"/>
        <v>4.2017408811478684E-9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3.8168483464174528E-10</v>
      </c>
      <c r="L178" s="664">
        <f t="shared" ref="L178:L180" si="8">IF(ISBLANK(I178),IF(ISNUMBER(J178)=FALSE,K178,J178),I178)</f>
        <v>3.8168483464174528E-10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1.7381999798322021E-10</v>
      </c>
      <c r="L179" s="664">
        <f t="shared" si="8"/>
        <v>1.7381999798322021E-10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3.8197644374071538E-10</v>
      </c>
      <c r="L180" s="664">
        <f t="shared" si="8"/>
        <v>3.8197644374071538E-10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9.0206076770066419E-6</v>
      </c>
      <c r="L193" s="664">
        <f t="shared" ref="L193:L217" si="11">IF(ISBLANK(I193),IF(ISNUMBER(J193)=FALSE,K193,J193),I193)</f>
        <v>9.0206076770066419E-6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8.685696044300724E-8</v>
      </c>
      <c r="L194" s="664">
        <f>IF(ISBLANK(I194),IF(ISNUMBER(J194)=FALSE,K194,J194),I194)</f>
        <v>8.685696044300724E-8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8.6728477588904822E-8</v>
      </c>
      <c r="L195" s="664">
        <f t="shared" si="11"/>
        <v>8.6728477588904822E-8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8.6818245114295561E-8</v>
      </c>
      <c r="L196" s="664">
        <f t="shared" si="11"/>
        <v>8.6818245114295561E-8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1.2527147778418789E-8</v>
      </c>
      <c r="L197" s="664">
        <f t="shared" si="11"/>
        <v>1.2527147778418789E-8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1.056714777841879E-8</v>
      </c>
      <c r="L198" s="664">
        <f t="shared" si="11"/>
        <v>1.056714777841879E-8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4.3472863365271319E-8</v>
      </c>
      <c r="L199" s="664">
        <f t="shared" si="11"/>
        <v>4.3472863365271319E-8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4.3456145152004627E-8</v>
      </c>
      <c r="L200" s="664">
        <f t="shared" si="11"/>
        <v>4.3456145152004627E-8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4.3472886943431158E-8</v>
      </c>
      <c r="L201" s="664">
        <f t="shared" si="11"/>
        <v>4.3472886943431158E-8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9.0202413511248139E-6</v>
      </c>
      <c r="L203" s="664">
        <f t="shared" si="11"/>
        <v>9.0202413511248139E-6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8.685696044300724E-8</v>
      </c>
      <c r="L206" s="664">
        <f>IF(ISBLANK(I206),IF(ISNUMBER(J206)=FALSE,K206,J206),I206)</f>
        <v>8.685696044300724E-8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8.6728477588904822E-8</v>
      </c>
      <c r="L207" s="664">
        <f t="shared" si="11"/>
        <v>8.6728477588904822E-8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8.6818245114295561E-8</v>
      </c>
      <c r="L208" s="664">
        <f t="shared" si="11"/>
        <v>8.6818245114295561E-8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9.6538144450854565E-9</v>
      </c>
      <c r="L213" s="664">
        <f t="shared" si="11"/>
        <v>9.6538144450854565E-9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9.6538144450854565E-9</v>
      </c>
      <c r="L214" s="664">
        <f t="shared" si="11"/>
        <v>9.6538144450854565E-9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4.3442165002884553E-8</v>
      </c>
      <c r="L215" s="664">
        <f t="shared" si="11"/>
        <v>4.3442165002884553E-8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4.3442165002884553E-8</v>
      </c>
      <c r="L216" s="664">
        <f t="shared" si="11"/>
        <v>4.3442165002884553E-8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4.3442165002884553E-8</v>
      </c>
      <c r="L217" s="664">
        <f t="shared" si="11"/>
        <v>4.3442165002884553E-8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6" transitionEvaluation="1" transitionEntry="1" codeName="Sheet4"/>
  <dimension ref="A1:O414"/>
  <sheetViews>
    <sheetView topLeftCell="A86" zoomScaleNormal="100" workbookViewId="0">
      <selection activeCell="I110" sqref="I110"/>
    </sheetView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64">
        <f>IF(ISBLANK(I46),IF(ISNUMBER(J46)=FALSE,K46,J46),I46)</f>
        <v>0.97607289323959479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64">
        <f>IF(ISBLANK(I47),IF(ISNUMBER(J47)=FALSE,K47,J47),I47)</f>
        <v>3.9711135849005027E-4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64">
        <f>IF(ISBLANK(I48),IF(ISNUMBER(J48)=FALSE,K48,J48),I48)</f>
        <v>2.3529995401915089E-2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4.9158665603902462E-8</v>
      </c>
      <c r="L49" s="664">
        <f>IF(ISBLANK(I49),IF(ISNUMBER(J49)=FALSE,K49,J49),I49)</f>
        <v>4.9158665603902462E-8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64">
        <f t="shared" ref="L51:L58" si="2">IF(ISBLANK(I51),IF(ISNUMBER(J51)=FALSE,K51,J51),I51)</f>
        <v>20342300.315913603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64">
        <f t="shared" si="2"/>
        <v>1205340070.6487617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0.99923939228777903</v>
      </c>
      <c r="L53" s="664">
        <f t="shared" si="2"/>
        <v>0.99923939228777903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0.99923939228777903</v>
      </c>
      <c r="L54" s="664">
        <f t="shared" si="2"/>
        <v>0.99923939228777903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99.435216023782488</v>
      </c>
      <c r="L55" s="664">
        <f t="shared" si="2"/>
        <v>99.435216023782488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99.435216023782488</v>
      </c>
      <c r="L56" s="664">
        <f t="shared" si="2"/>
        <v>99.435216023782488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264.01059655875667</v>
      </c>
      <c r="L61" s="664">
        <f>IF(ISBLANK(I61),IF(ISNUMBER(J61)=FALSE,K61,J61),I61)</f>
        <v>264.01059655875667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264.01059655875667</v>
      </c>
      <c r="L62" s="664">
        <f>IF(ISBLANK(I62),IF(ISNUMBER(J62)=FALSE,K62,J62),I62)</f>
        <v>264.01059655875667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26.231033926700718</v>
      </c>
      <c r="L65" s="664">
        <f t="shared" ref="L65:L72" si="3">IF(ISBLANK(I65),IF(ISNUMBER(J65)=FALSE,K65,J65),I65)</f>
        <v>26.231033926700718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50.862067853401449</v>
      </c>
      <c r="L66" s="664">
        <f t="shared" si="3"/>
        <v>50.862067853401449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30.955150979220729</v>
      </c>
      <c r="L68" s="664">
        <f t="shared" si="3"/>
        <v>30.955150979220729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6.4609602496933077E-3</v>
      </c>
      <c r="L69" s="664">
        <f t="shared" si="3"/>
        <v>6.4609602496933077E-3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0.99353903943270516</v>
      </c>
      <c r="L70" s="664">
        <f t="shared" si="3"/>
        <v>0.99353903943270516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20.503433979592884</v>
      </c>
      <c r="L71" s="664">
        <f t="shared" si="3"/>
        <v>20.503433979592884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4.7753381156319045E-6</v>
      </c>
      <c r="L76" s="664">
        <f t="shared" ref="L76:L89" si="4">IF(ISBLANK(I76),IF(ISNUMBER(J76)=FALSE,K76,J76),I76)</f>
        <v>4.7753381156319045E-6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3.3997205034219729E-6</v>
      </c>
      <c r="L77" s="664">
        <f t="shared" si="4"/>
        <v>3.3997205034219729E-6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1.83680665698391E-12</v>
      </c>
      <c r="L78" s="664">
        <f t="shared" si="4"/>
        <v>1.83680665698391E-12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4.2270398837526125E-11</v>
      </c>
      <c r="L79" s="664">
        <f t="shared" si="4"/>
        <v>4.2270398837526125E-11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5.7771440892838148E-6</v>
      </c>
      <c r="L80" s="664">
        <f t="shared" si="4"/>
        <v>5.7771440892838148E-6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1.8359870762970617E-5</v>
      </c>
      <c r="L81" s="664">
        <f t="shared" si="4"/>
        <v>1.8359870762970617E-5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1.2606653780447208E-5</v>
      </c>
      <c r="L82" s="664">
        <f t="shared" si="4"/>
        <v>1.2606653780447208E-5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7.359842866676662E-3</v>
      </c>
      <c r="L83" s="664">
        <f t="shared" si="4"/>
        <v>7.359842866676662E-3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2.3927106760405139E-5</v>
      </c>
      <c r="L86" s="664">
        <f t="shared" si="4"/>
        <v>2.3927106760405139E-5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1.7409729390052175E-3</v>
      </c>
      <c r="L87" s="664">
        <f t="shared" si="4"/>
        <v>1.7409729390052175E-3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7.3455191670639692</v>
      </c>
      <c r="L88" s="664">
        <f t="shared" si="4"/>
        <v>7.3455191670639692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3.7735321419799942E-3</v>
      </c>
      <c r="L92" s="664">
        <f t="shared" si="5"/>
        <v>3.7735321419799942E-3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1.0222969175601312E-3</v>
      </c>
      <c r="L93" s="664">
        <f>IF(ISBLANK(I93),IF(ISNUMBER(J93)=FALSE,K93,J93),I93)</f>
        <v>1.0222969175601312E-3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1.8368066569839099E-10</v>
      </c>
      <c r="L94" s="664">
        <f>IF(ISBLANK(I94),IF(ISNUMBER(J94)=FALSE,K94,J94),I94)</f>
        <v>1.8368066569839099E-10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2.1135199418763065E-12</v>
      </c>
      <c r="L95" s="664">
        <f>IF(ISBLANK(I95),IF(ISNUMBER(J95)=FALSE,K95,J95),I95)</f>
        <v>2.1135199418763065E-12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3.8661873187415758E-3</v>
      </c>
      <c r="L96" s="664">
        <f t="shared" si="5"/>
        <v>3.8661873187415758E-3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4.6712434275245704E-6</v>
      </c>
      <c r="L97" s="664">
        <f t="shared" si="5"/>
        <v>4.6712434275245704E-6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4.3442165002884555E-9</v>
      </c>
      <c r="L100" s="664">
        <f>IF(ISBLANK(I100),IF(ISNUMBER(J100)=FALSE,K100,J100),I100)</f>
        <v>4.3442165002884555E-9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1.6497451674657539E-11</v>
      </c>
      <c r="L103" s="664">
        <f t="shared" ref="L103:L109" si="6">IF(ISBLANK(I103),IF(ISNUMBER(J103)=FALSE,K103,J103),I103)</f>
        <v>1.6497451674657539E-11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4.4594253201830157E-8</v>
      </c>
      <c r="L104" s="664">
        <f t="shared" si="6"/>
        <v>4.4594253201830157E-8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2.20083250063939E-8</v>
      </c>
      <c r="L105" s="664">
        <f t="shared" si="6"/>
        <v>2.20083250063939E-8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2.8926235185185191E-10</v>
      </c>
      <c r="L106" s="664">
        <f t="shared" si="6"/>
        <v>2.8926235185185191E-10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>
        <f>8.95*10^-14</f>
        <v>8.9499999999999997E-14</v>
      </c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8.9499999999999997E-14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2.7484030017578716E-8</v>
      </c>
      <c r="L111" s="664">
        <f>IF(ISBLANK(I111),IF(ISNUMBER(J111)=FALSE,K111,J111),I111)</f>
        <v>2.7484030017578716E-8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1.0485652442030529E-9</v>
      </c>
      <c r="L112" s="664">
        <f>IF(ISBLANK(I112),IF(ISNUMBER(J112)=FALSE,K112,J112),I112)</f>
        <v>1.0485652442030529E-9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4.580218015700943E-9</v>
      </c>
      <c r="L116" s="664">
        <f>IF(ISBLANK(I116),IF(ISNUMBER(J116)=FALSE,K116,J116),I116)</f>
        <v>4.580218015700943E-9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9.0206076770066419E-6</v>
      </c>
      <c r="L123" s="664">
        <f t="shared" ref="L123:L138" si="7">IF(ISBLANK(I123),IF(ISNUMBER(J123)=FALSE,K123,J123),I123)</f>
        <v>9.0206076770066419E-6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8.6818245114295561E-8</v>
      </c>
      <c r="L124" s="664">
        <f t="shared" si="7"/>
        <v>8.6818245114295561E-8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8.6818245114295561E-8</v>
      </c>
      <c r="L125" s="664">
        <f t="shared" si="7"/>
        <v>8.6818245114295561E-8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9.6567977784187901E-9</v>
      </c>
      <c r="L126" s="664">
        <f t="shared" si="7"/>
        <v>9.6567977784187901E-9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4.3472863365271319E-8</v>
      </c>
      <c r="L127" s="664">
        <f t="shared" si="7"/>
        <v>4.3472863365271319E-8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9.0202413511248139E-6</v>
      </c>
      <c r="L129" s="664">
        <f t="shared" si="7"/>
        <v>9.0202413511248139E-6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8.6818245114295561E-8</v>
      </c>
      <c r="L132" s="664">
        <f t="shared" si="7"/>
        <v>8.6818245114295561E-8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8.6818245114295561E-8</v>
      </c>
      <c r="L133" s="664">
        <f t="shared" si="7"/>
        <v>8.6818245114295561E-8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9.6538144450854565E-9</v>
      </c>
      <c r="L137" s="664">
        <f t="shared" si="7"/>
        <v>9.6538144450854565E-9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4.3442165002884553E-8</v>
      </c>
      <c r="L138" s="664">
        <f t="shared" si="7"/>
        <v>4.3442165002884553E-8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64">
        <f>IF(ISBLANK(I182),IF(ISNUMBER(J182)=FALSE,K182,J182),I182)</f>
        <v>0.96436534712618549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64">
        <f>IF(ISBLANK(I183),IF(ISNUMBER(J183)=FALSE,K183,J183),I183)</f>
        <v>1.2386888961088596E-2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64">
        <f>IF(ISBLANK(I184),IF(ISNUMBER(J184)=FALSE,K184,J184),I184)</f>
        <v>2.3247763912725882E-2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64">
        <f>IF(ISBLANK(I185),IF(ISNUMBER(J185)=FALSE,K185,J185),I185)</f>
        <v>1.557074866700018E-9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64">
        <f t="shared" ref="L187:L194" si="10">IF(ISBLANK(I187),IF(ISNUMBER(J187)=FALSE,K187,J187),I187)</f>
        <v>642230094.53842366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64">
        <f t="shared" si="10"/>
        <v>1205340070.6487617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0.99923939228777903</v>
      </c>
      <c r="L189" s="664">
        <f t="shared" si="10"/>
        <v>0.99923939228777903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0.99923939228777903</v>
      </c>
      <c r="L190" s="664">
        <f t="shared" si="10"/>
        <v>0.99923939228777903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99.435216023782488</v>
      </c>
      <c r="L191" s="664">
        <f t="shared" si="10"/>
        <v>99.435216023782488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99.435216023782488</v>
      </c>
      <c r="L192" s="664">
        <f t="shared" si="10"/>
        <v>99.435216023782488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264.01059655875667</v>
      </c>
      <c r="L197" s="664">
        <f>IF(ISBLANK(I197),IF(ISNUMBER(J197)=FALSE,K197,J197),I197)</f>
        <v>264.01059655875667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264.01059655875667</v>
      </c>
      <c r="L198" s="664">
        <f>IF(ISBLANK(I198),IF(ISNUMBER(J198)=FALSE,K198,J198),I198)</f>
        <v>264.01059655875667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26.231033926700718</v>
      </c>
      <c r="L201" s="664">
        <f t="shared" ref="L201:L208" si="11">IF(ISBLANK(I201),IF(ISNUMBER(J201)=FALSE,K201,J201),I201)</f>
        <v>26.231033926700718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50.862067853401449</v>
      </c>
      <c r="L202" s="664">
        <f t="shared" si="11"/>
        <v>50.862067853401449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30.955150969700735</v>
      </c>
      <c r="L204" s="664">
        <f t="shared" si="11"/>
        <v>30.955150969700735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6.4609602516803215E-3</v>
      </c>
      <c r="L205" s="664">
        <f t="shared" si="11"/>
        <v>6.4609602516803215E-3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0.99353903973825985</v>
      </c>
      <c r="L206" s="664">
        <f t="shared" si="11"/>
        <v>0.99353903973825985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20.503433979592884</v>
      </c>
      <c r="L207" s="664">
        <f t="shared" si="11"/>
        <v>20.503433979592884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5.7645412263045167E-6</v>
      </c>
      <c r="L212" s="664">
        <f t="shared" ref="L212:L225" si="12">IF(ISBLANK(I212),IF(ISNUMBER(J212)=FALSE,K212,J212),I212)</f>
        <v>5.7645412263045167E-6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2.7558086979725298E-6</v>
      </c>
      <c r="L213" s="664">
        <f t="shared" si="12"/>
        <v>2.7558086979725298E-6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5.8182101402276973E-14</v>
      </c>
      <c r="L214" s="664">
        <f t="shared" si="12"/>
        <v>5.8182101402276973E-14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1.3393307854406381E-12</v>
      </c>
      <c r="L215" s="664">
        <f t="shared" si="12"/>
        <v>1.3393307854406381E-12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5.8791562822336185E-6</v>
      </c>
      <c r="L216" s="664">
        <f t="shared" si="12"/>
        <v>5.8791562822336185E-6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1.6665708726640642E-5</v>
      </c>
      <c r="L217" s="664">
        <f t="shared" si="12"/>
        <v>1.6665708726640642E-5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1.0822187097280837E-5</v>
      </c>
      <c r="L218" s="664">
        <f t="shared" si="12"/>
        <v>1.0822187097280837E-5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8.1841749262681965E-2</v>
      </c>
      <c r="L219" s="664">
        <f t="shared" si="12"/>
        <v>8.1841749262681965E-2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3.5634652873814484E-5</v>
      </c>
      <c r="L222" s="664">
        <f t="shared" si="12"/>
        <v>3.5634652873814484E-5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6.1431813146683902E-4</v>
      </c>
      <c r="L223" s="664">
        <f t="shared" si="12"/>
        <v>6.1431813146683902E-4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81.830348392106089</v>
      </c>
      <c r="L224" s="664">
        <f t="shared" si="12"/>
        <v>81.830348392106089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3.7284124282739089E-3</v>
      </c>
      <c r="L228" s="664">
        <f t="shared" si="13"/>
        <v>3.7284124282739089E-3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1.0103654626977051E-3</v>
      </c>
      <c r="L229" s="664">
        <f>IF(ISBLANK(I229),IF(ISNUMBER(J229)=FALSE,K229,J229),I229)</f>
        <v>1.0103654626977051E-3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5.8182101402276977E-12</v>
      </c>
      <c r="L230" s="664">
        <f t="shared" si="13"/>
        <v>5.8182101402276977E-12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6.6966539272031908E-14</v>
      </c>
      <c r="L231" s="664">
        <f>IF(ISBLANK(I231),IF(ISNUMBER(J231)=FALSE,K231,J231),I231)</f>
        <v>6.6966539272031908E-14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3.8661873187415758E-3</v>
      </c>
      <c r="L232" s="664">
        <f t="shared" si="13"/>
        <v>3.8661873187415758E-3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4.6712434275245704E-6</v>
      </c>
      <c r="L233" s="664">
        <f t="shared" si="13"/>
        <v>4.6712434275245704E-6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9.4546503035160804E-10</v>
      </c>
      <c r="L236" s="664">
        <f>IF(ISBLANK(I236),IF(ISNUMBER(J236)=FALSE,K236,J236),I236)</f>
        <v>9.4546503035160804E-10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1.6497451674657539E-11</v>
      </c>
      <c r="L239" s="664">
        <f t="shared" ref="L239:L245" si="14">IF(ISBLANK(I239),IF(ISNUMBER(J239)=FALSE,K239,J239),I239)</f>
        <v>1.6497451674657539E-11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4.4595123201830163E-8</v>
      </c>
      <c r="L240" s="664">
        <f t="shared" si="14"/>
        <v>4.4595123201830163E-8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2.20083250063939E-8</v>
      </c>
      <c r="L241" s="664">
        <f t="shared" si="14"/>
        <v>2.20083250063939E-8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2.892884518518519E-10</v>
      </c>
      <c r="L242" s="664">
        <f t="shared" si="14"/>
        <v>2.892884518518519E-10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>
        <f>6.34*10^-14</f>
        <v>6.34E-14</v>
      </c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2.7484030017578716E-8</v>
      </c>
      <c r="L247" s="664">
        <f>IF(ISBLANK(I247),IF(ISNUMBER(J247)=FALSE,K247,J247),I247)</f>
        <v>2.7484030017578716E-8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1.0485652442030529E-9</v>
      </c>
      <c r="L248" s="664">
        <f>IF(ISBLANK(I248),IF(ISNUMBER(J248)=FALSE,K248,J248),I248)</f>
        <v>1.0485652442030529E-9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1.6513345540686168E-9</v>
      </c>
      <c r="L252" s="664">
        <f>IF(ISBLANK(I252),IF(ISNUMBER(J252)=FALSE,K252,J252),I252)</f>
        <v>1.6513345540686168E-9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7.4533832759998107E-6</v>
      </c>
      <c r="L259" s="664">
        <f t="shared" ref="L259:L274" si="15">IF(ISBLANK(I259),IF(ISNUMBER(J259)=FALSE,K259,J259),I259)</f>
        <v>7.4533832759998107E-6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1.8894918047157747E-8</v>
      </c>
      <c r="L260" s="664">
        <f t="shared" si="15"/>
        <v>1.8894918047157747E-8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1.8894918047157747E-8</v>
      </c>
      <c r="L261" s="664">
        <f t="shared" si="15"/>
        <v>1.8894918047157747E-8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2.1031467341146845E-9</v>
      </c>
      <c r="L262" s="664">
        <f t="shared" si="15"/>
        <v>2.1031467341146845E-9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9.4656140043718675E-9</v>
      </c>
      <c r="L263" s="664">
        <f t="shared" si="15"/>
        <v>9.4656140043718675E-9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7.4530169501179827E-6</v>
      </c>
      <c r="L265" s="664">
        <f t="shared" si="15"/>
        <v>7.4530169501179827E-6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1.8894918047157747E-8</v>
      </c>
      <c r="L268" s="664">
        <f t="shared" si="15"/>
        <v>1.8894918047157747E-8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1.8894918047157747E-8</v>
      </c>
      <c r="L269" s="664">
        <f t="shared" si="15"/>
        <v>1.8894918047157747E-8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2.1010334007813511E-9</v>
      </c>
      <c r="L273" s="664">
        <f t="shared" si="15"/>
        <v>2.1010334007813511E-9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9.4546503035160804E-9</v>
      </c>
      <c r="L274" s="664">
        <f t="shared" si="15"/>
        <v>9.4546503035160804E-9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64">
        <f>IF(ISBLANK(I318),IF(ISNUMBER(J318)=FALSE,K318,J318),I318)</f>
        <v>0.97639638854517607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64">
        <f>IF(ISBLANK(I319),IF(ISNUMBER(J319)=FALSE,K319,J319),I319)</f>
        <v>6.581761581910175E-5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64">
        <f>IF(ISBLANK(I320),IF(ISNUMBER(J320)=FALSE,K320,J320),I320)</f>
        <v>2.3537793839004766E-2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64">
        <f>IF(ISBLANK(I321),IF(ISNUMBER(J321)=FALSE,K321,J321),I321)</f>
        <v>2.9669768715870563E-7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64">
        <f t="shared" ref="L323:L330" si="18">IF(ISBLANK(I323),IF(ISNUMBER(J323)=FALSE,K323,J323),I323)</f>
        <v>3370435.2346678358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64">
        <f t="shared" si="18"/>
        <v>1205340070.6487617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64">
        <f t="shared" si="18"/>
        <v>0.99923939228777903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64">
        <f t="shared" si="18"/>
        <v>0.99923939228777903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99.435216023782488</v>
      </c>
      <c r="L327" s="664">
        <f t="shared" si="18"/>
        <v>99.435216023782488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99.435216023782488</v>
      </c>
      <c r="L328" s="664">
        <f t="shared" si="18"/>
        <v>99.435216023782488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264.01059655875667</v>
      </c>
      <c r="L333" s="664">
        <f>IF(ISBLANK(I333),IF(ISNUMBER(J333)=FALSE,K333,J333),I333)</f>
        <v>264.01059655875667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264.01059655875667</v>
      </c>
      <c r="L334" s="664">
        <f>IF(ISBLANK(I334),IF(ISNUMBER(J334)=FALSE,K334,J334),I334)</f>
        <v>264.01059655875667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26.231033926700718</v>
      </c>
      <c r="L337" s="664">
        <f t="shared" ref="L337:L344" si="19">IF(ISBLANK(I337),IF(ISNUMBER(J337)=FALSE,K337,J337),I337)</f>
        <v>26.231033926700718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50.862067853401449</v>
      </c>
      <c r="L338" s="664">
        <f t="shared" si="19"/>
        <v>50.862067853401449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30.955151028726856</v>
      </c>
      <c r="L340" s="664">
        <f t="shared" si="19"/>
        <v>30.955151028726856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6.4609602393603874E-3</v>
      </c>
      <c r="L341" s="664">
        <f t="shared" si="19"/>
        <v>6.4609602393603874E-3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0.99353903784375253</v>
      </c>
      <c r="L342" s="664">
        <f t="shared" si="19"/>
        <v>0.99353903784375253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20.503433979592884</v>
      </c>
      <c r="L343" s="664">
        <f t="shared" si="19"/>
        <v>20.503433979592884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6.6300097818731875E-6</v>
      </c>
      <c r="L348" s="664">
        <f t="shared" ref="L348:L361" si="20">IF(ISBLANK(I348),IF(ISNUMBER(J348)=FALSE,K348,J348),I348)</f>
        <v>6.6300097818731875E-6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2.0158426445779233E-6</v>
      </c>
      <c r="L349" s="664">
        <f t="shared" si="20"/>
        <v>2.0158426445779233E-6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1.108387121217946E-11</v>
      </c>
      <c r="L350" s="664">
        <f t="shared" si="20"/>
        <v>1.108387121217946E-11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2.5498180794890081E-10</v>
      </c>
      <c r="L351" s="664">
        <f t="shared" si="20"/>
        <v>2.5498180794890081E-10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5.6974076031252021E-6</v>
      </c>
      <c r="L352" s="664">
        <f t="shared" si="20"/>
        <v>5.6974076031252021E-6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1.9074248450575631E-5</v>
      </c>
      <c r="L353" s="664">
        <f t="shared" si="20"/>
        <v>1.9074248450575631E-5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1.3400444458905253E-5</v>
      </c>
      <c r="L354" s="664">
        <f t="shared" si="20"/>
        <v>1.3400444458905253E-5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2.2775959632471187E-3</v>
      </c>
      <c r="L355" s="664">
        <f t="shared" si="20"/>
        <v>2.2775959632471187E-3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2.3603611454823871E-5</v>
      </c>
      <c r="L358" s="664">
        <f t="shared" si="20"/>
        <v>2.3603611454823871E-5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3.2343070343634995E-3</v>
      </c>
      <c r="L359" s="664">
        <f t="shared" si="20"/>
        <v>3.2343070343634995E-3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2.2609848153653043</v>
      </c>
      <c r="L360" s="664">
        <f t="shared" si="20"/>
        <v>2.2609848153653043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3.7740349424079233E-3</v>
      </c>
      <c r="L364" s="664">
        <f t="shared" si="21"/>
        <v>3.7740349424079233E-3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1.0220678788012071E-3</v>
      </c>
      <c r="L365" s="664">
        <f>IF(ISBLANK(I365),IF(ISNUMBER(J365)=FALSE,K365,J365),I365)</f>
        <v>1.0220678788012071E-3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1.108387121217946E-9</v>
      </c>
      <c r="L366" s="664">
        <f t="shared" si="21"/>
        <v>1.108387121217946E-9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1.2749090397445042E-11</v>
      </c>
      <c r="L367" s="664">
        <f>IF(ISBLANK(I367),IF(ISNUMBER(J367)=FALSE,K367,J367),I367)</f>
        <v>1.2749090397445042E-11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3.8661873187415758E-3</v>
      </c>
      <c r="L368" s="664">
        <f t="shared" si="21"/>
        <v>3.8661873187415758E-3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4.6712434275245704E-6</v>
      </c>
      <c r="L369" s="664">
        <f t="shared" si="21"/>
        <v>4.6712434275245704E-6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1.0696715749381872E-8</v>
      </c>
      <c r="L372" s="664">
        <f>IF(ISBLANK(I372),IF(ISNUMBER(J372)=FALSE,K372,J372),I372)</f>
        <v>1.0696715749381872E-8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1.6497451674657539E-11</v>
      </c>
      <c r="L375" s="664">
        <f t="shared" ref="L375:L381" si="22">IF(ISBLANK(I375),IF(ISNUMBER(J375)=FALSE,K375,J375),I375)</f>
        <v>1.6497451674657539E-11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4.4595123201830163E-8</v>
      </c>
      <c r="L376" s="664">
        <f t="shared" si="22"/>
        <v>4.4595123201830163E-8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2.20083250063939E-8</v>
      </c>
      <c r="L377" s="664">
        <f t="shared" si="22"/>
        <v>2.20083250063939E-8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2.892884518518519E-10</v>
      </c>
      <c r="L378" s="664">
        <f t="shared" si="22"/>
        <v>2.892884518518519E-10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>
        <f>6.34*10^-14</f>
        <v>6.34E-14</v>
      </c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2.7484030017578716E-8</v>
      </c>
      <c r="L383" s="664">
        <f>IF(ISBLANK(I383),IF(ISNUMBER(J383)=FALSE,K383,J383),I383)</f>
        <v>2.7484030017578716E-8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1.0485652442030529E-9</v>
      </c>
      <c r="L384" s="664">
        <f>IF(ISBLANK(I384),IF(ISNUMBER(J384)=FALSE,K384,J384),I384)</f>
        <v>1.0485652442030529E-9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8.4853959516793628E-9</v>
      </c>
      <c r="L388" s="664">
        <f>IF(ISBLANK(I388),IF(ISNUMBER(J388)=FALSE,K388,J388),I388)</f>
        <v>8.4853959516793628E-9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1.00290385952411E-5</v>
      </c>
      <c r="L395" s="664">
        <f t="shared" ref="L395:L410" si="23">IF(ISBLANK(I395),IF(ISNUMBER(J395)=FALSE,K395,J395),I395)</f>
        <v>1.00290385952411E-5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2.1377159489774912E-7</v>
      </c>
      <c r="L396" s="664">
        <f t="shared" si="23"/>
        <v>2.1377159489774912E-7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2.1377159489774912E-7</v>
      </c>
      <c r="L397" s="664">
        <f t="shared" si="23"/>
        <v>2.1377159489774912E-7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2.377259277640416E-8</v>
      </c>
      <c r="L398" s="664">
        <f t="shared" si="23"/>
        <v>2.377259277640416E-8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1.070241687381601E-7</v>
      </c>
      <c r="L399" s="664">
        <f t="shared" si="23"/>
        <v>1.070241687381601E-7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1.0028672269359272E-5</v>
      </c>
      <c r="L401" s="664">
        <f t="shared" si="23"/>
        <v>1.0028672269359272E-5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2.1377159489774912E-7</v>
      </c>
      <c r="L404" s="664">
        <f t="shared" si="23"/>
        <v>2.1377159489774912E-7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2.1377159489774912E-7</v>
      </c>
      <c r="L405" s="664">
        <f t="shared" si="23"/>
        <v>2.1377159489774912E-7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2.3770479443070826E-8</v>
      </c>
      <c r="L409" s="664">
        <f t="shared" si="23"/>
        <v>2.3770479443070826E-8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1.0696715749381872E-7</v>
      </c>
      <c r="L410" s="664">
        <f t="shared" si="23"/>
        <v>1.0696715749381872E-7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-2.5321053634599309E-5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4.2270398837526125E-11</v>
      </c>
      <c r="K9" s="179">
        <f>k.s2R.aR</f>
        <v>1.9185759281117113E-11</v>
      </c>
      <c r="L9" s="179">
        <f>k.s3R.aR</f>
        <v>4.2161478458732919E-11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2.3739569380188086E-8</v>
      </c>
      <c r="E10" s="378">
        <f>-k.w0R-SUM(E9,E11:E41)</f>
        <v>-8.925611419140899E-8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3.8168483464174523E-10</v>
      </c>
      <c r="K10" s="689">
        <f>k.s2R.w0R</f>
        <v>1.7381999798322019E-10</v>
      </c>
      <c r="L10" s="689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2.6113526318206898E-7</v>
      </c>
      <c r="E11" s="179">
        <f>k.w0R.w1R</f>
        <v>2.3972602739726025E-9</v>
      </c>
      <c r="F11" s="378">
        <f>-k.w1R-SUM(F9:F10,F12:F41)</f>
        <v>-1.8588885619790804E-7</v>
      </c>
      <c r="G11" s="376">
        <v>0</v>
      </c>
      <c r="H11" s="179">
        <f>k.sd1R.w1R</f>
        <v>6.0757838967657601E-8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4.1544506068492124E-8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-1.4616403007380556E-6</v>
      </c>
      <c r="H12" s="376">
        <v>0</v>
      </c>
      <c r="I12" s="179">
        <f>k.sd2R.w2R</f>
        <v>4.3683903201830172E-8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-7.3304986746076396E-8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-5.4251050980248965E-8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1.8242769560973718E-6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-4.809535177980979E-8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4.0539487913274925E-6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-4.5561170887084385E-8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6.7565813188791542E-7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-4.8098765746778479E-8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-1.8945806264238928E-5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691">
        <f>k.s1C.aC</f>
        <v>4.2270398837526125E-11</v>
      </c>
      <c r="T18" s="691">
        <f>k.s2C.aC</f>
        <v>1.9171040409881066E-11</v>
      </c>
      <c r="U18" s="691">
        <f>k.s3C.aC</f>
        <v>4.2129133146594749E-11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1.1542226079497355E-8</v>
      </c>
      <c r="N19" s="378">
        <f>-k.w0C-SUM(N9:N18,N20:N41)</f>
        <v>-8.925611419140899E-8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3.8168483464174528E-10</v>
      </c>
      <c r="T19" s="691">
        <f>k.s2C.w0C</f>
        <v>1.7381999798322021E-10</v>
      </c>
      <c r="U19" s="691">
        <f>k.s3C.w0C</f>
        <v>3.8197644374071538E-10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1.2696448687447087E-7</v>
      </c>
      <c r="N20" s="179">
        <f>k.w0C.w1C</f>
        <v>2.3972602739726029E-9</v>
      </c>
      <c r="O20" s="378">
        <f>-k.w1C-SUM(O9:O19,O21:O41)</f>
        <v>-1.8588885619790807E-7</v>
      </c>
      <c r="P20" s="376">
        <v>0</v>
      </c>
      <c r="Q20" s="179">
        <f>k.sd1C.w1C</f>
        <v>6.0777838967657597E-8</v>
      </c>
      <c r="R20" s="376">
        <v>0</v>
      </c>
      <c r="S20" s="691">
        <f>k.s1C.w1C</f>
        <v>4.1985331810591978E-9</v>
      </c>
      <c r="T20" s="691">
        <f>k.s2C.w1C</f>
        <v>1.9120199778154223E-9</v>
      </c>
      <c r="U20" s="691">
        <f>k.s3C.w1C</f>
        <v>4.2017408811478684E-9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4.9183000649331315E-6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-1.1877457280679999E-7</v>
      </c>
      <c r="Q21" s="376">
        <v>0</v>
      </c>
      <c r="R21" s="179">
        <f>k.sd2C.w2C</f>
        <v>4.3683903201830158E-8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-7.3304986746076383E-8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-5.4251050980248952E-8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8.8688482303507228E-7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-4.809535177980979E-8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1.9708551623001603E-6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-4.556115616821315E-8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3.2847586038336002E-7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-4.8098733401466337E-8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-1.8360237088852444E-5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4.2270398837526125E-11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4.7753381156319045E-6</v>
      </c>
      <c r="W28" s="378">
        <f>-k.w2M-SUM(W9:W27,W29:W41)</f>
        <v>-3.8067449252631946E-7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-9.6427610052387859E-8</v>
      </c>
      <c r="Y29" s="376">
        <f>k.sdM.w3M</f>
        <v>4.4594253201830157E-8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-5.4251050980248946E-8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3.3997205034219729E-6</v>
      </c>
      <c r="W31" s="376">
        <v>0</v>
      </c>
      <c r="X31" s="376">
        <v>0</v>
      </c>
      <c r="Y31" s="376">
        <v>0</v>
      </c>
      <c r="Z31" s="378">
        <f>-k.sM-SUM(Z9:Z30,Z32:Z41)</f>
        <v>-4.809535177980979E-8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-1.6666075052522468E-5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1.3393307854406381E-12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5.7645412263045167E-6</v>
      </c>
      <c r="AB33" s="378">
        <f>-k.w2A-SUM(AB9:AB32,AB34:AB41)</f>
        <v>-2.8815621607873425E-7</v>
      </c>
      <c r="AC33" s="376">
        <f>k.w3A.w2A</f>
        <v>8.9753746616491718E-9</v>
      </c>
      <c r="AD33" s="179">
        <v>0</v>
      </c>
      <c r="AE33" s="179">
        <f>k.sA.w2A</f>
        <v>1.6513345540686168E-9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-2.9847574474207068E-8</v>
      </c>
      <c r="AD34" s="376">
        <f>k.sdA.w3A</f>
        <v>4.4595123201830163E-8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-4.6698269935944846E-8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2.7558086979725298E-6</v>
      </c>
      <c r="AB36" s="376">
        <v>0</v>
      </c>
      <c r="AC36" s="376">
        <v>0</v>
      </c>
      <c r="AD36" s="376">
        <v>0</v>
      </c>
      <c r="AE36" s="378">
        <f>-k.sA-SUM(AE9:AE35,AE37:AE41)</f>
        <v>-1.1118287889225924E-8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-1.9074614776457458E-5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2.5498180794890081E-10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6.6300097818731875E-6</v>
      </c>
      <c r="AG38" s="378">
        <f>-k.w2T-SUM(AG9:AG37,AG39:AG41)</f>
        <v>-4.5783383458482299E-7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-2.2136290678698331E-7</v>
      </c>
      <c r="AI39" s="376">
        <f>k.sdT.w3T</f>
        <v>4.4595123201830163E-8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-6.836771597823432E-8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2.0158426445779233E-6</v>
      </c>
      <c r="AG41" s="373">
        <v>0</v>
      </c>
      <c r="AH41" s="373">
        <v>0</v>
      </c>
      <c r="AI41" s="373">
        <v>0</v>
      </c>
      <c r="AJ41" s="381">
        <f>-k.sT-SUM(AJ9:AJ40)</f>
        <v>-1.1576454649778837E-7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64295370.115983337</v>
      </c>
      <c r="D45" s="370">
        <f t="array" ref="D45:AJ45">TRANSPOSE(MMULT(MINVERSE(D9:AJ41),-TRANSPOSE(D5:AJ5)))</f>
        <v>56239.208340107303</v>
      </c>
      <c r="E45" s="370">
        <v>97654.597754146642</v>
      </c>
      <c r="F45" s="370">
        <v>9211435.8224337623</v>
      </c>
      <c r="G45" s="370">
        <v>460742.03694704559</v>
      </c>
      <c r="H45" s="370">
        <v>3324072.3968200004</v>
      </c>
      <c r="I45" s="370">
        <v>42032.749697979852</v>
      </c>
      <c r="J45" s="370">
        <v>2133176.8665238479</v>
      </c>
      <c r="K45" s="370">
        <v>36044236.343586177</v>
      </c>
      <c r="L45" s="370">
        <v>790009.42864063371</v>
      </c>
      <c r="M45" s="370">
        <v>27980.567339596702</v>
      </c>
      <c r="N45" s="370">
        <v>8999.6059651213163</v>
      </c>
      <c r="O45" s="370">
        <v>54023.788682028164</v>
      </c>
      <c r="P45" s="370">
        <v>6547579.5469571929</v>
      </c>
      <c r="Q45" s="370">
        <v>19495.221829827587</v>
      </c>
      <c r="R45" s="370">
        <v>29866.253798814436</v>
      </c>
      <c r="S45" s="370">
        <v>515965.46433446789</v>
      </c>
      <c r="T45" s="370">
        <v>1210365.3687305921</v>
      </c>
      <c r="U45" s="370">
        <v>191084.88479674541</v>
      </c>
      <c r="V45" s="370">
        <v>2109.6064098543629</v>
      </c>
      <c r="W45" s="370">
        <v>608137.76290885778</v>
      </c>
      <c r="X45" s="370">
        <v>1592393.3578390426</v>
      </c>
      <c r="Y45" s="370">
        <v>484.23822199425149</v>
      </c>
      <c r="Z45" s="370">
        <v>149121.94006954122</v>
      </c>
      <c r="AA45" s="370">
        <v>48.016389607134414</v>
      </c>
      <c r="AB45" s="370">
        <v>114971.12584873229</v>
      </c>
      <c r="AC45" s="370">
        <v>1037726.4235020957</v>
      </c>
      <c r="AD45" s="370">
        <v>366.60547696357918</v>
      </c>
      <c r="AE45" s="370">
        <v>11901.471291529171</v>
      </c>
      <c r="AF45" s="370">
        <v>72.680993185977059</v>
      </c>
      <c r="AG45" s="370">
        <v>1250.6486023013772</v>
      </c>
      <c r="AH45" s="370">
        <v>10557.921720178578</v>
      </c>
      <c r="AI45" s="370">
        <v>2.5476762075672563</v>
      </c>
      <c r="AJ45" s="371">
        <v>1265.6158551734929</v>
      </c>
    </row>
    <row r="46" spans="1:36" ht="12.75" customHeight="1" x14ac:dyDescent="0.2">
      <c r="B46" s="255" t="s">
        <v>2410</v>
      </c>
      <c r="C46" s="531">
        <f>SUM(D46:AJ46)</f>
        <v>67553753.152685285</v>
      </c>
      <c r="D46" s="383">
        <f>D45</f>
        <v>56239.208340107303</v>
      </c>
      <c r="E46" s="383"/>
      <c r="F46" s="383">
        <f t="shared" ref="F46:AJ46" si="0">F45</f>
        <v>9211435.8224337623</v>
      </c>
      <c r="G46" s="383">
        <f t="shared" si="0"/>
        <v>460742.03694704559</v>
      </c>
      <c r="H46" s="383">
        <f t="shared" si="0"/>
        <v>3324072.3968200004</v>
      </c>
      <c r="I46" s="383">
        <f t="shared" si="0"/>
        <v>42032.749697979852</v>
      </c>
      <c r="J46" s="383">
        <f t="shared" si="0"/>
        <v>2133176.8665238479</v>
      </c>
      <c r="K46" s="383">
        <f t="shared" si="0"/>
        <v>36044236.343586177</v>
      </c>
      <c r="L46" s="383">
        <f t="shared" si="0"/>
        <v>790009.42864063371</v>
      </c>
      <c r="M46" s="383">
        <f t="shared" si="0"/>
        <v>27980.567339596702</v>
      </c>
      <c r="N46" s="383"/>
      <c r="O46" s="383">
        <f t="shared" si="0"/>
        <v>54023.788682028164</v>
      </c>
      <c r="P46" s="383">
        <f t="shared" si="0"/>
        <v>6547579.5469571929</v>
      </c>
      <c r="Q46" s="383">
        <f t="shared" si="0"/>
        <v>19495.221829827587</v>
      </c>
      <c r="R46" s="383">
        <f t="shared" si="0"/>
        <v>29866.253798814436</v>
      </c>
      <c r="S46" s="383">
        <f t="shared" si="0"/>
        <v>515965.46433446789</v>
      </c>
      <c r="T46" s="383">
        <f t="shared" si="0"/>
        <v>1210365.3687305921</v>
      </c>
      <c r="U46" s="383">
        <f t="shared" si="0"/>
        <v>191084.88479674541</v>
      </c>
      <c r="V46" s="383">
        <f t="shared" si="0"/>
        <v>2109.6064098543629</v>
      </c>
      <c r="W46" s="383">
        <f>SUM(W45:X45)</f>
        <v>2200531.1207479006</v>
      </c>
      <c r="X46" s="383">
        <f>SUM(W45:X45)</f>
        <v>2200531.1207479006</v>
      </c>
      <c r="Y46" s="383">
        <f t="shared" si="0"/>
        <v>484.23822199425149</v>
      </c>
      <c r="Z46" s="383">
        <f t="shared" si="0"/>
        <v>149121.94006954122</v>
      </c>
      <c r="AA46" s="383">
        <f t="shared" si="0"/>
        <v>48.016389607134414</v>
      </c>
      <c r="AB46" s="383">
        <f>SUM(AB45:AC45)</f>
        <v>1152697.5493508279</v>
      </c>
      <c r="AC46" s="383">
        <f>SUM(AB45:AC45)</f>
        <v>1152697.5493508279</v>
      </c>
      <c r="AD46" s="383">
        <f t="shared" si="0"/>
        <v>366.60547696357918</v>
      </c>
      <c r="AE46" s="383">
        <f t="shared" si="0"/>
        <v>11901.471291529171</v>
      </c>
      <c r="AF46" s="383">
        <f t="shared" si="0"/>
        <v>72.680993185977059</v>
      </c>
      <c r="AG46" s="383">
        <f>SUM(AG45:AH45)</f>
        <v>11808.570322479954</v>
      </c>
      <c r="AH46" s="383">
        <f>SUM(AG45:AH45)</f>
        <v>11808.570322479954</v>
      </c>
      <c r="AI46" s="383">
        <f t="shared" si="0"/>
        <v>2.5476762075672563</v>
      </c>
      <c r="AJ46" s="384">
        <f t="shared" si="0"/>
        <v>1265.6158551734929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-1.0774615340074198</v>
      </c>
      <c r="E48" s="515" t="e">
        <f t="shared" ref="E48:AJ48" si="1">IF(E49&gt;0.0001,LOG(E46/E47),"")</f>
        <v>#DIV/0!</v>
      </c>
      <c r="F48" s="515">
        <f t="shared" si="1"/>
        <v>0.88790047262106986</v>
      </c>
      <c r="G48" s="515">
        <f t="shared" si="1"/>
        <v>1.0537965678325545</v>
      </c>
      <c r="H48" s="515">
        <f t="shared" si="1"/>
        <v>1.3124500552799641</v>
      </c>
      <c r="I48" s="515">
        <f t="shared" si="1"/>
        <v>1.4645022867449575</v>
      </c>
      <c r="J48" s="515">
        <f t="shared" si="1"/>
        <v>2.9729173067532959</v>
      </c>
      <c r="K48" s="515">
        <f t="shared" si="1"/>
        <v>0.24263706761462567</v>
      </c>
      <c r="L48" s="515">
        <f t="shared" si="1"/>
        <v>2.9728864801902031</v>
      </c>
      <c r="M48" s="515">
        <f t="shared" si="1"/>
        <v>-2.1206874761499641</v>
      </c>
      <c r="N48" s="515" t="e">
        <f t="shared" si="1"/>
        <v>#DIV/0!</v>
      </c>
      <c r="O48" s="515">
        <f t="shared" si="1"/>
        <v>1.2143013232887527</v>
      </c>
      <c r="P48" s="515">
        <f t="shared" si="1"/>
        <v>0.58597267991349899</v>
      </c>
      <c r="Q48" s="515">
        <f t="shared" si="1"/>
        <v>1.6392016358521351</v>
      </c>
      <c r="R48" s="515">
        <f t="shared" si="1"/>
        <v>0.99683509789705427</v>
      </c>
      <c r="S48" s="515">
        <f t="shared" si="1"/>
        <v>1.9019693246497655</v>
      </c>
      <c r="T48" s="515">
        <f t="shared" si="1"/>
        <v>1.4853680561353642</v>
      </c>
      <c r="U48" s="515">
        <f t="shared" si="1"/>
        <v>1.9019387901398075</v>
      </c>
      <c r="V48" s="515" t="str">
        <f t="shared" si="1"/>
        <v/>
      </c>
      <c r="W48" s="515">
        <f t="shared" si="1"/>
        <v>-0.30717642595169881</v>
      </c>
      <c r="X48" s="515">
        <f t="shared" si="1"/>
        <v>-0.30717642595169881</v>
      </c>
      <c r="Y48" s="515" t="str">
        <f t="shared" si="1"/>
        <v/>
      </c>
      <c r="Z48" s="515">
        <f t="shared" si="1"/>
        <v>0.56611261436261817</v>
      </c>
      <c r="AA48" s="515" t="str">
        <f t="shared" si="1"/>
        <v/>
      </c>
      <c r="AB48" s="515">
        <f t="shared" si="1"/>
        <v>-1.2441332143230779</v>
      </c>
      <c r="AC48" s="515">
        <f t="shared" si="1"/>
        <v>-1.2441332143230779</v>
      </c>
      <c r="AD48" s="515" t="str">
        <f t="shared" si="1"/>
        <v/>
      </c>
      <c r="AE48" s="515">
        <f t="shared" si="1"/>
        <v>-0.58993894226699328</v>
      </c>
      <c r="AF48" s="515" t="str">
        <f t="shared" si="1"/>
        <v/>
      </c>
      <c r="AG48" s="515" t="str">
        <f t="shared" si="1"/>
        <v/>
      </c>
      <c r="AH48" s="515">
        <f t="shared" si="1"/>
        <v>-1.9692798187865936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8.7470074810451503E-4</v>
      </c>
      <c r="E49" s="151">
        <f t="shared" si="2"/>
        <v>1.518843387602966E-3</v>
      </c>
      <c r="F49" s="151">
        <f t="shared" si="2"/>
        <v>0.14326748264792818</v>
      </c>
      <c r="G49" s="151">
        <f t="shared" si="2"/>
        <v>7.1660220030759052E-3</v>
      </c>
      <c r="H49" s="151">
        <f t="shared" si="2"/>
        <v>5.1700027402030016E-2</v>
      </c>
      <c r="I49" s="151">
        <f t="shared" si="2"/>
        <v>6.5374457946437475E-4</v>
      </c>
      <c r="J49" s="151">
        <f t="shared" si="2"/>
        <v>3.3177767896440752E-2</v>
      </c>
      <c r="K49" s="151">
        <f t="shared" si="2"/>
        <v>0.56060391718043556</v>
      </c>
      <c r="L49" s="151">
        <f t="shared" si="2"/>
        <v>1.2287189998525934E-2</v>
      </c>
      <c r="M49" s="151">
        <f t="shared" si="2"/>
        <v>4.3518790371876168E-4</v>
      </c>
      <c r="N49" s="151">
        <f t="shared" si="2"/>
        <v>1.3997284639448841E-4</v>
      </c>
      <c r="O49" s="151">
        <f t="shared" si="2"/>
        <v>8.4024384002415534E-4</v>
      </c>
      <c r="P49" s="151">
        <f t="shared" si="2"/>
        <v>0.10183594145497445</v>
      </c>
      <c r="Q49" s="151">
        <f t="shared" si="2"/>
        <v>3.0321346303256171E-4</v>
      </c>
      <c r="R49" s="151">
        <f t="shared" si="2"/>
        <v>4.6451639900257631E-4</v>
      </c>
      <c r="S49" s="151">
        <f t="shared" si="2"/>
        <v>8.024924087126498E-3</v>
      </c>
      <c r="T49" s="151">
        <f t="shared" si="2"/>
        <v>1.8825078175103382E-2</v>
      </c>
      <c r="U49" s="151">
        <f t="shared" si="2"/>
        <v>2.971985143752103E-3</v>
      </c>
      <c r="V49" s="151">
        <f t="shared" si="2"/>
        <v>3.2811171411702176E-5</v>
      </c>
      <c r="W49" s="151">
        <f t="shared" si="2"/>
        <v>9.4585000725842215E-3</v>
      </c>
      <c r="X49" s="151">
        <f t="shared" si="2"/>
        <v>2.4766843319612306E-2</v>
      </c>
      <c r="Y49" s="151">
        <f t="shared" si="2"/>
        <v>7.5314633249754569E-6</v>
      </c>
      <c r="Z49" s="151">
        <f t="shared" si="2"/>
        <v>2.3193262563157816E-3</v>
      </c>
      <c r="AA49" s="151">
        <f t="shared" si="2"/>
        <v>7.4680944398511059E-7</v>
      </c>
      <c r="AB49" s="151">
        <f t="shared" si="2"/>
        <v>1.7881711488919689E-3</v>
      </c>
      <c r="AC49" s="151">
        <f t="shared" si="2"/>
        <v>1.6139986777121373E-2</v>
      </c>
      <c r="AD49" s="151">
        <f t="shared" si="2"/>
        <v>5.7018954288972022E-6</v>
      </c>
      <c r="AE49" s="151">
        <f t="shared" si="2"/>
        <v>1.8510619458383918E-4</v>
      </c>
      <c r="AF49" s="151">
        <f t="shared" si="2"/>
        <v>1.1304234356978859E-6</v>
      </c>
      <c r="AG49" s="151">
        <f t="shared" si="2"/>
        <v>1.9451612146338286E-5</v>
      </c>
      <c r="AH49" s="151">
        <f t="shared" si="2"/>
        <v>1.6420967328025318E-4</v>
      </c>
      <c r="AI49" s="151">
        <f t="shared" si="2"/>
        <v>3.9624567102910629E-8</v>
      </c>
      <c r="AJ49" s="253">
        <f t="shared" si="2"/>
        <v>1.9684401114581508E-5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2.4497629629353708E-10</v>
      </c>
      <c r="E50" s="179">
        <f t="shared" si="3"/>
        <v>1.7089661417359522E-6</v>
      </c>
      <c r="F50" s="179">
        <f t="shared" si="3"/>
        <v>4.884882860596389E-4</v>
      </c>
      <c r="G50" s="179">
        <f t="shared" si="3"/>
        <v>4.6074203694704509E-5</v>
      </c>
      <c r="H50" s="179">
        <f t="shared" si="3"/>
        <v>1.7627766823345679E-2</v>
      </c>
      <c r="I50" s="179">
        <f t="shared" si="3"/>
        <v>1.4010916565993269E-3</v>
      </c>
      <c r="J50" s="179">
        <f t="shared" si="3"/>
        <v>6.9131163855269153E-4</v>
      </c>
      <c r="K50" s="179">
        <f t="shared" si="3"/>
        <v>1.3141209966161416E-3</v>
      </c>
      <c r="L50" s="179">
        <f t="shared" si="3"/>
        <v>6.9126257045161986E-4</v>
      </c>
      <c r="M50" s="179">
        <f t="shared" si="3"/>
        <v>3.8865947618983511E-12</v>
      </c>
      <c r="N50" s="179">
        <f t="shared" si="3"/>
        <v>1.032704423051123E-8</v>
      </c>
      <c r="O50" s="179">
        <f t="shared" si="3"/>
        <v>1.8785538125857813E-7</v>
      </c>
      <c r="P50" s="179">
        <f t="shared" si="3"/>
        <v>8.8161279618426088E-9</v>
      </c>
      <c r="Q50" s="179">
        <f t="shared" si="3"/>
        <v>6.7790179454428576E-6</v>
      </c>
      <c r="R50" s="179">
        <f t="shared" si="3"/>
        <v>2.6809369105318685E-7</v>
      </c>
      <c r="S50" s="179">
        <f t="shared" si="3"/>
        <v>1.0964262279615641E-5</v>
      </c>
      <c r="T50" s="179">
        <f t="shared" si="3"/>
        <v>2.8935286968865274E-6</v>
      </c>
      <c r="U50" s="179">
        <f t="shared" si="3"/>
        <v>1.0963491427991267E-5</v>
      </c>
      <c r="V50" s="179">
        <f t="shared" si="3"/>
        <v>2.7195749888739129E-14</v>
      </c>
      <c r="W50" s="179">
        <f t="shared" si="3"/>
        <v>1.567947691162769E-10</v>
      </c>
      <c r="X50" s="179">
        <f t="shared" si="3"/>
        <v>1.368543796668679E-11</v>
      </c>
      <c r="Y50" s="179">
        <f t="shared" si="3"/>
        <v>4.1616677911758078E-10</v>
      </c>
      <c r="Z50" s="179">
        <f t="shared" si="3"/>
        <v>7.6895537785832941E-8</v>
      </c>
      <c r="AA50" s="179">
        <f t="shared" si="3"/>
        <v>1.1297974025208098E-15</v>
      </c>
      <c r="AB50" s="179">
        <f t="shared" si="3"/>
        <v>4.5086716019110703E-11</v>
      </c>
      <c r="AC50" s="179">
        <f t="shared" si="3"/>
        <v>1.3565051287609094E-11</v>
      </c>
      <c r="AD50" s="179">
        <f t="shared" si="3"/>
        <v>4.7922284570402509E-10</v>
      </c>
      <c r="AE50" s="179">
        <f t="shared" si="3"/>
        <v>1.4001730931210789E-8</v>
      </c>
      <c r="AF50" s="179">
        <f t="shared" si="3"/>
        <v>5.7004700538021223E-16</v>
      </c>
      <c r="AG50" s="179">
        <f t="shared" si="3"/>
        <v>1.4012869493572855E-13</v>
      </c>
      <c r="AH50" s="179">
        <f t="shared" si="3"/>
        <v>3.9432013894224386E-14</v>
      </c>
      <c r="AI50" s="179">
        <f t="shared" si="3"/>
        <v>9.5151305604752796E-13</v>
      </c>
      <c r="AJ50" s="380">
        <f t="shared" si="3"/>
        <v>6.6175992427372164E-10</v>
      </c>
    </row>
    <row r="51" spans="1:36" ht="12.75" customHeight="1" x14ac:dyDescent="0.2">
      <c r="B51" s="141" t="s">
        <v>703</v>
      </c>
      <c r="C51" s="254"/>
      <c r="D51" s="385">
        <f>D50*8.314*TEMP.R</f>
        <v>5.8046888430457313E-7</v>
      </c>
      <c r="E51" s="385">
        <f>E50*Kaw.R*8.314*TEMP.R</f>
        <v>1.9906202801077815E-10</v>
      </c>
      <c r="F51" s="385">
        <f>F50*Kaw.R*8.314*TEMP.R</f>
        <v>5.6899587714339311E-8</v>
      </c>
      <c r="G51" s="385">
        <f>G50*Kaw.R*8.314*TEMP.R</f>
        <v>5.3667677799240161E-9</v>
      </c>
      <c r="H51" s="385">
        <f>H50*Kaw.R/Ksdw1.R*8.314*TEMP.R</f>
        <v>7.7748526773306556E-8</v>
      </c>
      <c r="I51" s="385">
        <f>I50*Kaw.R/Ksdw2.R*8.314*TEMP.R</f>
        <v>6.2216575548792086E-9</v>
      </c>
      <c r="J51" s="385">
        <f>J50*Kaw.R/Ks1w.R*8.314*TEMP.R</f>
        <v>2.6013327445272906E-9</v>
      </c>
      <c r="K51" s="385">
        <f>K50*Kaw.R/Ks2w.R*8.314*TEMP.R</f>
        <v>4.9486966112649669E-9</v>
      </c>
      <c r="L51" s="385">
        <f>L50*Kaw.R/Ks3w.R*8.314*TEMP.R</f>
        <v>2.6031459421901937E-9</v>
      </c>
      <c r="M51" s="385">
        <f>M50*8.314*TEMP.C</f>
        <v>9.209247422370525E-9</v>
      </c>
      <c r="N51" s="385">
        <f>N50*Kaw.C*8.314*TEMP.C</f>
        <v>1.2029040936963134E-12</v>
      </c>
      <c r="O51" s="385">
        <f>O50*Kaw.C*8.314*TEMP.C</f>
        <v>2.1881576382832909E-11</v>
      </c>
      <c r="P51" s="385">
        <f>P50*Kaw.C*8.314*TEMP.C</f>
        <v>1.0269111063278581E-12</v>
      </c>
      <c r="Q51" s="385">
        <f>Q50*Kaw.C/Ksdw1.C*8.314*TEMP.C</f>
        <v>2.9899343661045552E-11</v>
      </c>
      <c r="R51" s="385">
        <f>R50*Kaw.C/Ksdw2.C*8.314*TEMP.C</f>
        <v>1.190491093498468E-12</v>
      </c>
      <c r="S51" s="385">
        <f>S50*Kaw.C/Ks1w.C*8.314*TEMP.C</f>
        <v>4.1257361943539285E-11</v>
      </c>
      <c r="T51" s="385">
        <f>T50*Kaw.C/Ks2w.C*8.314*TEMP.C</f>
        <v>1.0896405805669483E-11</v>
      </c>
      <c r="U51" s="385">
        <f>U50*Kaw.C/Ks3w.C*8.314*TEMP.C</f>
        <v>4.1286147179018802E-11</v>
      </c>
      <c r="V51" s="385">
        <f>V50*8.314*TEMP.M</f>
        <v>6.4440057403868478E-11</v>
      </c>
      <c r="W51" s="385">
        <f>W50*Kaw.M*8.314*TEMP.M</f>
        <v>1.8263606258496766E-14</v>
      </c>
      <c r="X51" s="385">
        <f>X50*Kaw.M*8.314*TEMP.M</f>
        <v>1.594093042181107E-15</v>
      </c>
      <c r="Y51" s="385">
        <f>Y50*Kaw.M/Ksdw.M*8.314*TEMP.M</f>
        <v>1.8480212719781371E-15</v>
      </c>
      <c r="Z51" s="372">
        <f>Z50*Kaw.M/Kslw.M*8.314*TEMP.M</f>
        <v>2.893497942101788E-13</v>
      </c>
      <c r="AA51" s="385">
        <f>AA50*8.314*TEMP.A</f>
        <v>2.470394663998757E-12</v>
      </c>
      <c r="AB51" s="385">
        <f>AB50*Kaw.A*8.314*TEMP.A</f>
        <v>1.5350547401952003E-16</v>
      </c>
      <c r="AC51" s="385">
        <f>AC50*Kaw.A*8.314*TEMP.A</f>
        <v>4.6184548617843784E-17</v>
      </c>
      <c r="AD51" s="385">
        <f>AD50*Kaw.A/Ksdw.A*8.314*TEMP.A</f>
        <v>6.2201000149292158E-17</v>
      </c>
      <c r="AE51" s="372">
        <f>AE50*Kaw.A/Kslw.A*8.314*TEMP.A</f>
        <v>1.5400118567011813E-15</v>
      </c>
      <c r="AF51" s="385">
        <f>AF50*8.314*TEMP.T</f>
        <v>1.4123324992138633E-12</v>
      </c>
      <c r="AG51" s="385">
        <f>AG50*Kaw.T*8.314*TEMP.T</f>
        <v>1.0300718584882409E-16</v>
      </c>
      <c r="AH51" s="385">
        <f>AH50*Kaw.T*8.314*TEMP.T</f>
        <v>2.8986074447198425E-17</v>
      </c>
      <c r="AI51" s="385">
        <f>AI50*Kaw.T/Ksdw.T*8.314*TEMP.T</f>
        <v>2.6664889466687441E-17</v>
      </c>
      <c r="AJ51" s="386">
        <f>AJ50*Kaw.T/Kslw.T*8.314*TEMP.T</f>
        <v>1.5714768256411093E-14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-0.90691490636744687</v>
      </c>
      <c r="E55" s="370">
        <f t="shared" ref="E55:AJ55" si="4">E9*E$45</f>
        <v>1.8490648373616029E-7</v>
      </c>
      <c r="F55" s="370">
        <f t="shared" si="4"/>
        <v>5.8052725776611483E-4</v>
      </c>
      <c r="G55" s="370">
        <f t="shared" si="4"/>
        <v>8.4629404061666005E-6</v>
      </c>
      <c r="H55" s="389">
        <f t="shared" si="4"/>
        <v>0</v>
      </c>
      <c r="I55" s="389">
        <f t="shared" si="4"/>
        <v>0</v>
      </c>
      <c r="J55" s="370">
        <f t="shared" si="4"/>
        <v>9.0170236938947289E-5</v>
      </c>
      <c r="K55" s="370">
        <f t="shared" si="4"/>
        <v>6.915360419597372E-4</v>
      </c>
      <c r="L55" s="370">
        <f t="shared" si="4"/>
        <v>3.3307965507827976E-5</v>
      </c>
      <c r="M55" s="370">
        <f t="shared" si="4"/>
        <v>8.405080529204528E-3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1.3350945882768298E-3</v>
      </c>
      <c r="E56" s="378">
        <f>SUM(D56,F56:AJ56)-SUM(E55,E57:E87)</f>
        <v>8.4819815342097003E-3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8.1420125956075111E-4</v>
      </c>
      <c r="K56" s="376">
        <f t="shared" si="6"/>
        <v>6.2652090885488608E-3</v>
      </c>
      <c r="L56" s="376">
        <f t="shared" si="6"/>
        <v>3.0176499207378368E-4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1.4686040471045129E-2</v>
      </c>
      <c r="E57" s="179">
        <f t="shared" ref="E57:E87" si="7">E11*E$45</f>
        <v>2.3410348776678987E-4</v>
      </c>
      <c r="F57" s="378">
        <f>SUM(D57:E57,G57:AJ57)-SUM(F55:F56,F58:F87)</f>
        <v>-0.61533293558141244</v>
      </c>
      <c r="G57" s="376">
        <f t="shared" ref="G57:AJ57" si="8">G11*G$45</f>
        <v>0</v>
      </c>
      <c r="H57" s="179">
        <f t="shared" si="8"/>
        <v>0.20196345540282523</v>
      </c>
      <c r="I57" s="376">
        <f t="shared" si="8"/>
        <v>0</v>
      </c>
      <c r="J57" s="179">
        <f t="shared" si="8"/>
        <v>8.9562138551682637E-3</v>
      </c>
      <c r="K57" s="179">
        <f t="shared" si="8"/>
        <v>6.8917299974037477E-2</v>
      </c>
      <c r="L57" s="179">
        <f t="shared" si="8"/>
        <v>3.3194149128116211E-3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2.3364301321727806E-3</v>
      </c>
      <c r="E58" s="179">
        <f t="shared" si="7"/>
        <v>0</v>
      </c>
      <c r="F58" s="179">
        <f t="shared" ref="F58:F87" si="9">F12*F$45</f>
        <v>0.66915785343541234</v>
      </c>
      <c r="G58" s="378">
        <f>SUM(D58:F58,H58:AJ58)-SUM(G55:G57,G59:G87)</f>
        <v>4.0000815098128695E-2</v>
      </c>
      <c r="H58" s="376">
        <f t="shared" ref="H58:N58" si="10">H12*H$45</f>
        <v>0</v>
      </c>
      <c r="I58" s="179">
        <f t="shared" si="10"/>
        <v>1.8361545691133083E-3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1.0869130924573374E-4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0.24367108299188844</v>
      </c>
      <c r="G59" s="376">
        <f t="shared" ref="G59:G87" si="12">G13*G$45</f>
        <v>0</v>
      </c>
      <c r="H59" s="378">
        <f>SUM(D59:G59,I59:AJ59)-SUM(H55:H58,H60:H87)</f>
        <v>4.1707627589063212E-2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2.2803208467051489E-3</v>
      </c>
      <c r="H60" s="376">
        <f t="shared" ref="H60:H87" si="15">H14*H$45</f>
        <v>0</v>
      </c>
      <c r="I60" s="378">
        <f>SUM(D60:H60,J60:AJ60)-SUM(I55:I59,I61:I87)</f>
        <v>4.4416627759184053E-4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0.10259589180401688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9.2735306452348912E-2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0.22799087067559304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0.15211682557104694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3.7998478445932175E-2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3.4343990575538941E-2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0.52978137012867699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0.25240172055056742</v>
      </c>
      <c r="N64" s="179">
        <f>N18*N$45</f>
        <v>1.7040523767360403E-8</v>
      </c>
      <c r="O64" s="179">
        <f>O18*O$45</f>
        <v>3.404711545765036E-6</v>
      </c>
      <c r="P64" s="179">
        <f t="shared" ref="P64:AJ64" si="25">P18*P$45</f>
        <v>6.0133188494913322E-6</v>
      </c>
      <c r="Q64" s="376">
        <f t="shared" si="25"/>
        <v>0</v>
      </c>
      <c r="R64" s="376">
        <f t="shared" si="25"/>
        <v>0</v>
      </c>
      <c r="S64" s="179">
        <f t="shared" si="25"/>
        <v>2.1810065963807319E-5</v>
      </c>
      <c r="T64" s="179">
        <f t="shared" si="25"/>
        <v>2.3203963394654777E-5</v>
      </c>
      <c r="U64" s="179">
        <f t="shared" si="25"/>
        <v>8.0502405539038067E-6</v>
      </c>
      <c r="V64" s="179">
        <f t="shared" si="25"/>
        <v>2.7053850998207493E-4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3.2295803406622497E-4</v>
      </c>
      <c r="N65" s="378">
        <f>SUM(D65:M65,O65:AJ65)-SUM(N55:N64,N66:N87)</f>
        <v>7.8167841931519428E-4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1.9693619293535271E-4</v>
      </c>
      <c r="T65" s="376">
        <f t="shared" si="27"/>
        <v>2.103857059517111E-4</v>
      </c>
      <c r="U65" s="376">
        <f t="shared" si="27"/>
        <v>7.2989924747265107E-5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3.552538374728474E-3</v>
      </c>
      <c r="N66" s="179">
        <f t="shared" ref="N66:N87" si="28">N20*N$45</f>
        <v>2.15743978615922E-5</v>
      </c>
      <c r="O66" s="378">
        <f>SUM(D66:N66,P66:AJ66)-SUM(O55:O65,O67:O87)</f>
        <v>4.6854009459770122E-3</v>
      </c>
      <c r="P66" s="376">
        <f t="shared" ref="P66:AJ66" si="29">P20*P$45</f>
        <v>0</v>
      </c>
      <c r="Q66" s="179">
        <f t="shared" si="29"/>
        <v>1.1848774530120241E-3</v>
      </c>
      <c r="R66" s="376">
        <f t="shared" si="29"/>
        <v>0</v>
      </c>
      <c r="S66" s="179">
        <f t="shared" si="29"/>
        <v>2.1662981222888796E-3</v>
      </c>
      <c r="T66" s="179">
        <f t="shared" si="29"/>
        <v>2.3142427654688222E-3</v>
      </c>
      <c r="U66" s="179">
        <f t="shared" si="29"/>
        <v>8.0288917221991594E-4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0.63114953056070422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0.13761682616320431</v>
      </c>
      <c r="N67" s="179">
        <f t="shared" si="28"/>
        <v>0</v>
      </c>
      <c r="O67" s="179">
        <f t="shared" ref="O67:O87" si="30">O21*O$45</f>
        <v>3.9245176502096012E-3</v>
      </c>
      <c r="P67" s="378">
        <f>SUM(D67:O67,Q67:AJ67)-SUM(P55:P66,P68:P87)</f>
        <v>0.5684493660130775</v>
      </c>
      <c r="Q67" s="376">
        <f t="shared" ref="Q67:AJ67" si="31">Q21*Q$45</f>
        <v>0</v>
      </c>
      <c r="R67" s="179">
        <f t="shared" si="31"/>
        <v>1.3046745399487021E-3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3.6904146943145103E-3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1.4290969778473304E-3</v>
      </c>
      <c r="P68" s="376">
        <f t="shared" ref="P68:P87" si="32">P22*P$45</f>
        <v>0</v>
      </c>
      <c r="Q68" s="378">
        <f>SUM(D68:P68,R68:AJ68)-SUM(Q55:Q67,Q69:Q87)</f>
        <v>2.4421952483530624E-4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1.6202756574285357E-3</v>
      </c>
      <c r="Q69" s="376">
        <f t="shared" ref="Q69:Q87" si="34">Q23*Q$45</f>
        <v>0</v>
      </c>
      <c r="R69" s="378">
        <f>SUM(D69:Q69,S69:AJ69)-SUM(R55:R68,R70:R87)</f>
        <v>3.1560111747983358E-4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2.4815540513399143E-2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2.2430496132211104E-2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5.5145645585331422E-2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5.2597813150516232E-2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9.1909409308885692E-3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8.3070115933674849E-3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3.8663157298100388E-2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1.9029931776194716E-2</v>
      </c>
      <c r="W73" s="179">
        <f t="shared" ref="W73:AJ73" si="43">W27*W$45</f>
        <v>1.1170314912742926E-6</v>
      </c>
      <c r="X73" s="376">
        <f t="shared" si="43"/>
        <v>0</v>
      </c>
      <c r="Y73" s="376">
        <f t="shared" si="43"/>
        <v>0</v>
      </c>
      <c r="Z73" s="179">
        <f t="shared" si="43"/>
        <v>6.3034438821651759E-6</v>
      </c>
      <c r="AA73" s="179">
        <f t="shared" si="43"/>
        <v>3.3243756118750389E-5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2.9052319496366167E-5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0.20750161730978001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1.007408389795892E-2</v>
      </c>
      <c r="W74" s="378">
        <f>SUM(D74:V74,X74:AJ74)-SUM(W55:W73,W75:W87)</f>
        <v>5.2797453363480601E-2</v>
      </c>
      <c r="X74" s="376">
        <f t="shared" ref="X74:AJ74" si="45">X28*X$45</f>
        <v>1.3222802772998548E-2</v>
      </c>
      <c r="Y74" s="376">
        <f t="shared" si="45"/>
        <v>0</v>
      </c>
      <c r="Z74" s="179">
        <f t="shared" si="45"/>
        <v>6.8301099644278902E-4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2.1019304240359285E-5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0.15149433382469274</v>
      </c>
      <c r="X75" s="378">
        <f>SUM(D75:W75,Y75:AJ75)-SUM(X55:X74,X76:X87)</f>
        <v>0.13824879685924615</v>
      </c>
      <c r="Y75" s="376">
        <f t="shared" ref="Y75:AJ75" si="47">Y29*Y$45</f>
        <v>2.1594241881615693E-5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2.0347576931413641E-3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2.6270432467995254E-5</v>
      </c>
      <c r="Y76" s="378">
        <f>SUM(D76:X76,Z76:AJ76)-SUM(Y55:Y75,Y77:Y87)</f>
        <v>4.6761905863795611E-6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7.1720721657322958E-3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6.4827577254073414E-3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8.0022212367506689E-4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3.5788455527170691E-4</v>
      </c>
      <c r="AB78" s="179">
        <f t="shared" ref="AB78:AJ78" si="53">AB32*AB$45</f>
        <v>6.6892617024648893E-9</v>
      </c>
      <c r="AC78" s="376">
        <f t="shared" si="53"/>
        <v>0</v>
      </c>
      <c r="AD78" s="376">
        <f t="shared" si="53"/>
        <v>0</v>
      </c>
      <c r="AE78" s="179">
        <f t="shared" si="53"/>
        <v>1.5940006892782971E-8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2.3519215367441535E-2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2.7679245742862605E-4</v>
      </c>
      <c r="AB79" s="378">
        <f>SUM(D79:AA79,AC79:AJ79)-SUM(AB55:AB78,AB80:AB87)</f>
        <v>2.1723700007012549E-3</v>
      </c>
      <c r="AC79" s="376">
        <f t="shared" ref="AC79:AJ79" si="55">AC33*AC$45</f>
        <v>9.3139834472245279E-3</v>
      </c>
      <c r="AD79" s="376">
        <f t="shared" si="55"/>
        <v>0</v>
      </c>
      <c r="AE79" s="179">
        <f t="shared" si="55"/>
        <v>1.965331078795777E-5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3.0957267892919693E-2</v>
      </c>
      <c r="AC80" s="378">
        <f>SUM(D80:AB80,AD80:AJ80)-SUM(AC55:AC79,AC81:AC87)</f>
        <v>1.9607755727442215E-2</v>
      </c>
      <c r="AD80" s="376">
        <f t="shared" ref="AD80:AJ80" si="57">AD34*AD$45</f>
        <v>1.6348816411656524E-5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1.7119841523241027E-5</v>
      </c>
      <c r="AD81" s="378">
        <f>SUM(D81:AC81,AE81:AJ81)-SUM(AD55:AD80,AD82:AD87)</f>
        <v>7.710251115845036E-7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1.3232398412457881E-4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1.1265473332972826E-4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1.3860253755458814E-3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7.2892048580261925E-4</v>
      </c>
      <c r="AG83" s="179">
        <f>AG37*AG$45</f>
        <v>1.3862028039600714E-8</v>
      </c>
      <c r="AH83" s="376">
        <f>AH37*AH$45</f>
        <v>0</v>
      </c>
      <c r="AI83" s="376">
        <f>AI37*AI$45</f>
        <v>0</v>
      </c>
      <c r="AJ83" s="380">
        <f>AJ37*AJ$45</f>
        <v>3.2270901892093143E-7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4.8187569577928639E-4</v>
      </c>
      <c r="AG84" s="378">
        <f>SUM(D84:AF84,AH84:AJ84)-SUM(AG55:AG83,AG85:AG87)</f>
        <v>2.6735314637060619E-4</v>
      </c>
      <c r="AH84" s="376">
        <f>AH38*AH$45</f>
        <v>7.9974297876632096E-5</v>
      </c>
      <c r="AI84" s="179">
        <f>AI38*AI$45</f>
        <v>0</v>
      </c>
      <c r="AJ84" s="380">
        <f>AJ38*AJ$45</f>
        <v>1.0739251653870372E-5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2.0528156950030186E-3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2.8420293267078376E-4</v>
      </c>
      <c r="AH85" s="378">
        <f>SUM(D85:AG85,AI85:AJ85)-SUM(AH55:AH84,AH86:AH87)</f>
        <v>2.2569837649281613E-3</v>
      </c>
      <c r="AI85" s="376">
        <f>AI39*AI$45</f>
        <v>1.1361393435483323E-7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1.7417880336346328E-7</v>
      </c>
      <c r="AI86" s="378">
        <f>SUM(D86:AH86,AJ86)-SUM(AI55:AI85,AI87)</f>
        <v>6.0564869008630049E-8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1.4651344551457003E-4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1.3545148484177873E-4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4.2426802226069826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3.5159055609335685</v>
      </c>
      <c r="D92" s="179">
        <f>SUM($D$55:$AJ$55)</f>
        <v>-0.89710563648917985</v>
      </c>
      <c r="E92" s="179">
        <f>SUM($D$56:$AJ$56)</f>
        <v>1.7198251462669928E-2</v>
      </c>
      <c r="F92" s="179">
        <f>SUM($D$57:$AJ$57)</f>
        <v>-0.31725640747775796</v>
      </c>
      <c r="G92" s="179">
        <f>SUM($D$58:$AJ$58)</f>
        <v>0.71343994454407289</v>
      </c>
      <c r="H92" s="179">
        <f>SUM($D$59:$AJ$59)</f>
        <v>0.28537871058095166</v>
      </c>
      <c r="I92" s="179">
        <f>SUM($D$60:$AJ$60)</f>
        <v>2.7244871242969896E-3</v>
      </c>
      <c r="J92" s="179">
        <f>SUM($D$61:$AJ$61)</f>
        <v>0.1953311982563658</v>
      </c>
      <c r="K92" s="179">
        <f>SUM($D$62:$AJ$62)</f>
        <v>0.38010769624663998</v>
      </c>
      <c r="L92" s="179">
        <f>SUM($D$63:$AJ$63)</f>
        <v>7.2342469021471123E-2</v>
      </c>
      <c r="M92" s="179">
        <f>SUM($D$64:$AJ$64)</f>
        <v>0.78251612853005792</v>
      </c>
      <c r="N92" s="179">
        <f>SUM($D$65:$AJ$65)</f>
        <v>1.5849482770157483E-3</v>
      </c>
      <c r="O92" s="179">
        <f>SUM($D$66:$AJ$66)</f>
        <v>1.472782123155672E-2</v>
      </c>
      <c r="P92" s="179">
        <f>SUM($D$67:$AJ$67)</f>
        <v>1.3461353296214589</v>
      </c>
      <c r="Q92" s="179">
        <f>SUM($D$68:$AJ$68)</f>
        <v>1.6733165026826366E-3</v>
      </c>
      <c r="R92" s="179">
        <f>SUM($D$69:$AJ$69)</f>
        <v>1.9358767749083692E-3</v>
      </c>
      <c r="S92" s="179">
        <f>SUM($D$70:$AJ$70)</f>
        <v>4.7246036645610251E-2</v>
      </c>
      <c r="T92" s="179">
        <f>SUM($D$71:$AJ$71)</f>
        <v>0.10774345873584765</v>
      </c>
      <c r="U92" s="179">
        <f>SUM($D$72:$AJ$72)</f>
        <v>1.7497952524256052E-2</v>
      </c>
      <c r="V92" s="179">
        <f>SUM($D$73:$AJ$73)</f>
        <v>5.7762805625283666E-2</v>
      </c>
      <c r="W92" s="179">
        <f>SUM($D$74:$AJ$74)</f>
        <v>0.28429998764490122</v>
      </c>
      <c r="X92" s="179">
        <f>SUM($D$75:$AJ$75)</f>
        <v>0.29179948261896188</v>
      </c>
      <c r="Y92" s="179">
        <f>SUM($D$76:$AJ$76)</f>
        <v>3.0946623054374815E-5</v>
      </c>
      <c r="Z92" s="179">
        <f>SUM($D$77:$AJ$77)</f>
        <v>1.3654829891139638E-2</v>
      </c>
      <c r="AA92" s="179">
        <f>SUM($D$78:$AJ$78)</f>
        <v>1.158129308215369E-3</v>
      </c>
      <c r="AB92" s="179">
        <f>SUM($D$79:$AJ$79)</f>
        <v>3.5302014583583903E-2</v>
      </c>
      <c r="AC92" s="179">
        <f>SUM($D$80:$AJ$80)</f>
        <v>5.0581372436773568E-2</v>
      </c>
      <c r="AD92" s="179">
        <f>SUM($D$81:$AJ$81)</f>
        <v>1.7890866634825531E-5</v>
      </c>
      <c r="AE92" s="179">
        <f>SUM($D$82:$AJ$82)</f>
        <v>2.4497871745430709E-4</v>
      </c>
      <c r="AF92" s="179">
        <f>SUM($D$83:$AJ$83)</f>
        <v>2.1152824323954615E-3</v>
      </c>
      <c r="AG92" s="179">
        <f>SUM($D$84:$AJ$84)</f>
        <v>8.3994239168039503E-4</v>
      </c>
      <c r="AH92" s="179">
        <f>SUM($D$85:$AJ$85)</f>
        <v>4.5941160065363189E-3</v>
      </c>
      <c r="AI92" s="179">
        <f>SUM($D$86:$AJ$86)</f>
        <v>2.3474367237209334E-7</v>
      </c>
      <c r="AJ92" s="380">
        <f>SUM($D$87:$AJ$87)</f>
        <v>2.8196493035634876E-4</v>
      </c>
    </row>
    <row r="93" spans="2:36" ht="12.75" customHeight="1" x14ac:dyDescent="0.2">
      <c r="B93" s="146" t="s">
        <v>1212</v>
      </c>
      <c r="C93" s="150">
        <f>SUM(D93:AJ93)</f>
        <v>3.5159055609335685</v>
      </c>
      <c r="D93" s="179">
        <f t="shared" ref="D93:AJ93" si="61">SUM(D55:D87)</f>
        <v>9.809269878266913E-3</v>
      </c>
      <c r="E93" s="179">
        <f t="shared" si="61"/>
        <v>8.7162699284602258E-3</v>
      </c>
      <c r="F93" s="179">
        <f t="shared" si="61"/>
        <v>0.29807652810365448</v>
      </c>
      <c r="G93" s="179">
        <f t="shared" si="61"/>
        <v>0.6734391294459442</v>
      </c>
      <c r="H93" s="179">
        <f t="shared" si="61"/>
        <v>0.24367108299188844</v>
      </c>
      <c r="I93" s="179">
        <f t="shared" si="61"/>
        <v>2.2803208467051489E-3</v>
      </c>
      <c r="J93" s="179">
        <f t="shared" si="61"/>
        <v>0.10259589180401688</v>
      </c>
      <c r="K93" s="179">
        <f t="shared" si="61"/>
        <v>0.22799087067559304</v>
      </c>
      <c r="L93" s="179">
        <f t="shared" si="61"/>
        <v>3.7998478445932175E-2</v>
      </c>
      <c r="M93" s="179">
        <f t="shared" si="61"/>
        <v>0.5301144079794905</v>
      </c>
      <c r="N93" s="179">
        <f t="shared" si="61"/>
        <v>8.0326985770055382E-4</v>
      </c>
      <c r="O93" s="179">
        <f t="shared" si="61"/>
        <v>1.0042420285579709E-2</v>
      </c>
      <c r="P93" s="179">
        <f t="shared" si="61"/>
        <v>0.77768596360838127</v>
      </c>
      <c r="Q93" s="179">
        <f t="shared" si="61"/>
        <v>1.4290969778473304E-3</v>
      </c>
      <c r="R93" s="179">
        <f t="shared" si="61"/>
        <v>1.6202756574285357E-3</v>
      </c>
      <c r="S93" s="179">
        <f t="shared" si="61"/>
        <v>2.4815540513399143E-2</v>
      </c>
      <c r="T93" s="179">
        <f t="shared" si="61"/>
        <v>5.5145645585331422E-2</v>
      </c>
      <c r="U93" s="179">
        <f t="shared" si="61"/>
        <v>9.1909409308885692E-3</v>
      </c>
      <c r="V93" s="179">
        <f t="shared" si="61"/>
        <v>3.8732873849088953E-2</v>
      </c>
      <c r="W93" s="179">
        <f t="shared" si="61"/>
        <v>0.23150253428142065</v>
      </c>
      <c r="X93" s="179">
        <f t="shared" si="61"/>
        <v>0.15355068575971573</v>
      </c>
      <c r="Y93" s="179">
        <f t="shared" si="61"/>
        <v>2.6270432467995254E-5</v>
      </c>
      <c r="Z93" s="179">
        <f t="shared" si="61"/>
        <v>7.1720721657322958E-3</v>
      </c>
      <c r="AA93" s="179">
        <f t="shared" si="61"/>
        <v>8.0024475294366215E-4</v>
      </c>
      <c r="AB93" s="179">
        <f t="shared" si="61"/>
        <v>3.3129644582882652E-2</v>
      </c>
      <c r="AC93" s="179">
        <f t="shared" si="61"/>
        <v>3.0973616709331346E-2</v>
      </c>
      <c r="AD93" s="179">
        <f t="shared" si="61"/>
        <v>1.7119841523241027E-5</v>
      </c>
      <c r="AE93" s="179">
        <f t="shared" si="61"/>
        <v>1.3232398412457881E-4</v>
      </c>
      <c r="AF93" s="179">
        <f t="shared" si="61"/>
        <v>1.3863619465928419E-3</v>
      </c>
      <c r="AG93" s="179">
        <f t="shared" si="61"/>
        <v>5.7258924530978884E-4</v>
      </c>
      <c r="AH93" s="179">
        <f t="shared" si="61"/>
        <v>2.3371322416081571E-3</v>
      </c>
      <c r="AI93" s="179">
        <f t="shared" si="61"/>
        <v>1.7417880336346328E-7</v>
      </c>
      <c r="AJ93" s="380">
        <f t="shared" si="61"/>
        <v>1.4651344551457003E-4</v>
      </c>
    </row>
    <row r="94" spans="2:36" ht="12.75" customHeight="1" x14ac:dyDescent="0.2">
      <c r="B94" s="152" t="s">
        <v>1211</v>
      </c>
      <c r="C94" s="150">
        <f>SUM(D94:AJ94)</f>
        <v>4.2426802226069826</v>
      </c>
      <c r="D94" s="179">
        <f>k.aR*D45</f>
        <v>0.50731183450154793</v>
      </c>
      <c r="E94" s="179">
        <f>k.w0R*E45</f>
        <v>8.4819815342096986E-3</v>
      </c>
      <c r="F94" s="179">
        <f>k.w1R*F45</f>
        <v>0.79889380528758158</v>
      </c>
      <c r="G94" s="179">
        <f>k.w2R*G45</f>
        <v>4.0000815098128424E-2</v>
      </c>
      <c r="H94" s="179">
        <f>k.sd1R*H45</f>
        <v>4.1707627589063288E-2</v>
      </c>
      <c r="I94" s="179">
        <f>k.sd2R*I45</f>
        <v>4.4416627759184086E-4</v>
      </c>
      <c r="J94" s="179">
        <f>k.s1R*J45</f>
        <v>9.2735306452348856E-2</v>
      </c>
      <c r="K94" s="179">
        <f>k.s2R*K45</f>
        <v>1.5663435664400414</v>
      </c>
      <c r="L94" s="179">
        <f>k.s3R*L45</f>
        <v>3.4343990575538913E-2</v>
      </c>
      <c r="M94" s="179">
        <f>k.aC*M45</f>
        <v>0.25240172055056731</v>
      </c>
      <c r="N94" s="179">
        <f>k.w0C*N45</f>
        <v>7.8167841931519417E-4</v>
      </c>
      <c r="O94" s="179">
        <f>k.w1C*O45</f>
        <v>4.6854009459770096E-3</v>
      </c>
      <c r="P94" s="179">
        <f>k.w2C*P45</f>
        <v>0.56844936601307783</v>
      </c>
      <c r="Q94" s="179">
        <f>k.sd1C*Q45</f>
        <v>2.4421952483530613E-4</v>
      </c>
      <c r="R94" s="179">
        <f>k.sd2C*R45</f>
        <v>3.1560111747983374E-4</v>
      </c>
      <c r="S94" s="179">
        <f>k.s1C*S45</f>
        <v>2.2430496132211094E-2</v>
      </c>
      <c r="T94" s="179">
        <f>k.s2C*T45</f>
        <v>5.2597813150516211E-2</v>
      </c>
      <c r="U94" s="179">
        <f>k.s3C*U45</f>
        <v>8.3070115933674797E-3</v>
      </c>
      <c r="V94" s="179">
        <f>k.aM*V45</f>
        <v>1.9029931776194685E-2</v>
      </c>
      <c r="W94" s="179">
        <f>k.w2M*W45</f>
        <v>5.2797453363480573E-2</v>
      </c>
      <c r="X94" s="179">
        <f>k.w3M*X45</f>
        <v>0.13824879685924615</v>
      </c>
      <c r="Y94" s="179">
        <f>k.sdM*Y45</f>
        <v>4.6761905863795527E-6</v>
      </c>
      <c r="Z94" s="179">
        <f>k.sM*Z45</f>
        <v>6.482757725407344E-3</v>
      </c>
      <c r="AA94" s="179">
        <f>k.aA*AA45</f>
        <v>3.5788455527170675E-4</v>
      </c>
      <c r="AB94" s="179">
        <f>k.w2A*AB45</f>
        <v>2.1723700007012562E-3</v>
      </c>
      <c r="AC94" s="179">
        <f>k.w3A*AC45</f>
        <v>1.9607755727442212E-2</v>
      </c>
      <c r="AD94" s="179">
        <f>k.sdA*AD45</f>
        <v>7.7102511158450773E-7</v>
      </c>
      <c r="AE94" s="179">
        <f>k.sA*AE45</f>
        <v>1.1265473332972826E-4</v>
      </c>
      <c r="AF94" s="179">
        <f>k.aT*AF45</f>
        <v>7.2892048580261936E-4</v>
      </c>
      <c r="AG94" s="179">
        <f>k.w2T*AG45</f>
        <v>2.6735314637060613E-4</v>
      </c>
      <c r="AH94" s="179">
        <f>k.w3T*AH45</f>
        <v>2.2569837649281613E-3</v>
      </c>
      <c r="AI94" s="179">
        <f>k.sdT*AI45</f>
        <v>6.0564869008630102E-8</v>
      </c>
      <c r="AJ94" s="374">
        <f>k.sT*AJ45</f>
        <v>1.3545148484177871E-4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topLeftCell="A681" zoomScaleNormal="100" workbookViewId="0">
      <selection activeCell="B708" sqref="B708"/>
    </sheetView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8.2631837199999971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0.54559658999999994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101.74743400000001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2.7400000000000028E-2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1.6167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3.4713103049999998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5.6584500000000002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17176212865.860987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962162141.5191083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2138140202.4015963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356356700.40026605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39650389102.751045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63089929.127749585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140199846.50496897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23366641.084161498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39094096364.146179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7.4533832759998107E-6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9.0206076770066419E-6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9.0206076770066419E-6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9.0206076770066419E-6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1.00290385952411E-5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4.3472863365271319E-8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4.3472863365271319E-8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4.3456145152004627E-8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4.3456145152004627E-8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4.3472886943431158E-8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4.3472886943431158E-8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9.4656140043718675E-9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1.651334554068617E-9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1.2527147778418789E-8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1.2547147778418789E-8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1.056714777841879E-8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1.056714777841879E-8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2.1031467341146845E-9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9.6567977784187901E-9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2.377259277640416E-8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4.3472863365271319E-8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1.070241687381601E-7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8.685696044300724E-8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8.685696044300724E-8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8.6728477588904822E-8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8.6728477588904822E-8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1.8894918047157747E-8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8.6818245114295561E-8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8.6818245114295561E-8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8.6818245114295561E-8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2.1377159489774912E-7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1.8894918047157747E-8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8.6818245114295561E-8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2.1377159489774912E-7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7.4530169501179827E-6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9.0202413511248139E-6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9.0202413511248139E-6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9.0202413511248139E-6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1.0028672269359272E-5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4.3442165002884553E-8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4.3442165002884553E-8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4.3442165002884553E-8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4.3442165002884553E-8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4.3442165002884553E-8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4.3442165002884553E-8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9.4546503035160804E-9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9.6538144450854565E-9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9.6538144450854565E-9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9.6538144450854565E-9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9.6538144450854565E-9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2.1010334007813511E-9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9.6538144450854565E-9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2.3770479443070826E-8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4.3442165002884553E-8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1.0696715749381872E-7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8.685696044300724E-8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8.685696044300724E-8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8.6728477588904822E-8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8.6728477588904822E-8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1.8894918047157747E-8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8.6818245114295561E-8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8.6818245114295561E-8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8.6818245114295561E-8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2.1377159489774912E-7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1.8894918047157747E-8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8.6818245114295561E-8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2.1377159489774912E-7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9.4546503035160804E-10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4.3442165002884555E-9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4.3442165002884555E-9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4.3442165002884555E-9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1.0696715749381872E-8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7.8185555555555577E-10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7.812555555555558E-10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2.6195185185185192E-10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2.6195185185185192E-10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2.892884518518519E-10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2.8926235185185191E-10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2.892884518518519E-10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1403.6343709583243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1.9891959356313285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0.13043355834096021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8.0254184558987145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0.52623467986619266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0.73484084035294783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4.8184245656562923E-2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1.1384311676245422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81.974117922438239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487.65270770227301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2024-07-16T10:56:47Z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