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ivmnl-my.sharepoint.com/personal/joris_quik_rivm_nl/Documents/Git projects/SimpleBox_dev/SBooScripts/vignettes/Development/Quality control/SBExcel/"/>
    </mc:Choice>
  </mc:AlternateContent>
  <xr:revisionPtr revIDLastSave="5" documentId="8_{765AE983-72AD-47C8-88A7-DE6F7130C70C}" xr6:coauthVersionLast="47" xr6:coauthVersionMax="47" xr10:uidLastSave="{432C05B0-9334-4E56-866C-714F63F654D1}"/>
  <bookViews>
    <workbookView xWindow="-5610" yWindow="-21720" windowWidth="38640" windowHeight="21240" tabRatio="704" activeTab="8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cases!$J$3:$S$1017</definedName>
    <definedName name="CaseName">input!$L$10</definedName>
    <definedName name="CaseNames">cases!$J$3:$S$3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charts (charts)" guid="{E10D53DE-7CBD-11D4-9F98-0000E22085C7}" maximized="1" xWindow="2" windowWidth="814" windowHeight="473" activeSheetId="7"/>
    <customWorkbookView name="distribution and risk (arctic)" guid="{E10D53DF-7CBD-11D4-9F98-0000E22085C7}" maximized="1" xWindow="2" windowWidth="814" windowHeight="473" activeSheetId="4"/>
    <customWorkbookView name="distribution and risk (continental)" guid="{E10D53E0-7CBD-11D4-9F98-0000E22085C7}" maximized="1" xWindow="2" windowWidth="814" windowHeight="473" activeSheetId="2"/>
    <customWorkbookView name="distribution and risk (moderate)" guid="{E10D53E1-7CBD-11D4-9F98-0000E22085C7}" maximized="1" xWindow="2" windowWidth="814" windowHeight="473" activeSheetId="3"/>
    <customWorkbookView name="distribution and risk (regional)" guid="{E10D53E2-7CBD-11D4-9F98-0000E22085C7}" maximized="1" xWindow="2" windowWidth="814" windowHeight="473" activeSheetId="1"/>
    <customWorkbookView name="distribution and risk (tropic)" guid="{E10D53E3-7CBD-11D4-9F98-0000E22085C7}" maximized="1" xWindow="2" windowWidth="814" windowHeight="473" activeSheetId="5"/>
    <customWorkbookView name="input file dynamic comp. b1_16_1 (engine)" guid="{E10D53E4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mass balance coeff box 17_32 (engine)" guid="{E10D53E9-7CBD-11D4-9F98-0000E22085C7}" maximized="1" xWindow="2" windowWidth="814" windowHeight="473" activeSheetId="6"/>
    <customWorkbookView name="model definition (arctic)" guid="{E10D53EA-7CBD-11D4-9F98-0000E22085C7}" maximized="1" xWindow="2" windowWidth="814" windowHeight="473" activeSheetId="4"/>
    <customWorkbookView name="model definition (continental)" guid="{E10D53EB-7CBD-11D4-9F98-0000E22085C7}" maximized="1" xWindow="2" windowWidth="814" windowHeight="473" activeSheetId="2"/>
    <customWorkbookView name="model definition (engine)" guid="{E10D53EC-7CBD-11D4-9F98-0000E22085C7}" maximized="1" xWindow="2" windowWidth="814" windowHeight="473" activeSheetId="6"/>
    <customWorkbookView name="model definition (moderate)" guid="{E10D53ED-7CBD-11D4-9F98-0000E22085C7}" maximized="1" xWindow="2" windowWidth="814" windowHeight="473" activeSheetId="3"/>
    <customWorkbookView name="model definition (regional)" guid="{E10D53EE-7CBD-11D4-9F98-0000E22085C7}" maximized="1" xWindow="2" windowWidth="814" windowHeight="473" activeSheetId="1"/>
    <customWorkbookView name="model definition (tropic)" guid="{E10D53EF-7CBD-11D4-9F98-0000E22085C7}" maximized="1" xWindow="2" windowWidth="814" windowHeight="473" activeSheetId="5"/>
    <customWorkbookView name="model picture (arctic)" guid="{E10D53F0-7CBD-11D4-9F98-0000E22085C7}" maximized="1" xWindow="2" windowWidth="814" windowHeight="473" activeSheetId="4"/>
    <customWorkbookView name="model picture (continental)" guid="{E10D53F1-7CBD-11D4-9F98-0000E22085C7}" maximized="1" xWindow="2" windowWidth="814" windowHeight="473" activeSheetId="2"/>
    <customWorkbookView name="model picture (moderate)" guid="{E10D53F2-7CBD-11D4-9F98-0000E22085C7}" maximized="1" xWindow="2" windowWidth="814" windowHeight="473" activeSheetId="3"/>
    <customWorkbookView name="model picture (regional)" guid="{E10D53F3-7CBD-11D4-9F98-0000E22085C7}" maximized="1" xWindow="2" windowWidth="814" windowHeight="443" activeSheetId="1"/>
    <customWorkbookView name="model picture (tropic)" guid="{E10D53F4-7CBD-11D4-9F98-0000E22085C7}" maximized="1" xWindow="2" windowWidth="814" windowHeight="473" activeSheetId="5"/>
    <customWorkbookView name="output analysis report (arctic)" guid="{E10D53F5-7CBD-11D4-9F98-0000E22085C7}" maximized="1" xWindow="2" windowWidth="814" windowHeight="473" activeSheetId="4"/>
    <customWorkbookView name="output analysis report (continental)" guid="{E10D53F6-7CBD-11D4-9F98-0000E22085C7}" maximized="1" xWindow="2" windowWidth="814" windowHeight="473" activeSheetId="2"/>
    <customWorkbookView name="output analysis report (moderate)" guid="{E10D53F7-7CBD-11D4-9F98-0000E22085C7}" maximized="1" xWindow="2" windowWidth="814" windowHeight="473" activeSheetId="3"/>
    <customWorkbookView name="output analysis report (regional)" guid="{E10D53F8-7CBD-11D4-9F98-0000E22085C7}" maximized="1" xWindow="2" windowWidth="814" windowHeight="443" activeSheetId="1"/>
    <customWorkbookView name="output analysis report (tropic)" guid="{E10D53F9-7CBD-11D4-9F98-0000E22085C7}" maximized="1" xWindow="2" windowWidth="814" windowHeight="473" activeSheetId="5"/>
    <customWorkbookView name="proces half life (arctic)" guid="{E10D53FA-7CBD-11D4-9F98-0000E22085C7}" maximized="1" xWindow="2" windowWidth="814" windowHeight="473" activeSheetId="4"/>
    <customWorkbookView name="proces half life (continental)" guid="{E10D53FB-7CBD-11D4-9F98-0000E22085C7}" maximized="1" xWindow="2" windowWidth="814" windowHeight="473" activeSheetId="2"/>
    <customWorkbookView name="proces half life (moderate)" guid="{E10D53FC-7CBD-11D4-9F98-0000E22085C7}" maximized="1" xWindow="2" windowWidth="814" windowHeight="473" activeSheetId="3"/>
    <customWorkbookView name="proces half life (regional)" guid="{E10D53FD-7CBD-11D4-9F98-0000E22085C7}" maximized="1" xWindow="2" windowWidth="814" windowHeight="473" activeSheetId="1"/>
    <customWorkbookView name="proces half life (tropic)" guid="{E10D53FE-7CBD-11D4-9F98-0000E22085C7}" maximized="1" xWindow="2" windowWidth="814" windowHeight="473" activeSheetId="5"/>
    <customWorkbookView name="quasi dynamic comp. forcings (engine)" guid="{E10D53FF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steady state comp. box 17_32 (engine)" guid="{E10D5405-7CBD-11D4-9F98-0000E22085C7}" maximized="1" xWindow="2" windowWidth="814" windowHeight="473" activeSheetId="6"/>
    <customWorkbookView name="steady state mass flows (arctic)" guid="{E10D5406-7CBD-11D4-9F98-0000E22085C7}" maximized="1" xWindow="2" windowWidth="814" windowHeight="473" activeSheetId="4"/>
    <customWorkbookView name="steady state mass flows (continental)" guid="{E10D5407-7CBD-11D4-9F98-0000E22085C7}" maximized="1" xWindow="2" windowWidth="814" windowHeight="473" activeSheetId="2"/>
    <customWorkbookView name="steady state mass flows (moderate)" guid="{E10D5408-7CBD-11D4-9F98-0000E22085C7}" maximized="1" xWindow="2" windowWidth="814" windowHeight="473" activeSheetId="3"/>
    <customWorkbookView name="steady state mass flows (regional)" guid="{E10D5409-7CBD-11D4-9F98-0000E22085C7}" maximized="1" xWindow="2" windowWidth="814" windowHeight="473" activeSheetId="1"/>
    <customWorkbookView name="steady state mass flows (tropic)" guid="{E10D540A-7CBD-11D4-9F98-0000E22085C7}" maximized="1" xWindow="2" windowWidth="814" windowHeight="473" activeSheetId="5"/>
    <customWorkbookView name="steady state mass flows b1_16 (engine)" guid="{E10D540B-7CBD-11D4-9F98-0000E22085C7}" maximized="1" xWindow="2" windowWidth="814" windowHeight="473" activeSheetId="6"/>
    <customWorkbookView name="steady state mass flows b17_32 (engine)" guid="{E10D540C-7CBD-11D4-9F98-0000E22085C7}" maximized="1" xWindow="2" windowWidth="814" windowHeight="473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46" i="7" l="1"/>
  <c r="K145" i="7"/>
  <c r="C3" i="1" l="1"/>
  <c r="B3" i="1"/>
  <c r="I332" i="18"/>
  <c r="I333" i="18"/>
  <c r="I334" i="18"/>
  <c r="I557" i="18"/>
  <c r="I558" i="18"/>
  <c r="I559" i="18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103" i="7" l="1"/>
  <c r="J178" i="7"/>
  <c r="J178" i="6"/>
  <c r="J177" i="6"/>
  <c r="J176" i="6"/>
  <c r="J175" i="6"/>
  <c r="J171" i="6"/>
  <c r="J181" i="6"/>
  <c r="J170" i="6"/>
  <c r="J169" i="6"/>
  <c r="J179" i="6"/>
  <c r="J179" i="7"/>
  <c r="J180" i="7"/>
  <c r="J183" i="6"/>
  <c r="J182" i="6"/>
  <c r="J180" i="6"/>
  <c r="J397" i="8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L181" i="6" l="1"/>
  <c r="L183" i="6"/>
  <c r="F6" i="20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B497" i="22" s="1"/>
  <c r="K52" i="6"/>
  <c r="L203" i="8"/>
  <c r="B881" i="22" l="1"/>
  <c r="K50" i="6"/>
  <c r="L50" i="6" s="1"/>
  <c r="F12" i="11" s="1"/>
  <c r="K60" i="7"/>
  <c r="L60" i="7" s="1"/>
  <c r="B885" i="22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K58" i="7" l="1"/>
  <c r="L58" i="7" s="1"/>
  <c r="P12" i="11" s="1"/>
  <c r="K56" i="6"/>
  <c r="L56" i="6" s="1"/>
  <c r="K51" i="6" s="1"/>
  <c r="L51" i="6" s="1"/>
  <c r="B506" i="22"/>
  <c r="L52" i="6"/>
  <c r="L306" i="8"/>
  <c r="K169" i="8"/>
  <c r="B408" i="22"/>
  <c r="B880" i="22" l="1"/>
  <c r="K61" i="7"/>
  <c r="L61" i="7" s="1"/>
  <c r="B883" i="22" s="1"/>
  <c r="B516" i="22"/>
  <c r="B872" i="22"/>
  <c r="G21" i="11"/>
  <c r="K47" i="6"/>
  <c r="L47" i="6" s="1"/>
  <c r="B485" i="22"/>
  <c r="B435" i="22"/>
  <c r="K305" i="8"/>
  <c r="K59" i="7" l="1"/>
  <c r="L59" i="7" s="1"/>
  <c r="P28" i="11" s="1"/>
  <c r="B505" i="22"/>
  <c r="K35" i="8"/>
  <c r="L35" i="8" s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 l="1"/>
  <c r="L5" i="3"/>
  <c r="J15" i="3"/>
  <c r="L15" i="3" s="1"/>
  <c r="J19" i="3"/>
  <c r="J14" i="3"/>
  <c r="L14" i="3" s="1"/>
  <c r="J35" i="3"/>
  <c r="L35" i="3" s="1"/>
  <c r="J37" i="3"/>
  <c r="J39" i="3"/>
  <c r="L39" i="3" s="1"/>
  <c r="J22" i="3"/>
  <c r="L22" i="3" s="1"/>
  <c r="J66" i="6"/>
  <c r="J17" i="3"/>
  <c r="J20" i="3"/>
  <c r="L20" i="3" s="1"/>
  <c r="J60" i="6"/>
  <c r="J66" i="3"/>
  <c r="L66" i="3" s="1"/>
  <c r="J108" i="6"/>
  <c r="J126" i="6"/>
  <c r="J62" i="6"/>
  <c r="J75" i="3"/>
  <c r="L75" i="3"/>
  <c r="K209" i="6"/>
  <c r="L209" i="6" s="1"/>
  <c r="K142" i="6" s="1"/>
  <c r="L142" i="6" s="1"/>
  <c r="J127" i="6"/>
  <c r="J128" i="6"/>
  <c r="J109" i="6"/>
  <c r="J110" i="6"/>
  <c r="J111" i="6"/>
  <c r="J112" i="6"/>
  <c r="J113" i="6"/>
  <c r="J72" i="6"/>
  <c r="J78" i="6"/>
  <c r="K34" i="3"/>
  <c r="L34" i="3" s="1"/>
  <c r="J70" i="3"/>
  <c r="L70" i="3" s="1"/>
  <c r="J74" i="3"/>
  <c r="L74" i="3" s="1"/>
  <c r="K214" i="7" s="1"/>
  <c r="L214" i="7" s="1"/>
  <c r="K198" i="7" s="1"/>
  <c r="L198" i="7" s="1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K213" i="7"/>
  <c r="L213" i="7" s="1"/>
  <c r="K197" i="7" s="1"/>
  <c r="L197" i="7" s="1"/>
  <c r="J46" i="8"/>
  <c r="J76" i="8"/>
  <c r="J86" i="8"/>
  <c r="J48" i="8"/>
  <c r="K138" i="8"/>
  <c r="L138" i="8" s="1"/>
  <c r="J87" i="8"/>
  <c r="J88" i="8"/>
  <c r="J77" i="8"/>
  <c r="J53" i="8"/>
  <c r="J54" i="8"/>
  <c r="K137" i="8"/>
  <c r="L137" i="8" s="1"/>
  <c r="K126" i="8" s="1"/>
  <c r="L126" i="8" s="1"/>
  <c r="J182" i="8"/>
  <c r="J212" i="8"/>
  <c r="J222" i="8"/>
  <c r="J184" i="8"/>
  <c r="J223" i="8"/>
  <c r="J224" i="8"/>
  <c r="J213" i="8"/>
  <c r="J189" i="8"/>
  <c r="J190" i="8"/>
  <c r="K273" i="8"/>
  <c r="L273" i="8" s="1"/>
  <c r="K262" i="8" s="1"/>
  <c r="L262" i="8" s="1"/>
  <c r="J318" i="8"/>
  <c r="J348" i="8"/>
  <c r="J358" i="8"/>
  <c r="J320" i="8"/>
  <c r="K410" i="8"/>
  <c r="L410" i="8" s="1"/>
  <c r="B692" i="22" s="1"/>
  <c r="J359" i="8"/>
  <c r="J360" i="8"/>
  <c r="J349" i="8"/>
  <c r="J325" i="8"/>
  <c r="J326" i="8"/>
  <c r="K409" i="8"/>
  <c r="L409" i="8" s="1"/>
  <c r="K398" i="8" s="1"/>
  <c r="L398" i="8"/>
  <c r="B690" i="22"/>
  <c r="B562" i="22"/>
  <c r="B565" i="22"/>
  <c r="B461" i="22"/>
  <c r="B467" i="22"/>
  <c r="B564" i="22"/>
  <c r="B568" i="22"/>
  <c r="B567" i="22"/>
  <c r="B465" i="22"/>
  <c r="B563" i="22"/>
  <c r="B469" i="22"/>
  <c r="B463" i="22"/>
  <c r="B459" i="22"/>
  <c r="B566" i="22"/>
  <c r="B471" i="22"/>
  <c r="B691" i="22"/>
  <c r="B557" i="22"/>
  <c r="B569" i="22"/>
  <c r="B570" i="22"/>
  <c r="B556" i="22"/>
  <c r="B558" i="22"/>
  <c r="B555" i="22"/>
  <c r="B561" i="22"/>
  <c r="B560" i="22"/>
  <c r="B559" i="22"/>
  <c r="A6" i="2"/>
  <c r="L6" i="2"/>
  <c r="I6" i="2"/>
  <c r="J6" i="2"/>
  <c r="E6" i="2"/>
  <c r="BQ12" i="23"/>
  <c r="Y6" i="2"/>
  <c r="Z6" i="2"/>
  <c r="O6" i="2"/>
  <c r="B6" i="2"/>
  <c r="V6" i="2"/>
  <c r="H6" i="2"/>
  <c r="F6" i="2"/>
  <c r="R6" i="2"/>
  <c r="K6" i="2"/>
  <c r="X6" i="2"/>
  <c r="N6" i="2"/>
  <c r="G6" i="2"/>
  <c r="D6" i="2"/>
  <c r="BP12" i="23"/>
  <c r="Q6" i="2"/>
  <c r="C6" i="2"/>
  <c r="W6" i="2"/>
  <c r="T6" i="2"/>
  <c r="U6" i="2"/>
  <c r="S6" i="2"/>
  <c r="P6" i="2"/>
  <c r="M6" i="2"/>
  <c r="J44" i="3"/>
  <c r="I58" i="3"/>
  <c r="J63" i="3"/>
  <c r="I51" i="3"/>
  <c r="J52" i="3"/>
  <c r="I64" i="3"/>
  <c r="I48" i="3"/>
  <c r="I46" i="3"/>
  <c r="I53" i="3"/>
  <c r="J57" i="3"/>
  <c r="J51" i="3"/>
  <c r="I60" i="3"/>
  <c r="J42" i="3"/>
  <c r="I55" i="3"/>
  <c r="J47" i="3"/>
  <c r="J61" i="3"/>
  <c r="J64" i="3"/>
  <c r="J62" i="3"/>
  <c r="I47" i="3"/>
  <c r="I57" i="3"/>
  <c r="J59" i="3"/>
  <c r="J58" i="3"/>
  <c r="J50" i="3"/>
  <c r="J48" i="3"/>
  <c r="I56" i="3"/>
  <c r="J55" i="3"/>
  <c r="I44" i="3"/>
  <c r="J46" i="3"/>
  <c r="I63" i="3"/>
  <c r="I42" i="3"/>
  <c r="J53" i="3"/>
  <c r="I49" i="3"/>
  <c r="I52" i="3"/>
  <c r="I59" i="3"/>
  <c r="J54" i="3"/>
  <c r="I54" i="3"/>
  <c r="I61" i="3"/>
  <c r="J60" i="3"/>
  <c r="I50" i="3"/>
  <c r="J49" i="3"/>
  <c r="J56" i="3"/>
  <c r="I62" i="3"/>
  <c r="B335" i="22"/>
  <c r="B332" i="22"/>
  <c r="B331" i="22"/>
  <c r="B336" i="22"/>
  <c r="B330" i="22"/>
  <c r="B329" i="22"/>
  <c r="B333" i="22"/>
  <c r="B334" i="22"/>
  <c r="B339" i="22"/>
  <c r="B328" i="22"/>
  <c r="B338" i="22"/>
  <c r="B337" i="22"/>
  <c r="C5" i="23"/>
  <c r="BO12" i="23"/>
  <c r="K6" i="3"/>
  <c r="AY132" i="23"/>
  <c r="AY67" i="23"/>
  <c r="F5" i="20"/>
  <c r="I17" i="18"/>
  <c r="AB5" i="23"/>
  <c r="P17" i="3"/>
  <c r="BO5" i="23"/>
  <c r="AY3" i="23"/>
  <c r="BN12" i="23"/>
  <c r="B701" i="22" l="1"/>
  <c r="B693" i="22"/>
  <c r="B702" i="22"/>
  <c r="B209" i="22"/>
  <c r="B696" i="22"/>
  <c r="B208" i="22"/>
  <c r="K36" i="3"/>
  <c r="L36" i="3" s="1"/>
  <c r="P650" i="18" s="1"/>
  <c r="N924" i="18"/>
  <c r="O222" i="18"/>
  <c r="R447" i="18"/>
  <c r="N220" i="18"/>
  <c r="Q447" i="18"/>
  <c r="N788" i="18"/>
  <c r="O650" i="18"/>
  <c r="R220" i="18"/>
  <c r="B724" i="22"/>
  <c r="Q220" i="18"/>
  <c r="B722" i="22"/>
  <c r="O445" i="18"/>
  <c r="Q652" i="18"/>
  <c r="P447" i="18"/>
  <c r="R445" i="18"/>
  <c r="P220" i="18"/>
  <c r="P222" i="18"/>
  <c r="Q222" i="18"/>
  <c r="O788" i="18"/>
  <c r="R652" i="18"/>
  <c r="Q786" i="18"/>
  <c r="P652" i="18"/>
  <c r="N786" i="18"/>
  <c r="B401" i="22"/>
  <c r="N652" i="18"/>
  <c r="P922" i="18"/>
  <c r="R222" i="18"/>
  <c r="B721" i="22"/>
  <c r="O786" i="18"/>
  <c r="Q445" i="18"/>
  <c r="Q922" i="18"/>
  <c r="P445" i="18"/>
  <c r="P788" i="18"/>
  <c r="O447" i="18"/>
  <c r="R924" i="18"/>
  <c r="R650" i="18"/>
  <c r="P924" i="18"/>
  <c r="O220" i="18"/>
  <c r="N922" i="18"/>
  <c r="Q650" i="18"/>
  <c r="O922" i="18"/>
  <c r="N447" i="18"/>
  <c r="R788" i="18"/>
  <c r="P786" i="18"/>
  <c r="R922" i="18"/>
  <c r="O924" i="18"/>
  <c r="N445" i="18"/>
  <c r="N650" i="18"/>
  <c r="N222" i="18"/>
  <c r="B725" i="22"/>
  <c r="L80" i="3"/>
  <c r="L91" i="3"/>
  <c r="L101" i="3"/>
  <c r="K136" i="6"/>
  <c r="L136" i="6" s="1"/>
  <c r="K142" i="7"/>
  <c r="L142" i="7" s="1"/>
  <c r="L84" i="3"/>
  <c r="L94" i="3"/>
  <c r="L105" i="3"/>
  <c r="L88" i="3"/>
  <c r="L98" i="3"/>
  <c r="K137" i="6"/>
  <c r="L137" i="6" s="1"/>
  <c r="L82" i="3"/>
  <c r="L92" i="3"/>
  <c r="L102" i="3"/>
  <c r="L83" i="3"/>
  <c r="L93" i="3"/>
  <c r="L104" i="3"/>
  <c r="L100" i="3"/>
  <c r="K233" i="8"/>
  <c r="L233" i="8" s="1"/>
  <c r="K96" i="8"/>
  <c r="L96" i="8" s="1"/>
  <c r="L85" i="3"/>
  <c r="L86" i="3"/>
  <c r="L106" i="3"/>
  <c r="K97" i="8"/>
  <c r="L97" i="8" s="1"/>
  <c r="L90" i="3"/>
  <c r="K143" i="7"/>
  <c r="L143" i="7" s="1"/>
  <c r="L96" i="3"/>
  <c r="L97" i="3"/>
  <c r="K368" i="8"/>
  <c r="L368" i="8" s="1"/>
  <c r="K232" i="8"/>
  <c r="L232" i="8" s="1"/>
  <c r="K369" i="8"/>
  <c r="L369" i="8" s="1"/>
  <c r="L89" i="3"/>
  <c r="AC23" i="23" s="1"/>
  <c r="B697" i="22"/>
  <c r="B700" i="22"/>
  <c r="K37" i="3"/>
  <c r="B694" i="22"/>
  <c r="K155" i="3"/>
  <c r="L155" i="3" s="1"/>
  <c r="B698" i="22"/>
  <c r="B695" i="22"/>
  <c r="B699" i="22"/>
  <c r="K156" i="3"/>
  <c r="L156" i="3" s="1"/>
  <c r="L81" i="3"/>
  <c r="K372" i="8"/>
  <c r="L372" i="8" s="1"/>
  <c r="K210" i="6"/>
  <c r="L210" i="6" s="1"/>
  <c r="K215" i="7"/>
  <c r="L215" i="7" s="1"/>
  <c r="K217" i="7"/>
  <c r="L217" i="7" s="1"/>
  <c r="K211" i="6"/>
  <c r="L211" i="6" s="1"/>
  <c r="K274" i="8"/>
  <c r="L274" i="8" s="1"/>
  <c r="K216" i="7"/>
  <c r="L216" i="7" s="1"/>
  <c r="J43" i="3"/>
  <c r="K21" i="3"/>
  <c r="L21" i="3" s="1"/>
  <c r="I43" i="3"/>
  <c r="K17" i="3" s="1"/>
  <c r="L17" i="3" s="1"/>
  <c r="K188" i="8"/>
  <c r="L188" i="8" s="1"/>
  <c r="K100" i="8"/>
  <c r="L100" i="8" s="1"/>
  <c r="K27" i="3"/>
  <c r="L27" i="3" s="1"/>
  <c r="K33" i="3"/>
  <c r="L33" i="3" s="1"/>
  <c r="L37" i="3"/>
  <c r="K43" i="3"/>
  <c r="K19" i="3" s="1"/>
  <c r="L19" i="3" s="1"/>
  <c r="K65" i="6" s="1"/>
  <c r="L65" i="6" s="1"/>
  <c r="K208" i="6"/>
  <c r="L208" i="6" s="1"/>
  <c r="K207" i="6"/>
  <c r="L207" i="6" s="1"/>
  <c r="K18" i="3"/>
  <c r="L18" i="3" s="1"/>
  <c r="K32" i="3"/>
  <c r="L32" i="3" s="1"/>
  <c r="K30" i="3"/>
  <c r="L30" i="3" s="1"/>
  <c r="K24" i="3"/>
  <c r="L24" i="3" s="1"/>
  <c r="K31" i="3"/>
  <c r="L31" i="3" s="1"/>
  <c r="K29" i="3"/>
  <c r="L29" i="3" s="1"/>
  <c r="K25" i="3"/>
  <c r="L25" i="3" s="1"/>
  <c r="K23" i="3"/>
  <c r="L23" i="3" s="1"/>
  <c r="K26" i="3"/>
  <c r="L26" i="3" s="1"/>
  <c r="K28" i="3"/>
  <c r="L28" i="3" s="1"/>
  <c r="Q788" i="18" l="1"/>
  <c r="B723" i="22"/>
  <c r="R786" i="18"/>
  <c r="O652" i="18"/>
  <c r="Q924" i="18"/>
  <c r="K236" i="8"/>
  <c r="L236" i="8" s="1"/>
  <c r="B688" i="22"/>
  <c r="K74" i="3"/>
  <c r="K75" i="3"/>
  <c r="AE5" i="11"/>
  <c r="AC42" i="23"/>
  <c r="I29" i="16"/>
  <c r="K71" i="7"/>
  <c r="L71" i="7" s="1"/>
  <c r="K148" i="7"/>
  <c r="L148" i="7" s="1"/>
  <c r="B689" i="22"/>
  <c r="K5" i="11"/>
  <c r="AC19" i="23"/>
  <c r="I12" i="16"/>
  <c r="S5" i="11"/>
  <c r="AC28" i="23"/>
  <c r="I19" i="16"/>
  <c r="K109" i="7"/>
  <c r="L109" i="7" s="1"/>
  <c r="K103" i="6"/>
  <c r="L103" i="6" s="1"/>
  <c r="B620" i="22"/>
  <c r="K98" i="6"/>
  <c r="L98" i="6" s="1"/>
  <c r="K104" i="7"/>
  <c r="L104" i="7" s="1"/>
  <c r="B619" i="22"/>
  <c r="B617" i="22"/>
  <c r="B618" i="22"/>
  <c r="K52" i="8"/>
  <c r="L52" i="8" s="1"/>
  <c r="L5" i="11"/>
  <c r="I13" i="16"/>
  <c r="AC20" i="23"/>
  <c r="J5" i="11"/>
  <c r="AC18" i="23"/>
  <c r="I11" i="16"/>
  <c r="W5" i="11"/>
  <c r="AC33" i="23"/>
  <c r="I24" i="16"/>
  <c r="F5" i="11"/>
  <c r="AC14" i="23"/>
  <c r="I9" i="16"/>
  <c r="K192" i="6"/>
  <c r="L192" i="6" s="1"/>
  <c r="AC13" i="23"/>
  <c r="I8" i="16"/>
  <c r="V5" i="11"/>
  <c r="AC32" i="23"/>
  <c r="I23" i="16"/>
  <c r="AB5" i="11"/>
  <c r="AC39" i="23"/>
  <c r="I28" i="16"/>
  <c r="K207" i="8"/>
  <c r="L207" i="8" s="1"/>
  <c r="K93" i="6"/>
  <c r="L93" i="6" s="1"/>
  <c r="K71" i="8"/>
  <c r="L71" i="8" s="1"/>
  <c r="K343" i="8"/>
  <c r="L343" i="8" s="1"/>
  <c r="K99" i="7"/>
  <c r="L99" i="7" s="1"/>
  <c r="B615" i="22"/>
  <c r="B630" i="22"/>
  <c r="B629" i="22"/>
  <c r="B621" i="22"/>
  <c r="B616" i="22"/>
  <c r="AS92" i="23"/>
  <c r="T5" i="11"/>
  <c r="AC29" i="23"/>
  <c r="I20" i="16"/>
  <c r="K79" i="6"/>
  <c r="L79" i="6" s="1"/>
  <c r="K56" i="8"/>
  <c r="L56" i="8" s="1"/>
  <c r="K85" i="7"/>
  <c r="L85" i="7" s="1"/>
  <c r="K327" i="8"/>
  <c r="L327" i="8" s="1"/>
  <c r="K55" i="8"/>
  <c r="L55" i="8" s="1"/>
  <c r="K191" i="8"/>
  <c r="L191" i="8" s="1"/>
  <c r="K328" i="8"/>
  <c r="L328" i="8" s="1"/>
  <c r="K192" i="8"/>
  <c r="L192" i="8" s="1"/>
  <c r="B636" i="22"/>
  <c r="B639" i="22"/>
  <c r="B635" i="22"/>
  <c r="B637" i="22"/>
  <c r="B640" i="22"/>
  <c r="B638" i="22"/>
  <c r="B641" i="22"/>
  <c r="B642" i="22"/>
  <c r="AJ5" i="11"/>
  <c r="AC48" i="23"/>
  <c r="I33" i="16"/>
  <c r="G5" i="11"/>
  <c r="AC15" i="23"/>
  <c r="I10" i="16"/>
  <c r="U5" i="11"/>
  <c r="AC30" i="23"/>
  <c r="I21" i="16"/>
  <c r="K85" i="6"/>
  <c r="L85" i="6" s="1"/>
  <c r="K91" i="7"/>
  <c r="L91" i="7" s="1"/>
  <c r="B622" i="22"/>
  <c r="B623" i="22"/>
  <c r="K70" i="6"/>
  <c r="L70" i="6" s="1"/>
  <c r="K82" i="6"/>
  <c r="L82" i="6" s="1"/>
  <c r="K198" i="8"/>
  <c r="L198" i="8" s="1"/>
  <c r="K333" i="8"/>
  <c r="L333" i="8" s="1"/>
  <c r="K76" i="7"/>
  <c r="L76" i="7" s="1"/>
  <c r="K82" i="7"/>
  <c r="L82" i="7" s="1"/>
  <c r="K197" i="8"/>
  <c r="L197" i="8" s="1"/>
  <c r="K62" i="8"/>
  <c r="L62" i="8" s="1"/>
  <c r="K88" i="7"/>
  <c r="L88" i="7" s="1"/>
  <c r="K61" i="8"/>
  <c r="L61" i="8" s="1"/>
  <c r="K76" i="6"/>
  <c r="L76" i="6" s="1"/>
  <c r="K334" i="8"/>
  <c r="L334" i="8" s="1"/>
  <c r="B608" i="22"/>
  <c r="B606" i="22"/>
  <c r="B603" i="22"/>
  <c r="B604" i="22"/>
  <c r="B610" i="22"/>
  <c r="B605" i="22"/>
  <c r="AA5" i="11"/>
  <c r="AC38" i="23"/>
  <c r="I27" i="16"/>
  <c r="Z5" i="11"/>
  <c r="AC36" i="23"/>
  <c r="I25" i="16"/>
  <c r="P5" i="11"/>
  <c r="AC25" i="23"/>
  <c r="I18" i="16"/>
  <c r="AG5" i="11"/>
  <c r="AC45" i="23"/>
  <c r="I32" i="16"/>
  <c r="K63" i="6"/>
  <c r="L63" i="6" s="1"/>
  <c r="K69" i="7"/>
  <c r="L69" i="7" s="1"/>
  <c r="K185" i="8"/>
  <c r="L185" i="8" s="1"/>
  <c r="K49" i="8"/>
  <c r="L49" i="8" s="1"/>
  <c r="K321" i="8"/>
  <c r="L321" i="8" s="1"/>
  <c r="K324" i="8"/>
  <c r="L324" i="8" s="1"/>
  <c r="B545" i="22"/>
  <c r="B548" i="22"/>
  <c r="B539" i="22"/>
  <c r="B537" i="22"/>
  <c r="B547" i="22"/>
  <c r="B536" i="22"/>
  <c r="B549" i="22"/>
  <c r="B538" i="22"/>
  <c r="B535" i="22"/>
  <c r="B546" i="22"/>
  <c r="K88" i="6"/>
  <c r="L88" i="6" s="1"/>
  <c r="K202" i="8"/>
  <c r="L202" i="8" s="1"/>
  <c r="K66" i="8"/>
  <c r="L66" i="8" s="1"/>
  <c r="K94" i="7"/>
  <c r="L94" i="7" s="1"/>
  <c r="K338" i="8"/>
  <c r="L338" i="8" s="1"/>
  <c r="B624" i="22"/>
  <c r="B625" i="22"/>
  <c r="B627" i="22"/>
  <c r="B626" i="22"/>
  <c r="B628" i="22"/>
  <c r="K67" i="6"/>
  <c r="L67" i="6" s="1"/>
  <c r="K73" i="6"/>
  <c r="L73" i="6" s="1"/>
  <c r="K79" i="7"/>
  <c r="L79" i="7" s="1"/>
  <c r="K73" i="7"/>
  <c r="L73" i="7" s="1"/>
  <c r="B631" i="22"/>
  <c r="B633" i="22"/>
  <c r="B632" i="22"/>
  <c r="B634" i="22"/>
  <c r="K191" i="6"/>
  <c r="L191" i="6" s="1"/>
  <c r="L51" i="3"/>
  <c r="K52" i="3"/>
  <c r="K47" i="3"/>
  <c r="K42" i="3"/>
  <c r="K60" i="3"/>
  <c r="K44" i="3"/>
  <c r="K46" i="3"/>
  <c r="L58" i="3"/>
  <c r="L46" i="3"/>
  <c r="L54" i="3"/>
  <c r="L57" i="3"/>
  <c r="K62" i="3"/>
  <c r="K63" i="3"/>
  <c r="L59" i="3"/>
  <c r="K58" i="3"/>
  <c r="L62" i="3"/>
  <c r="L55" i="3"/>
  <c r="L49" i="3"/>
  <c r="L60" i="3"/>
  <c r="L47" i="3"/>
  <c r="L64" i="3"/>
  <c r="L50" i="3"/>
  <c r="L48" i="3"/>
  <c r="K53" i="3"/>
  <c r="K57" i="3"/>
  <c r="K61" i="3"/>
  <c r="L42" i="3"/>
  <c r="K64" i="3"/>
  <c r="L56" i="3"/>
  <c r="K55" i="3"/>
  <c r="L53" i="3"/>
  <c r="K59" i="3"/>
  <c r="K48" i="3"/>
  <c r="K54" i="3"/>
  <c r="L63" i="3"/>
  <c r="K51" i="3"/>
  <c r="K49" i="3"/>
  <c r="K50" i="3"/>
  <c r="L61" i="3"/>
  <c r="K56" i="3"/>
  <c r="L52" i="3"/>
  <c r="O5" i="11"/>
  <c r="AC24" i="23"/>
  <c r="I17" i="16"/>
  <c r="AF5" i="11"/>
  <c r="AC44" i="23"/>
  <c r="I31" i="16"/>
  <c r="M5" i="11"/>
  <c r="AC22" i="23"/>
  <c r="I15" i="16"/>
  <c r="I16" i="16"/>
  <c r="D5" i="11"/>
  <c r="AC12" i="23"/>
  <c r="I7" i="16"/>
  <c r="AE91" i="11" l="1"/>
  <c r="AH15" i="20"/>
  <c r="K189" i="8"/>
  <c r="L189" i="8" s="1"/>
  <c r="B832" i="22" s="1"/>
  <c r="R793" i="18"/>
  <c r="B362" i="22"/>
  <c r="N793" i="18"/>
  <c r="O793" i="18"/>
  <c r="Q793" i="18"/>
  <c r="P793" i="18"/>
  <c r="BJ36" i="23"/>
  <c r="K78" i="7"/>
  <c r="L78" i="7" s="1"/>
  <c r="B830" i="22" s="1"/>
  <c r="Q457" i="18"/>
  <c r="R457" i="18"/>
  <c r="P457" i="18"/>
  <c r="N457" i="18"/>
  <c r="B360" i="22"/>
  <c r="O457" i="18"/>
  <c r="BF149" i="23"/>
  <c r="K72" i="6"/>
  <c r="L72" i="6" s="1"/>
  <c r="B831" i="22" s="1"/>
  <c r="R232" i="18"/>
  <c r="Q232" i="18"/>
  <c r="O232" i="18"/>
  <c r="B758" i="22"/>
  <c r="N232" i="18"/>
  <c r="B361" i="22"/>
  <c r="P232" i="18"/>
  <c r="AG91" i="11"/>
  <c r="AJ15" i="20"/>
  <c r="K84" i="6"/>
  <c r="L84" i="6" s="1"/>
  <c r="B653" i="22"/>
  <c r="BJ161" i="23"/>
  <c r="K325" i="8"/>
  <c r="L325" i="8" s="1"/>
  <c r="O929" i="18"/>
  <c r="R929" i="18"/>
  <c r="N929" i="18"/>
  <c r="P929" i="18"/>
  <c r="B366" i="22"/>
  <c r="Q929" i="18"/>
  <c r="V91" i="11"/>
  <c r="Y15" i="20"/>
  <c r="BJ34" i="23"/>
  <c r="S91" i="11"/>
  <c r="V15" i="20"/>
  <c r="K72" i="7"/>
  <c r="L72" i="7" s="1"/>
  <c r="K139" i="7" s="1"/>
  <c r="L139" i="7" s="1"/>
  <c r="K120" i="7" s="1"/>
  <c r="L120" i="7" s="1"/>
  <c r="N451" i="18"/>
  <c r="B358" i="22"/>
  <c r="P451" i="18"/>
  <c r="Q451" i="18"/>
  <c r="R451" i="18"/>
  <c r="O451" i="18"/>
  <c r="K93" i="7"/>
  <c r="L93" i="7" s="1"/>
  <c r="B654" i="22"/>
  <c r="AS93" i="23"/>
  <c r="K66" i="6"/>
  <c r="L66" i="6" s="1"/>
  <c r="P226" i="18"/>
  <c r="B359" i="22"/>
  <c r="N226" i="18"/>
  <c r="R226" i="18"/>
  <c r="Q226" i="18"/>
  <c r="O226" i="18"/>
  <c r="K65" i="8"/>
  <c r="L65" i="8" s="1"/>
  <c r="B650" i="22"/>
  <c r="K340" i="8"/>
  <c r="L340" i="8" s="1"/>
  <c r="K367" i="8" s="1"/>
  <c r="L367" i="8" s="1"/>
  <c r="K351" i="8" s="1"/>
  <c r="L351" i="8" s="1"/>
  <c r="K323" i="8"/>
  <c r="L323" i="8" s="1"/>
  <c r="K320" i="8" s="1"/>
  <c r="L320" i="8" s="1"/>
  <c r="K342" i="8"/>
  <c r="L342" i="8" s="1"/>
  <c r="B348" i="22"/>
  <c r="B357" i="22"/>
  <c r="B658" i="22"/>
  <c r="K341" i="8"/>
  <c r="L341" i="8" s="1"/>
  <c r="B544" i="22"/>
  <c r="AZ138" i="23"/>
  <c r="AJ91" i="11"/>
  <c r="AM15" i="20"/>
  <c r="K84" i="7"/>
  <c r="L84" i="7" s="1"/>
  <c r="O463" i="18"/>
  <c r="B363" i="22"/>
  <c r="R463" i="18"/>
  <c r="P463" i="18"/>
  <c r="B759" i="22"/>
  <c r="N463" i="18"/>
  <c r="Q463" i="18"/>
  <c r="AT149" i="23"/>
  <c r="K326" i="8"/>
  <c r="L326" i="8" s="1"/>
  <c r="B763" i="22" s="1"/>
  <c r="N930" i="18"/>
  <c r="Q930" i="18"/>
  <c r="O930" i="18"/>
  <c r="P930" i="18"/>
  <c r="R930" i="18"/>
  <c r="B369" i="22"/>
  <c r="T91" i="11"/>
  <c r="W15" i="20"/>
  <c r="AF91" i="11"/>
  <c r="AI15" i="20"/>
  <c r="K90" i="7"/>
  <c r="L90" i="7" s="1"/>
  <c r="B652" i="22"/>
  <c r="O91" i="11"/>
  <c r="R15" i="20"/>
  <c r="K201" i="8"/>
  <c r="L201" i="8" s="1"/>
  <c r="B649" i="22"/>
  <c r="K68" i="8"/>
  <c r="L68" i="8" s="1"/>
  <c r="K51" i="8"/>
  <c r="L51" i="8" s="1"/>
  <c r="K70" i="8"/>
  <c r="L70" i="8" s="1"/>
  <c r="B347" i="22"/>
  <c r="B542" i="22"/>
  <c r="B657" i="22"/>
  <c r="B356" i="22"/>
  <c r="K69" i="8"/>
  <c r="L69" i="8" s="1"/>
  <c r="AA91" i="11"/>
  <c r="AD15" i="20"/>
  <c r="BJ99" i="23"/>
  <c r="K54" i="8"/>
  <c r="L54" i="8" s="1"/>
  <c r="B762" i="22" s="1"/>
  <c r="N658" i="18"/>
  <c r="O658" i="18"/>
  <c r="B368" i="22"/>
  <c r="R658" i="18"/>
  <c r="Q658" i="18"/>
  <c r="P658" i="18"/>
  <c r="AS28" i="23"/>
  <c r="K134" i="6"/>
  <c r="L134" i="6" s="1"/>
  <c r="K115" i="6" s="1"/>
  <c r="L115" i="6" s="1"/>
  <c r="W91" i="11"/>
  <c r="Z15" i="20"/>
  <c r="L91" i="11"/>
  <c r="O15" i="20"/>
  <c r="B833" i="22"/>
  <c r="BJ35" i="23"/>
  <c r="B829" i="22"/>
  <c r="BF138" i="23"/>
  <c r="AX161" i="23"/>
  <c r="G91" i="11"/>
  <c r="J15" i="20"/>
  <c r="J91" i="11"/>
  <c r="M15" i="20"/>
  <c r="BJ100" i="23"/>
  <c r="D91" i="11"/>
  <c r="G15" i="20"/>
  <c r="AS75" i="23"/>
  <c r="K87" i="6"/>
  <c r="L87" i="6" s="1"/>
  <c r="B655" i="22"/>
  <c r="K204" i="8"/>
  <c r="L204" i="8" s="1"/>
  <c r="K187" i="8"/>
  <c r="L187" i="8" s="1"/>
  <c r="K205" i="8"/>
  <c r="L205" i="8" s="1"/>
  <c r="B355" i="22"/>
  <c r="B540" i="22"/>
  <c r="K206" i="8"/>
  <c r="L206" i="8" s="1"/>
  <c r="B656" i="22"/>
  <c r="B346" i="22"/>
  <c r="AS94" i="23"/>
  <c r="U91" i="11"/>
  <c r="X15" i="20"/>
  <c r="K78" i="6"/>
  <c r="L78" i="6" s="1"/>
  <c r="B760" i="22" s="1"/>
  <c r="N238" i="18"/>
  <c r="P238" i="18"/>
  <c r="Q238" i="18"/>
  <c r="R238" i="18"/>
  <c r="O238" i="18"/>
  <c r="B365" i="22"/>
  <c r="K91" i="11"/>
  <c r="N15" i="20"/>
  <c r="K231" i="8"/>
  <c r="L231" i="8" s="1"/>
  <c r="K215" i="8" s="1"/>
  <c r="L215" i="8" s="1"/>
  <c r="B825" i="22"/>
  <c r="K100" i="6"/>
  <c r="L100" i="6" s="1"/>
  <c r="K95" i="6"/>
  <c r="L95" i="6" s="1"/>
  <c r="K64" i="6"/>
  <c r="L64" i="6" s="1"/>
  <c r="K90" i="6"/>
  <c r="L90" i="6" s="1"/>
  <c r="B820" i="22" s="1"/>
  <c r="K101" i="6"/>
  <c r="L101" i="6" s="1"/>
  <c r="K97" i="6"/>
  <c r="L97" i="6" s="1"/>
  <c r="B543" i="22"/>
  <c r="B345" i="22"/>
  <c r="K92" i="6"/>
  <c r="L92" i="6" s="1"/>
  <c r="B341" i="22"/>
  <c r="B646" i="22"/>
  <c r="B822" i="22"/>
  <c r="B648" i="22"/>
  <c r="B354" i="22"/>
  <c r="K102" i="6"/>
  <c r="L102" i="6" s="1"/>
  <c r="B352" i="22"/>
  <c r="K91" i="6"/>
  <c r="L91" i="6" s="1"/>
  <c r="B644" i="22"/>
  <c r="K96" i="6"/>
  <c r="L96" i="6" s="1"/>
  <c r="B824" i="22"/>
  <c r="B343" i="22"/>
  <c r="B350" i="22"/>
  <c r="K140" i="6"/>
  <c r="L140" i="6" s="1"/>
  <c r="K119" i="6" s="1"/>
  <c r="L119" i="6" s="1"/>
  <c r="K139" i="6"/>
  <c r="L139" i="6" s="1"/>
  <c r="K118" i="6" s="1"/>
  <c r="L118" i="6" s="1"/>
  <c r="AS30" i="23"/>
  <c r="BJ98" i="23"/>
  <c r="AB91" i="11"/>
  <c r="AE15" i="20"/>
  <c r="F91" i="11"/>
  <c r="I15" i="20"/>
  <c r="AC49" i="23"/>
  <c r="AS11" i="23"/>
  <c r="K337" i="8"/>
  <c r="L337" i="8" s="1"/>
  <c r="B651" i="22"/>
  <c r="Z91" i="11"/>
  <c r="AC15" i="20"/>
  <c r="K53" i="8"/>
  <c r="L53" i="8" s="1"/>
  <c r="N657" i="18"/>
  <c r="Q657" i="18"/>
  <c r="P657" i="18"/>
  <c r="B364" i="22"/>
  <c r="R657" i="18"/>
  <c r="O657" i="18"/>
  <c r="AT138" i="23"/>
  <c r="M91" i="11"/>
  <c r="P15" i="20"/>
  <c r="K101" i="7"/>
  <c r="L101" i="7" s="1"/>
  <c r="K70" i="7"/>
  <c r="L70" i="7" s="1"/>
  <c r="K68" i="7" s="1"/>
  <c r="L68" i="7" s="1"/>
  <c r="K106" i="7"/>
  <c r="L106" i="7" s="1"/>
  <c r="K96" i="7"/>
  <c r="L96" i="7" s="1"/>
  <c r="B819" i="22" s="1"/>
  <c r="K98" i="7"/>
  <c r="L98" i="7" s="1"/>
  <c r="K102" i="7"/>
  <c r="L102" i="7" s="1"/>
  <c r="K108" i="7"/>
  <c r="L108" i="7" s="1"/>
  <c r="K97" i="7"/>
  <c r="L97" i="7" s="1"/>
  <c r="K103" i="7"/>
  <c r="L103" i="7" s="1"/>
  <c r="B342" i="22"/>
  <c r="B351" i="22"/>
  <c r="B353" i="22"/>
  <c r="B643" i="22"/>
  <c r="B645" i="22"/>
  <c r="B647" i="22"/>
  <c r="B541" i="22"/>
  <c r="B344" i="22"/>
  <c r="K107" i="7"/>
  <c r="L107" i="7" s="1"/>
  <c r="B349" i="22"/>
  <c r="B340" i="22"/>
  <c r="P91" i="11"/>
  <c r="S15" i="20"/>
  <c r="K190" i="8"/>
  <c r="L190" i="8" s="1"/>
  <c r="Q794" i="18"/>
  <c r="O794" i="18"/>
  <c r="R794" i="18"/>
  <c r="B367" i="22"/>
  <c r="B761" i="22"/>
  <c r="N794" i="18"/>
  <c r="P794" i="18"/>
  <c r="AZ149" i="23"/>
  <c r="AS29" i="23"/>
  <c r="B836" i="22"/>
  <c r="BD161" i="23"/>
  <c r="K138" i="6" l="1"/>
  <c r="L138" i="6" s="1"/>
  <c r="K117" i="6" s="1"/>
  <c r="L117" i="6" s="1"/>
  <c r="AJ37" i="11"/>
  <c r="N18" i="11"/>
  <c r="K133" i="7"/>
  <c r="L133" i="7" s="1"/>
  <c r="P511" i="18"/>
  <c r="N511" i="18"/>
  <c r="Q511" i="18"/>
  <c r="R511" i="18"/>
  <c r="O511" i="18"/>
  <c r="K359" i="8"/>
  <c r="L359" i="8" s="1"/>
  <c r="Q962" i="18"/>
  <c r="N962" i="18"/>
  <c r="P962" i="18"/>
  <c r="R962" i="18"/>
  <c r="O962" i="18"/>
  <c r="J9" i="11"/>
  <c r="K171" i="7"/>
  <c r="L171" i="7" s="1"/>
  <c r="K156" i="7" s="1"/>
  <c r="L156" i="7" s="1"/>
  <c r="B203" i="22"/>
  <c r="L146" i="7"/>
  <c r="K125" i="7" s="1"/>
  <c r="L125" i="7" s="1"/>
  <c r="B828" i="22"/>
  <c r="K200" i="6"/>
  <c r="L200" i="6" s="1"/>
  <c r="B483" i="22"/>
  <c r="B572" i="22"/>
  <c r="K172" i="6"/>
  <c r="L172" i="6" s="1"/>
  <c r="J10" i="11" s="1"/>
  <c r="K169" i="6"/>
  <c r="L169" i="6" s="1"/>
  <c r="B443" i="22"/>
  <c r="B749" i="22"/>
  <c r="B441" i="22"/>
  <c r="B675" i="22"/>
  <c r="K193" i="6"/>
  <c r="L193" i="6" s="1"/>
  <c r="K164" i="6"/>
  <c r="L164" i="6" s="1"/>
  <c r="K153" i="6"/>
  <c r="L153" i="6" s="1"/>
  <c r="K148" i="6" s="1"/>
  <c r="L148" i="6" s="1"/>
  <c r="B5" i="22"/>
  <c r="B578" i="22"/>
  <c r="B513" i="22"/>
  <c r="K202" i="6"/>
  <c r="L202" i="6" s="1"/>
  <c r="K248" i="8"/>
  <c r="L248" i="8" s="1"/>
  <c r="K240" i="8" s="1"/>
  <c r="L240" i="8" s="1"/>
  <c r="B205" i="22"/>
  <c r="K405" i="8"/>
  <c r="L405" i="8" s="1"/>
  <c r="K377" i="8"/>
  <c r="L377" i="8" s="1"/>
  <c r="B530" i="22"/>
  <c r="B582" i="22"/>
  <c r="B8" i="22"/>
  <c r="K112" i="8"/>
  <c r="L112" i="8" s="1"/>
  <c r="K104" i="8" s="1"/>
  <c r="L104" i="8" s="1"/>
  <c r="B206" i="22"/>
  <c r="K157" i="7"/>
  <c r="L157" i="7" s="1"/>
  <c r="K153" i="7" s="1"/>
  <c r="L153" i="7" s="1"/>
  <c r="K168" i="7"/>
  <c r="L168" i="7" s="1"/>
  <c r="K207" i="7"/>
  <c r="L207" i="7" s="1"/>
  <c r="B2" i="22"/>
  <c r="B573" i="22"/>
  <c r="B487" i="22"/>
  <c r="K140" i="7"/>
  <c r="L140" i="7" s="1"/>
  <c r="K121" i="7" s="1"/>
  <c r="L121" i="7" s="1"/>
  <c r="K252" i="8"/>
  <c r="L252" i="8" s="1"/>
  <c r="B680" i="22"/>
  <c r="B754" i="22"/>
  <c r="B458" i="22"/>
  <c r="B456" i="22"/>
  <c r="K263" i="8"/>
  <c r="L263" i="8" s="1"/>
  <c r="K46" i="8"/>
  <c r="L46" i="8" s="1"/>
  <c r="K47" i="8"/>
  <c r="L47" i="8" s="1"/>
  <c r="B320" i="22"/>
  <c r="B315" i="22"/>
  <c r="K384" i="8"/>
  <c r="L384" i="8" s="1"/>
  <c r="K376" i="8" s="1"/>
  <c r="L376" i="8" s="1"/>
  <c r="B207" i="22"/>
  <c r="K116" i="8"/>
  <c r="L116" i="8" s="1"/>
  <c r="B475" i="22"/>
  <c r="B755" i="22"/>
  <c r="B473" i="22"/>
  <c r="B681" i="22"/>
  <c r="K127" i="8"/>
  <c r="L127" i="8" s="1"/>
  <c r="K95" i="8"/>
  <c r="L95" i="8" s="1"/>
  <c r="K79" i="8" s="1"/>
  <c r="L79" i="8" s="1"/>
  <c r="B826" i="22"/>
  <c r="K176" i="7"/>
  <c r="L176" i="7" s="1"/>
  <c r="K179" i="7"/>
  <c r="L179" i="7" s="1"/>
  <c r="T19" i="11" s="1"/>
  <c r="B446" i="22"/>
  <c r="B676" i="22"/>
  <c r="B444" i="22"/>
  <c r="B750" i="22"/>
  <c r="K200" i="7"/>
  <c r="L200" i="7" s="1"/>
  <c r="K165" i="6"/>
  <c r="L165" i="6" s="1"/>
  <c r="K150" i="6" s="1"/>
  <c r="L150" i="6" s="1"/>
  <c r="B204" i="22"/>
  <c r="K163" i="6"/>
  <c r="L163" i="6" s="1"/>
  <c r="K149" i="6" s="1"/>
  <c r="L149" i="6" s="1"/>
  <c r="B202" i="22"/>
  <c r="K241" i="8"/>
  <c r="L241" i="8" s="1"/>
  <c r="K239" i="8" s="1"/>
  <c r="L239" i="8" s="1"/>
  <c r="K247" i="8"/>
  <c r="L247" i="8" s="1"/>
  <c r="K269" i="8"/>
  <c r="L269" i="8" s="1"/>
  <c r="B6" i="22"/>
  <c r="B521" i="22"/>
  <c r="B580" i="22"/>
  <c r="K60" i="6"/>
  <c r="L60" i="6" s="1"/>
  <c r="K61" i="6"/>
  <c r="L61" i="6" s="1"/>
  <c r="B316" i="22"/>
  <c r="B321" i="22"/>
  <c r="K62" i="6"/>
  <c r="L62" i="6" s="1"/>
  <c r="K105" i="8"/>
  <c r="L105" i="8" s="1"/>
  <c r="K133" i="8"/>
  <c r="L133" i="8" s="1"/>
  <c r="B581" i="22"/>
  <c r="B525" i="22"/>
  <c r="B7" i="22"/>
  <c r="B821" i="22"/>
  <c r="K48" i="8"/>
  <c r="L48" i="8" s="1"/>
  <c r="L145" i="7"/>
  <c r="K124" i="7" s="1"/>
  <c r="L124" i="7" s="1"/>
  <c r="K177" i="7"/>
  <c r="L177" i="7" s="1"/>
  <c r="K180" i="7"/>
  <c r="L180" i="7" s="1"/>
  <c r="U19" i="11" s="1"/>
  <c r="B450" i="22"/>
  <c r="B678" i="22"/>
  <c r="B752" i="22"/>
  <c r="B452" i="22"/>
  <c r="K201" i="7"/>
  <c r="L201" i="7" s="1"/>
  <c r="K67" i="7"/>
  <c r="L67" i="7" s="1"/>
  <c r="K66" i="7"/>
  <c r="L66" i="7" s="1"/>
  <c r="B314" i="22"/>
  <c r="B319" i="22"/>
  <c r="K388" i="8"/>
  <c r="L388" i="8" s="1"/>
  <c r="B682" i="22"/>
  <c r="B756" i="22"/>
  <c r="K399" i="8"/>
  <c r="L399" i="8" s="1"/>
  <c r="B478" i="22"/>
  <c r="B476" i="22"/>
  <c r="K268" i="8"/>
  <c r="L268" i="8" s="1"/>
  <c r="B575" i="22"/>
  <c r="B498" i="22"/>
  <c r="F9" i="11"/>
  <c r="K111" i="8"/>
  <c r="L111" i="8" s="1"/>
  <c r="K132" i="8"/>
  <c r="L132" i="8" s="1"/>
  <c r="B577" i="22"/>
  <c r="B507" i="22"/>
  <c r="B834" i="22"/>
  <c r="K94" i="8"/>
  <c r="L94" i="8" s="1"/>
  <c r="K78" i="8" s="1"/>
  <c r="L78" i="8" s="1"/>
  <c r="K9" i="11"/>
  <c r="K170" i="6"/>
  <c r="L170" i="6" s="1"/>
  <c r="K173" i="6"/>
  <c r="L173" i="6" s="1"/>
  <c r="K10" i="11" s="1"/>
  <c r="B751" i="22"/>
  <c r="B449" i="22"/>
  <c r="B677" i="22"/>
  <c r="B447" i="22"/>
  <c r="K194" i="6"/>
  <c r="L194" i="6" s="1"/>
  <c r="B827" i="22"/>
  <c r="K135" i="6"/>
  <c r="L135" i="6" s="1"/>
  <c r="K116" i="6" s="1"/>
  <c r="L116" i="6" s="1"/>
  <c r="K170" i="7"/>
  <c r="L170" i="7" s="1"/>
  <c r="K208" i="7"/>
  <c r="L208" i="7" s="1"/>
  <c r="K159" i="7"/>
  <c r="L159" i="7" s="1"/>
  <c r="B4" i="22"/>
  <c r="B502" i="22"/>
  <c r="B576" i="22"/>
  <c r="K133" i="6"/>
  <c r="L133" i="6" s="1"/>
  <c r="K114" i="6" s="1"/>
  <c r="L114" i="6" s="1"/>
  <c r="K162" i="6"/>
  <c r="L162" i="6" s="1"/>
  <c r="K151" i="6"/>
  <c r="L151" i="6" s="1"/>
  <c r="B3" i="22"/>
  <c r="B493" i="22"/>
  <c r="B574" i="22"/>
  <c r="K201" i="6"/>
  <c r="L201" i="6" s="1"/>
  <c r="K141" i="7"/>
  <c r="L141" i="7" s="1"/>
  <c r="K122" i="7" s="1"/>
  <c r="L122" i="7" s="1"/>
  <c r="K175" i="7"/>
  <c r="L175" i="7" s="1"/>
  <c r="K178" i="7"/>
  <c r="L178" i="7" s="1"/>
  <c r="S19" i="11" s="1"/>
  <c r="B440" i="22"/>
  <c r="B674" i="22"/>
  <c r="B748" i="22"/>
  <c r="B438" i="22"/>
  <c r="K199" i="7"/>
  <c r="L199" i="7" s="1"/>
  <c r="K183" i="8"/>
  <c r="L183" i="8" s="1"/>
  <c r="K182" i="8"/>
  <c r="L182" i="8" s="1"/>
  <c r="B318" i="22"/>
  <c r="B313" i="22"/>
  <c r="K184" i="8"/>
  <c r="L184" i="8" s="1"/>
  <c r="K169" i="7"/>
  <c r="L169" i="7" s="1"/>
  <c r="K155" i="7" s="1"/>
  <c r="L155" i="7" s="1"/>
  <c r="B201" i="22"/>
  <c r="K206" i="7"/>
  <c r="L206" i="7" s="1"/>
  <c r="B479" i="22"/>
  <c r="B571" i="22"/>
  <c r="AE32" i="11"/>
  <c r="K144" i="7"/>
  <c r="L144" i="7" s="1"/>
  <c r="K123" i="7" s="1"/>
  <c r="L123" i="7" s="1"/>
  <c r="K318" i="8"/>
  <c r="L318" i="8" s="1"/>
  <c r="K319" i="8"/>
  <c r="L319" i="8" s="1"/>
  <c r="B317" i="22"/>
  <c r="B322" i="22"/>
  <c r="B757" i="22"/>
  <c r="K230" i="8"/>
  <c r="L230" i="8" s="1"/>
  <c r="K214" i="8" s="1"/>
  <c r="L214" i="8" s="1"/>
  <c r="L9" i="11"/>
  <c r="K174" i="6"/>
  <c r="L174" i="6" s="1"/>
  <c r="L10" i="11" s="1"/>
  <c r="K171" i="6"/>
  <c r="L171" i="6" s="1"/>
  <c r="B679" i="22"/>
  <c r="B455" i="22"/>
  <c r="B453" i="22"/>
  <c r="B753" i="22"/>
  <c r="K195" i="6"/>
  <c r="L195" i="6" s="1"/>
  <c r="C91" i="11"/>
  <c r="B823" i="22"/>
  <c r="K383" i="8"/>
  <c r="L383" i="8" s="1"/>
  <c r="K404" i="8"/>
  <c r="L404" i="8" s="1"/>
  <c r="B517" i="22"/>
  <c r="B579" i="22"/>
  <c r="K366" i="8"/>
  <c r="L366" i="8" s="1"/>
  <c r="K350" i="8" s="1"/>
  <c r="L350" i="8" s="1"/>
  <c r="B835" i="22"/>
  <c r="K103" i="8" l="1"/>
  <c r="L103" i="8" s="1"/>
  <c r="AB32" i="11"/>
  <c r="K196" i="7"/>
  <c r="L196" i="7" s="1"/>
  <c r="Y29" i="11"/>
  <c r="G14" i="11"/>
  <c r="Q20" i="11"/>
  <c r="K127" i="6"/>
  <c r="L127" i="6" s="1"/>
  <c r="P286" i="18"/>
  <c r="Q286" i="18"/>
  <c r="R286" i="18"/>
  <c r="O286" i="18"/>
  <c r="N286" i="18"/>
  <c r="AD34" i="11"/>
  <c r="K223" i="8"/>
  <c r="L223" i="8" s="1"/>
  <c r="O826" i="18"/>
  <c r="P826" i="18"/>
  <c r="Q826" i="18"/>
  <c r="R826" i="18"/>
  <c r="N826" i="18"/>
  <c r="U20" i="11"/>
  <c r="K86" i="8"/>
  <c r="L86" i="8" s="1"/>
  <c r="B16" i="22"/>
  <c r="B325" i="22"/>
  <c r="B212" i="22"/>
  <c r="AE33" i="11"/>
  <c r="K190" i="6"/>
  <c r="L190" i="6" s="1"/>
  <c r="R21" i="11"/>
  <c r="P18" i="11"/>
  <c r="K189" i="6"/>
  <c r="L189" i="6" s="1"/>
  <c r="T20" i="11"/>
  <c r="K92" i="8"/>
  <c r="L92" i="8" s="1"/>
  <c r="K93" i="8"/>
  <c r="L93" i="8" s="1"/>
  <c r="K129" i="8"/>
  <c r="L129" i="8" s="1"/>
  <c r="K88" i="8"/>
  <c r="L88" i="8" s="1"/>
  <c r="P692" i="18"/>
  <c r="O692" i="18"/>
  <c r="O691" i="18"/>
  <c r="B379" i="22"/>
  <c r="B390" i="22"/>
  <c r="N692" i="18"/>
  <c r="Q692" i="18"/>
  <c r="B420" i="22"/>
  <c r="N691" i="18"/>
  <c r="R692" i="18"/>
  <c r="B552" i="22"/>
  <c r="R691" i="18"/>
  <c r="B378" i="22"/>
  <c r="P691" i="18"/>
  <c r="Q691" i="18"/>
  <c r="O22" i="11"/>
  <c r="K124" i="8"/>
  <c r="L124" i="8" s="1"/>
  <c r="K260" i="8"/>
  <c r="L260" i="8" s="1"/>
  <c r="K126" i="6"/>
  <c r="L126" i="6" s="1"/>
  <c r="B17" i="22"/>
  <c r="B326" i="22"/>
  <c r="B213" i="22"/>
  <c r="K261" i="8"/>
  <c r="L261" i="8" s="1"/>
  <c r="S18" i="11"/>
  <c r="X30" i="11"/>
  <c r="K203" i="7"/>
  <c r="L203" i="7" s="1"/>
  <c r="K138" i="7"/>
  <c r="L138" i="7" s="1"/>
  <c r="K134" i="7"/>
  <c r="L134" i="7" s="1"/>
  <c r="K129" i="7" s="1"/>
  <c r="L129" i="7" s="1"/>
  <c r="K137" i="7"/>
  <c r="L137" i="7" s="1"/>
  <c r="B376" i="22"/>
  <c r="R513" i="18"/>
  <c r="B375" i="22"/>
  <c r="R512" i="18"/>
  <c r="O512" i="18"/>
  <c r="Q513" i="18"/>
  <c r="B411" i="22"/>
  <c r="B373" i="22"/>
  <c r="B551" i="22"/>
  <c r="B374" i="22"/>
  <c r="Q512" i="18"/>
  <c r="N512" i="18"/>
  <c r="P513" i="18"/>
  <c r="B372" i="22"/>
  <c r="N513" i="18"/>
  <c r="O513" i="18"/>
  <c r="B389" i="22"/>
  <c r="P512" i="18"/>
  <c r="B377" i="22"/>
  <c r="J11" i="11"/>
  <c r="L11" i="11"/>
  <c r="G9" i="11"/>
  <c r="K132" i="7"/>
  <c r="L132" i="7" s="1"/>
  <c r="B211" i="22"/>
  <c r="B324" i="22"/>
  <c r="B15" i="22"/>
  <c r="K195" i="7"/>
  <c r="L195" i="7" s="1"/>
  <c r="K11" i="11"/>
  <c r="T18" i="11"/>
  <c r="T25" i="11" s="1"/>
  <c r="I12" i="11"/>
  <c r="O18" i="11"/>
  <c r="K396" i="8"/>
  <c r="L396" i="8" s="1"/>
  <c r="K358" i="8"/>
  <c r="L358" i="8" s="1"/>
  <c r="B18" i="22"/>
  <c r="B327" i="22"/>
  <c r="B214" i="22"/>
  <c r="K265" i="8"/>
  <c r="L265" i="8" s="1"/>
  <c r="K228" i="8"/>
  <c r="L228" i="8" s="1"/>
  <c r="K224" i="8"/>
  <c r="L224" i="8" s="1"/>
  <c r="K229" i="8"/>
  <c r="L229" i="8" s="1"/>
  <c r="P827" i="18"/>
  <c r="P828" i="18"/>
  <c r="B550" i="22"/>
  <c r="Q827" i="18"/>
  <c r="R828" i="18"/>
  <c r="N828" i="18"/>
  <c r="B388" i="22"/>
  <c r="N827" i="18"/>
  <c r="B370" i="22"/>
  <c r="B371" i="22"/>
  <c r="R827" i="18"/>
  <c r="O828" i="18"/>
  <c r="B407" i="22"/>
  <c r="O827" i="18"/>
  <c r="Q828" i="18"/>
  <c r="K131" i="6"/>
  <c r="L131" i="6" s="1"/>
  <c r="K132" i="6"/>
  <c r="L132" i="6" s="1"/>
  <c r="K128" i="6"/>
  <c r="L128" i="6" s="1"/>
  <c r="K197" i="6"/>
  <c r="L197" i="6" s="1"/>
  <c r="B426" i="22"/>
  <c r="Q287" i="18"/>
  <c r="N287" i="18"/>
  <c r="B391" i="22"/>
  <c r="B383" i="22"/>
  <c r="P288" i="18"/>
  <c r="B385" i="22"/>
  <c r="R288" i="18"/>
  <c r="O288" i="18"/>
  <c r="B380" i="22"/>
  <c r="B553" i="22"/>
  <c r="B381" i="22"/>
  <c r="O287" i="18"/>
  <c r="N288" i="18"/>
  <c r="B384" i="22"/>
  <c r="Q288" i="18"/>
  <c r="B382" i="22"/>
  <c r="P287" i="18"/>
  <c r="R287" i="18"/>
  <c r="Z28" i="11"/>
  <c r="K375" i="8"/>
  <c r="L375" i="8" s="1"/>
  <c r="K194" i="7"/>
  <c r="L194" i="7" s="1"/>
  <c r="AI39" i="11"/>
  <c r="AG37" i="11"/>
  <c r="E9" i="11"/>
  <c r="H11" i="11"/>
  <c r="U18" i="11"/>
  <c r="U26" i="11" s="1"/>
  <c r="AJ38" i="11"/>
  <c r="AJ41" i="11" s="1"/>
  <c r="K401" i="8"/>
  <c r="L401" i="8" s="1"/>
  <c r="K364" i="8"/>
  <c r="L364" i="8" s="1"/>
  <c r="K360" i="8"/>
  <c r="L360" i="8" s="1"/>
  <c r="K355" i="8" s="1"/>
  <c r="L355" i="8" s="1"/>
  <c r="K365" i="8"/>
  <c r="L365" i="8" s="1"/>
  <c r="P963" i="18"/>
  <c r="B434" i="22"/>
  <c r="B392" i="22"/>
  <c r="O963" i="18"/>
  <c r="R963" i="18"/>
  <c r="B386" i="22"/>
  <c r="N963" i="18"/>
  <c r="O964" i="18"/>
  <c r="Q963" i="18"/>
  <c r="N964" i="18"/>
  <c r="R964" i="18"/>
  <c r="P964" i="18"/>
  <c r="Q964" i="18"/>
  <c r="B387" i="22"/>
  <c r="B554" i="22"/>
  <c r="K222" i="8"/>
  <c r="L222" i="8" s="1"/>
  <c r="B323" i="22"/>
  <c r="B14" i="22"/>
  <c r="B210" i="22"/>
  <c r="S20" i="11"/>
  <c r="K147" i="6"/>
  <c r="L147" i="6" s="1"/>
  <c r="K154" i="7"/>
  <c r="L154" i="7" s="1"/>
  <c r="W27" i="11"/>
  <c r="K87" i="8"/>
  <c r="L87" i="8" s="1"/>
  <c r="N690" i="18"/>
  <c r="O690" i="18"/>
  <c r="P690" i="18"/>
  <c r="Q690" i="18"/>
  <c r="R690" i="18"/>
  <c r="K125" i="8"/>
  <c r="L125" i="8" s="1"/>
  <c r="AC35" i="11"/>
  <c r="Z27" i="11"/>
  <c r="K397" i="8"/>
  <c r="L397" i="8" s="1"/>
  <c r="K188" i="6"/>
  <c r="L188" i="6" s="1"/>
  <c r="S24" i="11" l="1"/>
  <c r="B663" i="22"/>
  <c r="K193" i="7"/>
  <c r="L193" i="7" s="1"/>
  <c r="B589" i="22"/>
  <c r="K83" i="8"/>
  <c r="L83" i="8" s="1"/>
  <c r="B661" i="22"/>
  <c r="H13" i="11"/>
  <c r="O20" i="11"/>
  <c r="AC34" i="11"/>
  <c r="W28" i="11"/>
  <c r="R23" i="11"/>
  <c r="Y30" i="11"/>
  <c r="B660" i="22"/>
  <c r="X29" i="11"/>
  <c r="K395" i="8"/>
  <c r="L395" i="8" s="1"/>
  <c r="B592" i="22"/>
  <c r="K218" i="8"/>
  <c r="L218" i="8" s="1"/>
  <c r="R816" i="18"/>
  <c r="Q817" i="18"/>
  <c r="O817" i="18"/>
  <c r="N817" i="18"/>
  <c r="P817" i="18"/>
  <c r="N816" i="18"/>
  <c r="R817" i="18"/>
  <c r="O816" i="18"/>
  <c r="P816" i="18"/>
  <c r="B593" i="22"/>
  <c r="Q816" i="18"/>
  <c r="AI40" i="11"/>
  <c r="K187" i="6"/>
  <c r="L187" i="6" s="1"/>
  <c r="B591" i="22"/>
  <c r="K354" i="8"/>
  <c r="L354" i="8" s="1"/>
  <c r="K353" i="8" s="1"/>
  <c r="L353" i="8" s="1"/>
  <c r="K352" i="8" s="1"/>
  <c r="L352" i="8" s="1"/>
  <c r="N952" i="18"/>
  <c r="P952" i="18"/>
  <c r="Q953" i="18"/>
  <c r="Q952" i="18"/>
  <c r="R952" i="18"/>
  <c r="P953" i="18"/>
  <c r="O953" i="18"/>
  <c r="N953" i="18"/>
  <c r="R953" i="18"/>
  <c r="B597" i="22"/>
  <c r="O952" i="18"/>
  <c r="E10" i="11"/>
  <c r="AH40" i="11"/>
  <c r="P23" i="11"/>
  <c r="P21" i="11" s="1"/>
  <c r="I14" i="11"/>
  <c r="K16" i="11"/>
  <c r="J15" i="11"/>
  <c r="K82" i="8"/>
  <c r="L82" i="8" s="1"/>
  <c r="O680" i="18"/>
  <c r="N681" i="18"/>
  <c r="R680" i="18"/>
  <c r="R681" i="18"/>
  <c r="O681" i="18"/>
  <c r="P680" i="18"/>
  <c r="Q681" i="18"/>
  <c r="Q680" i="18"/>
  <c r="N680" i="18"/>
  <c r="B595" i="22"/>
  <c r="P681" i="18"/>
  <c r="K259" i="8"/>
  <c r="L259" i="8" s="1"/>
  <c r="B588" i="22"/>
  <c r="AD35" i="11"/>
  <c r="Q22" i="11"/>
  <c r="AH39" i="11"/>
  <c r="F13" i="11"/>
  <c r="F11" i="11" s="1"/>
  <c r="AG38" i="11"/>
  <c r="Z31" i="11"/>
  <c r="K123" i="6"/>
  <c r="L123" i="6" s="1"/>
  <c r="B662" i="22"/>
  <c r="AB33" i="11"/>
  <c r="N19" i="11"/>
  <c r="K128" i="7"/>
  <c r="L128" i="7" s="1"/>
  <c r="K127" i="7" s="1"/>
  <c r="L127" i="7" s="1"/>
  <c r="K126" i="7" s="1"/>
  <c r="L126" i="7" s="1"/>
  <c r="R494" i="18"/>
  <c r="R497" i="18"/>
  <c r="Q495" i="18"/>
  <c r="R496" i="18"/>
  <c r="N496" i="18"/>
  <c r="R493" i="18"/>
  <c r="N494" i="18"/>
  <c r="N497" i="18"/>
  <c r="P497" i="18"/>
  <c r="Q496" i="18"/>
  <c r="Q493" i="18"/>
  <c r="P498" i="18"/>
  <c r="P493" i="18"/>
  <c r="O497" i="18"/>
  <c r="P494" i="18"/>
  <c r="Q497" i="18"/>
  <c r="Q494" i="18"/>
  <c r="N493" i="18"/>
  <c r="P495" i="18"/>
  <c r="R495" i="18"/>
  <c r="R498" i="18"/>
  <c r="Q498" i="18"/>
  <c r="O494" i="18"/>
  <c r="B594" i="22"/>
  <c r="O495" i="18"/>
  <c r="P496" i="18"/>
  <c r="O496" i="18"/>
  <c r="N498" i="18"/>
  <c r="O493" i="18"/>
  <c r="O498" i="18"/>
  <c r="N495" i="18"/>
  <c r="AE36" i="11"/>
  <c r="K122" i="6"/>
  <c r="L122" i="6" s="1"/>
  <c r="N273" i="18"/>
  <c r="Q268" i="18"/>
  <c r="Q269" i="18"/>
  <c r="N269" i="18"/>
  <c r="Q271" i="18"/>
  <c r="N271" i="18"/>
  <c r="O272" i="18"/>
  <c r="O269" i="18"/>
  <c r="P273" i="18"/>
  <c r="O273" i="18"/>
  <c r="R271" i="18"/>
  <c r="N268" i="18"/>
  <c r="Q272" i="18"/>
  <c r="R268" i="18"/>
  <c r="N270" i="18"/>
  <c r="B596" i="22"/>
  <c r="N272" i="18"/>
  <c r="R269" i="18"/>
  <c r="P271" i="18"/>
  <c r="P270" i="18"/>
  <c r="Q273" i="18"/>
  <c r="O270" i="18"/>
  <c r="R272" i="18"/>
  <c r="R270" i="18"/>
  <c r="R273" i="18"/>
  <c r="P269" i="18"/>
  <c r="O268" i="18"/>
  <c r="P272" i="18"/>
  <c r="P268" i="18"/>
  <c r="Q270" i="18"/>
  <c r="O271" i="18"/>
  <c r="K123" i="8"/>
  <c r="L123" i="8" s="1"/>
  <c r="B590" i="22"/>
  <c r="L17" i="11"/>
  <c r="G12" i="11"/>
  <c r="K219" i="8"/>
  <c r="L219" i="8" s="1"/>
  <c r="B659" i="22"/>
  <c r="K121" i="6" l="1"/>
  <c r="L121" i="6" s="1"/>
  <c r="K120" i="6" s="1"/>
  <c r="L120" i="6" s="1"/>
  <c r="K108" i="6" s="1"/>
  <c r="L108" i="6" s="1"/>
  <c r="K114" i="7"/>
  <c r="L114" i="7" s="1"/>
  <c r="K116" i="7"/>
  <c r="L116" i="7" s="1"/>
  <c r="K118" i="7"/>
  <c r="L118" i="7" s="1"/>
  <c r="K117" i="7"/>
  <c r="L117" i="7" s="1"/>
  <c r="K115" i="7"/>
  <c r="L115" i="7" s="1"/>
  <c r="K119" i="7"/>
  <c r="L119" i="7" s="1"/>
  <c r="K81" i="8"/>
  <c r="L81" i="8" s="1"/>
  <c r="K80" i="8" s="1"/>
  <c r="L80" i="8" s="1"/>
  <c r="K348" i="8"/>
  <c r="L348" i="8" s="1"/>
  <c r="K349" i="8"/>
  <c r="L349" i="8" s="1"/>
  <c r="K112" i="6"/>
  <c r="L112" i="6" s="1"/>
  <c r="K109" i="6"/>
  <c r="L109" i="6" s="1"/>
  <c r="K113" i="6"/>
  <c r="L113" i="6" s="1"/>
  <c r="K111" i="6"/>
  <c r="L111" i="6" s="1"/>
  <c r="K217" i="8"/>
  <c r="L217" i="8" s="1"/>
  <c r="K216" i="8" s="1"/>
  <c r="L216" i="8" s="1"/>
  <c r="K110" i="6" l="1"/>
  <c r="L110" i="6" s="1"/>
  <c r="D12" i="11" s="1"/>
  <c r="AF38" i="11"/>
  <c r="M26" i="11"/>
  <c r="D11" i="11"/>
  <c r="M24" i="11"/>
  <c r="M21" i="11"/>
  <c r="D15" i="11"/>
  <c r="D17" i="11"/>
  <c r="M20" i="11"/>
  <c r="D16" i="11"/>
  <c r="M25" i="11"/>
  <c r="D10" i="11"/>
  <c r="K77" i="8"/>
  <c r="L77" i="8" s="1"/>
  <c r="K76" i="8"/>
  <c r="L76" i="8" s="1"/>
  <c r="K213" i="8"/>
  <c r="L213" i="8" s="1"/>
  <c r="K212" i="8"/>
  <c r="L212" i="8" s="1"/>
  <c r="M19" i="11"/>
  <c r="AF41" i="11"/>
  <c r="M18" i="11" l="1"/>
  <c r="D9" i="11"/>
  <c r="AA33" i="11"/>
  <c r="AA36" i="11"/>
  <c r="V28" i="11"/>
  <c r="AF37" i="11"/>
  <c r="V31" i="11"/>
  <c r="AA32" i="11" l="1"/>
  <c r="V27" i="11"/>
  <c r="D45" i="11" a="1"/>
  <c r="F45" i="11" l="1"/>
  <c r="O45" i="11"/>
  <c r="T45" i="11"/>
  <c r="AC45" i="11"/>
  <c r="AG45" i="11"/>
  <c r="D45" i="11"/>
  <c r="I45" i="11"/>
  <c r="N45" i="11"/>
  <c r="S45" i="11"/>
  <c r="Y45" i="11"/>
  <c r="AD45" i="11"/>
  <c r="L45" i="11"/>
  <c r="Q45" i="11"/>
  <c r="V45" i="11"/>
  <c r="AA45" i="11"/>
  <c r="AF45" i="11"/>
  <c r="M45" i="11"/>
  <c r="H45" i="11"/>
  <c r="AI45" i="11"/>
  <c r="W45" i="11"/>
  <c r="E45" i="11"/>
  <c r="P45" i="11"/>
  <c r="X45" i="11"/>
  <c r="G45" i="11"/>
  <c r="AH45" i="11"/>
  <c r="Z45" i="11"/>
  <c r="AB45" i="11"/>
  <c r="J45" i="11"/>
  <c r="K45" i="11"/>
  <c r="R45" i="11"/>
  <c r="AJ45" i="11"/>
  <c r="AE45" i="11"/>
  <c r="U45" i="11"/>
  <c r="X55" i="11" l="1"/>
  <c r="X58" i="11"/>
  <c r="X57" i="11"/>
  <c r="X60" i="11"/>
  <c r="X63" i="11"/>
  <c r="X65" i="11"/>
  <c r="X68" i="11"/>
  <c r="X72" i="11"/>
  <c r="X80" i="11"/>
  <c r="X81" i="11"/>
  <c r="X83" i="11"/>
  <c r="X59" i="11"/>
  <c r="X84" i="11"/>
  <c r="X71" i="11"/>
  <c r="X73" i="11"/>
  <c r="X85" i="11"/>
  <c r="G31" i="23"/>
  <c r="X66" i="11"/>
  <c r="X67" i="11"/>
  <c r="X70" i="11"/>
  <c r="X74" i="11"/>
  <c r="X86" i="11"/>
  <c r="X61" i="11"/>
  <c r="X64" i="11"/>
  <c r="X69" i="11"/>
  <c r="X77" i="11"/>
  <c r="X82" i="11"/>
  <c r="X62" i="11"/>
  <c r="X49" i="11"/>
  <c r="X78" i="11"/>
  <c r="AE34" i="23"/>
  <c r="AS157" i="23" s="1"/>
  <c r="AT153" i="23"/>
  <c r="X79" i="11"/>
  <c r="X56" i="11"/>
  <c r="X50" i="11"/>
  <c r="X87" i="11"/>
  <c r="AG34" i="23"/>
  <c r="AV158" i="23" s="1"/>
  <c r="AM34" i="23"/>
  <c r="AM35" i="23"/>
  <c r="X94" i="11"/>
  <c r="X76" i="11"/>
  <c r="AE62" i="11"/>
  <c r="AE66" i="11"/>
  <c r="AE55" i="11"/>
  <c r="AE59" i="11"/>
  <c r="AE61" i="11"/>
  <c r="AE83" i="11"/>
  <c r="AE57" i="11"/>
  <c r="AE70" i="11"/>
  <c r="AE74" i="11"/>
  <c r="AE85" i="11"/>
  <c r="AE50" i="11"/>
  <c r="I47" i="23"/>
  <c r="AE65" i="11"/>
  <c r="AE68" i="11"/>
  <c r="AE69" i="11"/>
  <c r="AE75" i="11"/>
  <c r="AE76" i="11"/>
  <c r="AE86" i="11"/>
  <c r="AE87" i="11"/>
  <c r="AE56" i="11"/>
  <c r="AE60" i="11"/>
  <c r="AE64" i="11"/>
  <c r="AE72" i="11"/>
  <c r="AE80" i="11"/>
  <c r="AE84" i="11"/>
  <c r="AE58" i="11"/>
  <c r="AE73" i="11"/>
  <c r="AE81" i="11"/>
  <c r="AE77" i="11"/>
  <c r="AE46" i="11"/>
  <c r="AE49" i="11"/>
  <c r="CS12" i="23"/>
  <c r="AE71" i="11"/>
  <c r="AE67" i="11"/>
  <c r="AE63" i="11"/>
  <c r="AG42" i="23"/>
  <c r="AK42" i="23"/>
  <c r="AK38" i="23" s="1"/>
  <c r="BD144" i="23"/>
  <c r="AE94" i="11"/>
  <c r="AL42" i="23"/>
  <c r="AL39" i="23" s="1"/>
  <c r="BB147" i="23" s="1"/>
  <c r="AE78" i="11"/>
  <c r="AE79" i="11"/>
  <c r="G62" i="11"/>
  <c r="G70" i="11"/>
  <c r="G78" i="11"/>
  <c r="G86" i="11"/>
  <c r="G56" i="11"/>
  <c r="G61" i="11"/>
  <c r="G71" i="11"/>
  <c r="G80" i="11"/>
  <c r="G63" i="11"/>
  <c r="G73" i="11"/>
  <c r="G83" i="11"/>
  <c r="G65" i="11"/>
  <c r="G75" i="11"/>
  <c r="G85" i="11"/>
  <c r="G69" i="11"/>
  <c r="G84" i="11"/>
  <c r="G72" i="11"/>
  <c r="G87" i="11"/>
  <c r="C27" i="23"/>
  <c r="G76" i="11"/>
  <c r="G57" i="11"/>
  <c r="G59" i="11"/>
  <c r="G81" i="11"/>
  <c r="G64" i="11"/>
  <c r="G82" i="11"/>
  <c r="G66" i="11"/>
  <c r="G50" i="11"/>
  <c r="G68" i="11"/>
  <c r="G67" i="11"/>
  <c r="AE15" i="23"/>
  <c r="AS26" i="23" s="1"/>
  <c r="G79" i="11"/>
  <c r="G49" i="11"/>
  <c r="G74" i="11"/>
  <c r="G77" i="11"/>
  <c r="BU12" i="23"/>
  <c r="G46" i="11"/>
  <c r="AG15" i="23"/>
  <c r="AU33" i="23" s="1"/>
  <c r="AM15" i="23"/>
  <c r="AI15" i="23"/>
  <c r="AU21" i="23" s="1"/>
  <c r="AM17" i="23"/>
  <c r="G60" i="11"/>
  <c r="G94" i="11"/>
  <c r="G55" i="11"/>
  <c r="AF58" i="11"/>
  <c r="AF60" i="11"/>
  <c r="AF61" i="11"/>
  <c r="AF56" i="11"/>
  <c r="AF66" i="11"/>
  <c r="AF68" i="11"/>
  <c r="AF72" i="11"/>
  <c r="AF76" i="11"/>
  <c r="AF80" i="11"/>
  <c r="AF55" i="11"/>
  <c r="AF59" i="11"/>
  <c r="AF64" i="11"/>
  <c r="AF57" i="11"/>
  <c r="AF79" i="11"/>
  <c r="AF50" i="11"/>
  <c r="AF65" i="11"/>
  <c r="AF69" i="11"/>
  <c r="AF75" i="11"/>
  <c r="K11" i="23"/>
  <c r="AF49" i="11"/>
  <c r="AF48" i="11" s="1"/>
  <c r="AF67" i="11"/>
  <c r="AF81" i="11"/>
  <c r="AF62" i="11"/>
  <c r="AF71" i="11"/>
  <c r="AF78" i="11"/>
  <c r="AE44" i="23"/>
  <c r="BE136" i="23" s="1"/>
  <c r="AF63" i="11"/>
  <c r="AF44" i="23"/>
  <c r="BG136" i="23" s="1"/>
  <c r="AF82" i="11"/>
  <c r="AF70" i="11"/>
  <c r="AF77" i="11"/>
  <c r="AF73" i="11"/>
  <c r="AF85" i="11"/>
  <c r="CT12" i="23"/>
  <c r="AF74" i="11"/>
  <c r="AF46" i="11"/>
  <c r="AF86" i="11"/>
  <c r="AG44" i="23"/>
  <c r="BG141" i="23" s="1"/>
  <c r="AF94" i="11"/>
  <c r="AH45" i="23"/>
  <c r="AJ48" i="23"/>
  <c r="AF87" i="11"/>
  <c r="AF84" i="11"/>
  <c r="N60" i="11"/>
  <c r="N61" i="11"/>
  <c r="N73" i="11"/>
  <c r="N81" i="11"/>
  <c r="N55" i="11"/>
  <c r="N67" i="11"/>
  <c r="N75" i="11"/>
  <c r="N83" i="11"/>
  <c r="N74" i="11"/>
  <c r="N85" i="11"/>
  <c r="N62" i="11"/>
  <c r="N63" i="11"/>
  <c r="N76" i="11"/>
  <c r="N86" i="11"/>
  <c r="E15" i="23"/>
  <c r="N68" i="11"/>
  <c r="N78" i="11"/>
  <c r="N58" i="11"/>
  <c r="N77" i="11"/>
  <c r="N79" i="11"/>
  <c r="N50" i="11"/>
  <c r="N57" i="11"/>
  <c r="N80" i="11"/>
  <c r="N56" i="11"/>
  <c r="N59" i="11"/>
  <c r="N82" i="11"/>
  <c r="N84" i="11"/>
  <c r="N66" i="11"/>
  <c r="N71" i="11"/>
  <c r="N72" i="11"/>
  <c r="N49" i="11"/>
  <c r="N48" i="11" s="1"/>
  <c r="AD24" i="23"/>
  <c r="N69" i="11"/>
  <c r="CB12" i="23"/>
  <c r="AE23" i="23"/>
  <c r="AS88" i="23" s="1"/>
  <c r="N87" i="11"/>
  <c r="N70" i="11"/>
  <c r="AI23" i="23"/>
  <c r="N64" i="11"/>
  <c r="AG23" i="23"/>
  <c r="BA91" i="23" s="1"/>
  <c r="N94" i="11"/>
  <c r="AJ57" i="11"/>
  <c r="AJ55" i="11"/>
  <c r="AJ61" i="11"/>
  <c r="AJ63" i="11"/>
  <c r="AJ65" i="11"/>
  <c r="AJ59" i="11"/>
  <c r="AJ62" i="11"/>
  <c r="AJ70" i="11"/>
  <c r="AJ74" i="11"/>
  <c r="AJ78" i="11"/>
  <c r="AJ82" i="11"/>
  <c r="AJ86" i="11"/>
  <c r="AJ58" i="11"/>
  <c r="AJ50" i="11"/>
  <c r="AJ67" i="11"/>
  <c r="AJ69" i="11"/>
  <c r="AJ71" i="11"/>
  <c r="AJ73" i="11"/>
  <c r="AJ75" i="11"/>
  <c r="AJ77" i="11"/>
  <c r="AJ79" i="11"/>
  <c r="AJ81" i="11"/>
  <c r="AJ85" i="11"/>
  <c r="AJ66" i="11"/>
  <c r="AJ49" i="11"/>
  <c r="AJ48" i="11" s="1"/>
  <c r="AJ68" i="11"/>
  <c r="AJ76" i="11"/>
  <c r="AJ60" i="11"/>
  <c r="AJ72" i="11"/>
  <c r="AJ56" i="11"/>
  <c r="AJ80" i="11"/>
  <c r="AJ64" i="11"/>
  <c r="AJ46" i="11"/>
  <c r="CX12" i="23"/>
  <c r="K47" i="23"/>
  <c r="AG48" i="23"/>
  <c r="BJ151" i="23" s="1"/>
  <c r="AK48" i="23"/>
  <c r="AK44" i="23" s="1"/>
  <c r="BJ144" i="23"/>
  <c r="AL48" i="23"/>
  <c r="AL45" i="23" s="1"/>
  <c r="BH147" i="23" s="1"/>
  <c r="AJ94" i="11"/>
  <c r="AJ83" i="11"/>
  <c r="AJ84" i="11"/>
  <c r="AA55" i="11"/>
  <c r="AA56" i="11"/>
  <c r="AA60" i="11"/>
  <c r="AA57" i="11"/>
  <c r="AA64" i="11"/>
  <c r="AA62" i="11"/>
  <c r="AA86" i="11"/>
  <c r="AF38" i="23"/>
  <c r="BA136" i="23" s="1"/>
  <c r="AA87" i="11"/>
  <c r="AA63" i="11"/>
  <c r="AA65" i="11"/>
  <c r="AA68" i="11"/>
  <c r="AA72" i="11"/>
  <c r="AA76" i="11"/>
  <c r="AA81" i="11"/>
  <c r="I11" i="23"/>
  <c r="AA59" i="11"/>
  <c r="AA83" i="11"/>
  <c r="AA71" i="11"/>
  <c r="AA73" i="11"/>
  <c r="AA84" i="11"/>
  <c r="AA58" i="11"/>
  <c r="AA85" i="11"/>
  <c r="AA77" i="11"/>
  <c r="AA50" i="11"/>
  <c r="AA61" i="11"/>
  <c r="AA70" i="11"/>
  <c r="AA75" i="11"/>
  <c r="AA80" i="11"/>
  <c r="AA67" i="11"/>
  <c r="AA69" i="11"/>
  <c r="CO12" i="23"/>
  <c r="AA66" i="11"/>
  <c r="AA74" i="11"/>
  <c r="AA46" i="11"/>
  <c r="AA49" i="11"/>
  <c r="AA48" i="11" s="1"/>
  <c r="AE38" i="23"/>
  <c r="AY136" i="23" s="1"/>
  <c r="AG38" i="23"/>
  <c r="BA141" i="23" s="1"/>
  <c r="AA94" i="11"/>
  <c r="AH39" i="23"/>
  <c r="AJ42" i="23"/>
  <c r="AA82" i="11"/>
  <c r="AA79" i="11"/>
  <c r="I67" i="11"/>
  <c r="I75" i="11"/>
  <c r="I83" i="11"/>
  <c r="I65" i="11"/>
  <c r="I74" i="11"/>
  <c r="I84" i="11"/>
  <c r="I56" i="11"/>
  <c r="I57" i="11"/>
  <c r="I68" i="11"/>
  <c r="I77" i="11"/>
  <c r="I86" i="11"/>
  <c r="I61" i="11"/>
  <c r="I72" i="11"/>
  <c r="I85" i="11"/>
  <c r="I62" i="11"/>
  <c r="I73" i="11"/>
  <c r="I87" i="11"/>
  <c r="I59" i="11"/>
  <c r="I64" i="11"/>
  <c r="I78" i="11"/>
  <c r="I55" i="11"/>
  <c r="I70" i="11"/>
  <c r="I71" i="11"/>
  <c r="I76" i="11"/>
  <c r="I80" i="11"/>
  <c r="I63" i="11"/>
  <c r="I66" i="11"/>
  <c r="I79" i="11"/>
  <c r="I81" i="11"/>
  <c r="I46" i="11"/>
  <c r="BW12" i="23"/>
  <c r="I49" i="11"/>
  <c r="I48" i="11" s="1"/>
  <c r="C35" i="23"/>
  <c r="I69" i="11"/>
  <c r="I50" i="11"/>
  <c r="I82" i="11"/>
  <c r="AG17" i="23"/>
  <c r="AU44" i="23" s="1"/>
  <c r="I94" i="11"/>
  <c r="AN17" i="23"/>
  <c r="AU40" i="23" s="1"/>
  <c r="AN15" i="23"/>
  <c r="I58" i="11"/>
  <c r="R62" i="11"/>
  <c r="R56" i="11"/>
  <c r="R59" i="11"/>
  <c r="R61" i="11"/>
  <c r="R74" i="11"/>
  <c r="R82" i="11"/>
  <c r="R64" i="11"/>
  <c r="R75" i="11"/>
  <c r="R83" i="11"/>
  <c r="AG27" i="23"/>
  <c r="AU108" i="23" s="1"/>
  <c r="R77" i="11"/>
  <c r="R85" i="11"/>
  <c r="R78" i="11"/>
  <c r="E35" i="23"/>
  <c r="R79" i="11"/>
  <c r="R58" i="11"/>
  <c r="R65" i="11"/>
  <c r="R80" i="11"/>
  <c r="R60" i="11"/>
  <c r="R71" i="11"/>
  <c r="R72" i="11"/>
  <c r="R94" i="11"/>
  <c r="R57" i="11"/>
  <c r="R63" i="11"/>
  <c r="R76" i="11"/>
  <c r="R86" i="11"/>
  <c r="R87" i="11"/>
  <c r="R66" i="11"/>
  <c r="R46" i="11"/>
  <c r="R49" i="11"/>
  <c r="R48" i="11" s="1"/>
  <c r="R55" i="11"/>
  <c r="R81" i="11"/>
  <c r="R73" i="11"/>
  <c r="R70" i="11"/>
  <c r="R68" i="11"/>
  <c r="CF12" i="23"/>
  <c r="R50" i="11"/>
  <c r="R84" i="11"/>
  <c r="AN25" i="23"/>
  <c r="AN27" i="23"/>
  <c r="AU104" i="23" s="1"/>
  <c r="R67" i="11"/>
  <c r="P58" i="11"/>
  <c r="P56" i="11"/>
  <c r="P57" i="11"/>
  <c r="P62" i="11"/>
  <c r="P60" i="11"/>
  <c r="P61" i="11"/>
  <c r="P72" i="11"/>
  <c r="P80" i="11"/>
  <c r="P73" i="11"/>
  <c r="P81" i="11"/>
  <c r="P55" i="11"/>
  <c r="P63" i="11"/>
  <c r="P75" i="11"/>
  <c r="P83" i="11"/>
  <c r="P78" i="11"/>
  <c r="P65" i="11"/>
  <c r="P68" i="11"/>
  <c r="P79" i="11"/>
  <c r="AD33" i="23"/>
  <c r="P82" i="11"/>
  <c r="P50" i="11"/>
  <c r="P86" i="11"/>
  <c r="P59" i="11"/>
  <c r="P70" i="11"/>
  <c r="P87" i="11"/>
  <c r="P66" i="11"/>
  <c r="P74" i="11"/>
  <c r="P84" i="11"/>
  <c r="P85" i="11"/>
  <c r="P49" i="11"/>
  <c r="P46" i="11"/>
  <c r="P76" i="11"/>
  <c r="P71" i="11"/>
  <c r="AE25" i="23"/>
  <c r="AS90" i="23" s="1"/>
  <c r="E27" i="23"/>
  <c r="CD12" i="23"/>
  <c r="P77" i="11"/>
  <c r="AI25" i="23"/>
  <c r="AU85" i="23" s="1"/>
  <c r="AG25" i="23"/>
  <c r="AU97" i="23" s="1"/>
  <c r="P94" i="11"/>
  <c r="AM25" i="23"/>
  <c r="AM27" i="23"/>
  <c r="P64" i="11"/>
  <c r="P69" i="11"/>
  <c r="V58" i="11"/>
  <c r="V63" i="11"/>
  <c r="V65" i="11"/>
  <c r="V78" i="11"/>
  <c r="V86" i="11"/>
  <c r="AD44" i="23"/>
  <c r="V66" i="11"/>
  <c r="V79" i="11"/>
  <c r="V87" i="11"/>
  <c r="AE32" i="23"/>
  <c r="AS136" i="23" s="1"/>
  <c r="V59" i="11"/>
  <c r="V61" i="11"/>
  <c r="V64" i="11"/>
  <c r="V81" i="11"/>
  <c r="V67" i="11"/>
  <c r="V85" i="11"/>
  <c r="AD38" i="23"/>
  <c r="V70" i="11"/>
  <c r="V75" i="11"/>
  <c r="V68" i="11"/>
  <c r="V69" i="11"/>
  <c r="V76" i="11"/>
  <c r="V82" i="11"/>
  <c r="V56" i="11"/>
  <c r="V83" i="11"/>
  <c r="V72" i="11"/>
  <c r="V55" i="11"/>
  <c r="V60" i="11"/>
  <c r="V62" i="11"/>
  <c r="AF32" i="23"/>
  <c r="AU136" i="23" s="1"/>
  <c r="G11" i="23"/>
  <c r="V71" i="11"/>
  <c r="V80" i="11"/>
  <c r="V50" i="11"/>
  <c r="CJ12" i="23"/>
  <c r="V57" i="11"/>
  <c r="V46" i="11"/>
  <c r="V49" i="11"/>
  <c r="V48" i="11" s="1"/>
  <c r="V84" i="11"/>
  <c r="AG32" i="23"/>
  <c r="AU141" i="23" s="1"/>
  <c r="V94" i="11"/>
  <c r="AJ36" i="23"/>
  <c r="AH33" i="23"/>
  <c r="V77" i="11"/>
  <c r="V74" i="11"/>
  <c r="D71" i="11"/>
  <c r="D79" i="11"/>
  <c r="D87" i="11"/>
  <c r="D64" i="11"/>
  <c r="D73" i="11"/>
  <c r="D82" i="11"/>
  <c r="D59" i="11"/>
  <c r="D69" i="11"/>
  <c r="D80" i="11"/>
  <c r="D72" i="11"/>
  <c r="D83" i="11"/>
  <c r="D60" i="11"/>
  <c r="D75" i="11"/>
  <c r="D76" i="11"/>
  <c r="D65" i="11"/>
  <c r="D66" i="11"/>
  <c r="D78" i="11"/>
  <c r="D67" i="11"/>
  <c r="D86" i="11"/>
  <c r="AE12" i="23"/>
  <c r="AU10" i="23" s="1"/>
  <c r="D68" i="11"/>
  <c r="AF12" i="23"/>
  <c r="D70" i="11"/>
  <c r="AD22" i="23"/>
  <c r="D77" i="11"/>
  <c r="D50" i="11"/>
  <c r="D74" i="11"/>
  <c r="D85" i="11"/>
  <c r="D81" i="11"/>
  <c r="BR12" i="23"/>
  <c r="D84" i="11"/>
  <c r="D49" i="11"/>
  <c r="C11" i="23"/>
  <c r="C45" i="11"/>
  <c r="D46" i="11"/>
  <c r="AG12" i="23"/>
  <c r="D94" i="11"/>
  <c r="AH15" i="23"/>
  <c r="AU23" i="23" s="1"/>
  <c r="AJ19" i="23"/>
  <c r="AH14" i="23"/>
  <c r="AX23" i="23" s="1"/>
  <c r="AH13" i="23"/>
  <c r="AJ18" i="23"/>
  <c r="AJ20" i="23"/>
  <c r="D57" i="11"/>
  <c r="D56" i="11"/>
  <c r="D58" i="11"/>
  <c r="D63" i="11"/>
  <c r="D62" i="11"/>
  <c r="D61" i="11"/>
  <c r="K58" i="11"/>
  <c r="K60" i="11"/>
  <c r="K65" i="11"/>
  <c r="K73" i="11"/>
  <c r="K81" i="11"/>
  <c r="K69" i="11"/>
  <c r="K78" i="11"/>
  <c r="K87" i="11"/>
  <c r="K71" i="11"/>
  <c r="K80" i="11"/>
  <c r="K64" i="11"/>
  <c r="K76" i="11"/>
  <c r="K50" i="11"/>
  <c r="K66" i="11"/>
  <c r="K77" i="11"/>
  <c r="K68" i="11"/>
  <c r="K82" i="11"/>
  <c r="K61" i="11"/>
  <c r="K83" i="11"/>
  <c r="K46" i="11"/>
  <c r="K63" i="11"/>
  <c r="K84" i="11"/>
  <c r="K67" i="11"/>
  <c r="K85" i="11"/>
  <c r="K59" i="11"/>
  <c r="K86" i="11"/>
  <c r="K70" i="11"/>
  <c r="K75" i="11"/>
  <c r="K72" i="11"/>
  <c r="C43" i="23"/>
  <c r="K74" i="11"/>
  <c r="K49" i="11"/>
  <c r="K79" i="11"/>
  <c r="BY12" i="23"/>
  <c r="AG19" i="23"/>
  <c r="BF27" i="23" s="1"/>
  <c r="AK19" i="23"/>
  <c r="BH20" i="23" s="1"/>
  <c r="K55" i="11"/>
  <c r="K56" i="11"/>
  <c r="K94" i="11"/>
  <c r="AL19" i="23"/>
  <c r="K57" i="11"/>
  <c r="E63" i="11"/>
  <c r="E71" i="11"/>
  <c r="E79" i="11"/>
  <c r="E87" i="11"/>
  <c r="E64" i="11"/>
  <c r="E73" i="11"/>
  <c r="E82" i="11"/>
  <c r="E58" i="11"/>
  <c r="E68" i="11"/>
  <c r="E78" i="11"/>
  <c r="E60" i="11"/>
  <c r="E70" i="11"/>
  <c r="E81" i="11"/>
  <c r="E66" i="11"/>
  <c r="E80" i="11"/>
  <c r="E67" i="11"/>
  <c r="E83" i="11"/>
  <c r="AE13" i="23"/>
  <c r="AS24" i="23" s="1"/>
  <c r="E57" i="11"/>
  <c r="E72" i="11"/>
  <c r="E85" i="11"/>
  <c r="E69" i="11"/>
  <c r="E74" i="11"/>
  <c r="E75" i="11"/>
  <c r="E59" i="11"/>
  <c r="E77" i="11"/>
  <c r="E84" i="11"/>
  <c r="E86" i="11"/>
  <c r="E65" i="11"/>
  <c r="E50" i="11"/>
  <c r="E76" i="11"/>
  <c r="C15" i="23"/>
  <c r="E61" i="11"/>
  <c r="E62" i="11"/>
  <c r="E49" i="11"/>
  <c r="E48" i="11" s="1"/>
  <c r="AI13" i="23"/>
  <c r="AG13" i="23"/>
  <c r="BA27" i="23" s="1"/>
  <c r="E94" i="11"/>
  <c r="E55" i="11"/>
  <c r="Q57" i="11"/>
  <c r="Q59" i="11"/>
  <c r="Q56" i="11"/>
  <c r="Q64" i="11"/>
  <c r="Q72" i="11"/>
  <c r="Q80" i="11"/>
  <c r="Q67" i="11"/>
  <c r="Q73" i="11"/>
  <c r="Q81" i="11"/>
  <c r="Q50" i="11"/>
  <c r="Q55" i="11"/>
  <c r="Q60" i="11"/>
  <c r="Q65" i="11"/>
  <c r="Q75" i="11"/>
  <c r="Q83" i="11"/>
  <c r="AG26" i="23"/>
  <c r="AX99" i="23" s="1"/>
  <c r="E23" i="23"/>
  <c r="Q62" i="11"/>
  <c r="Q77" i="11"/>
  <c r="Q58" i="11"/>
  <c r="Q78" i="11"/>
  <c r="Q79" i="11"/>
  <c r="Q69" i="11"/>
  <c r="Q86" i="11"/>
  <c r="Q94" i="11"/>
  <c r="Q70" i="11"/>
  <c r="Q87" i="11"/>
  <c r="Q74" i="11"/>
  <c r="Q84" i="11"/>
  <c r="Q61" i="11"/>
  <c r="Q85" i="11"/>
  <c r="Q46" i="11"/>
  <c r="Q49" i="11"/>
  <c r="Q76" i="11"/>
  <c r="Q71" i="11"/>
  <c r="Q82" i="11"/>
  <c r="Q63" i="11"/>
  <c r="CE12" i="23"/>
  <c r="AN24" i="23"/>
  <c r="AN26" i="23"/>
  <c r="AY96" i="23" s="1"/>
  <c r="Q66" i="11"/>
  <c r="AG55" i="11"/>
  <c r="AG59" i="11"/>
  <c r="AG58" i="11"/>
  <c r="AG67" i="11"/>
  <c r="AG69" i="11"/>
  <c r="AG71" i="11"/>
  <c r="AG73" i="11"/>
  <c r="AG75" i="11"/>
  <c r="AG77" i="11"/>
  <c r="AG79" i="11"/>
  <c r="AG81" i="11"/>
  <c r="AG56" i="11"/>
  <c r="AG66" i="11"/>
  <c r="AG68" i="11"/>
  <c r="AG72" i="11"/>
  <c r="AG76" i="11"/>
  <c r="AG80" i="11"/>
  <c r="AE45" i="23"/>
  <c r="BE147" i="23" s="1"/>
  <c r="AG70" i="11"/>
  <c r="AG74" i="11"/>
  <c r="AG57" i="11"/>
  <c r="AG61" i="11"/>
  <c r="AG65" i="11"/>
  <c r="AG87" i="11"/>
  <c r="AD46" i="23"/>
  <c r="K27" i="23"/>
  <c r="AG85" i="11"/>
  <c r="AG63" i="11"/>
  <c r="AG86" i="11"/>
  <c r="AG49" i="11"/>
  <c r="AG48" i="11" s="1"/>
  <c r="AG82" i="11"/>
  <c r="CU12" i="23"/>
  <c r="AG64" i="11"/>
  <c r="AG78" i="11"/>
  <c r="AH46" i="11"/>
  <c r="AG50" i="11"/>
  <c r="AG62" i="11"/>
  <c r="AG46" i="11"/>
  <c r="BF155" i="23"/>
  <c r="AG60" i="11"/>
  <c r="AI45" i="23"/>
  <c r="AI44" i="23" s="1"/>
  <c r="BG145" i="23"/>
  <c r="AG45" i="23"/>
  <c r="BH152" i="23" s="1"/>
  <c r="AG94" i="11"/>
  <c r="AG83" i="11"/>
  <c r="J69" i="11"/>
  <c r="J77" i="11"/>
  <c r="J85" i="11"/>
  <c r="J66" i="11"/>
  <c r="J75" i="11"/>
  <c r="J84" i="11"/>
  <c r="J58" i="11"/>
  <c r="J68" i="11"/>
  <c r="J78" i="11"/>
  <c r="J87" i="11"/>
  <c r="J67" i="11"/>
  <c r="J80" i="11"/>
  <c r="J70" i="11"/>
  <c r="J81" i="11"/>
  <c r="J72" i="11"/>
  <c r="J83" i="11"/>
  <c r="J50" i="11"/>
  <c r="C39" i="23"/>
  <c r="J74" i="11"/>
  <c r="J76" i="11"/>
  <c r="J60" i="11"/>
  <c r="J62" i="11"/>
  <c r="J79" i="11"/>
  <c r="AG18" i="23"/>
  <c r="BD27" i="23" s="1"/>
  <c r="J73" i="11"/>
  <c r="J82" i="11"/>
  <c r="J65" i="11"/>
  <c r="J63" i="11"/>
  <c r="J64" i="11"/>
  <c r="J49" i="11"/>
  <c r="BX12" i="23"/>
  <c r="J86" i="11"/>
  <c r="J59" i="11"/>
  <c r="J71" i="11"/>
  <c r="J46" i="11"/>
  <c r="AK18" i="23"/>
  <c r="J56" i="11"/>
  <c r="J94" i="11"/>
  <c r="AL18" i="23"/>
  <c r="J55" i="11"/>
  <c r="J57" i="11"/>
  <c r="W55" i="11"/>
  <c r="W62" i="11"/>
  <c r="W59" i="11"/>
  <c r="W60" i="11"/>
  <c r="W61" i="11"/>
  <c r="W66" i="11"/>
  <c r="W82" i="11"/>
  <c r="AD34" i="23"/>
  <c r="AD39" i="23"/>
  <c r="W58" i="11"/>
  <c r="W75" i="11"/>
  <c r="W83" i="11"/>
  <c r="W56" i="11"/>
  <c r="W70" i="11"/>
  <c r="W77" i="11"/>
  <c r="W85" i="11"/>
  <c r="W63" i="11"/>
  <c r="W71" i="11"/>
  <c r="W84" i="11"/>
  <c r="G27" i="23"/>
  <c r="X46" i="11"/>
  <c r="W67" i="11"/>
  <c r="W86" i="11"/>
  <c r="AD45" i="23"/>
  <c r="W49" i="11"/>
  <c r="W48" i="11" s="1"/>
  <c r="W87" i="11"/>
  <c r="W46" i="11"/>
  <c r="W65" i="11"/>
  <c r="W76" i="11"/>
  <c r="W78" i="11"/>
  <c r="W68" i="11"/>
  <c r="W80" i="11"/>
  <c r="W50" i="11"/>
  <c r="AD25" i="23"/>
  <c r="AE33" i="23"/>
  <c r="AS147" i="23" s="1"/>
  <c r="W57" i="11"/>
  <c r="CK12" i="23"/>
  <c r="W72" i="11"/>
  <c r="W81" i="11"/>
  <c r="W64" i="11"/>
  <c r="AT155" i="23"/>
  <c r="W69" i="11"/>
  <c r="W79" i="11"/>
  <c r="AG33" i="23"/>
  <c r="AV152" i="23" s="1"/>
  <c r="AU145" i="23"/>
  <c r="AI33" i="23"/>
  <c r="AI32" i="23" s="1"/>
  <c r="W94" i="11"/>
  <c r="W73" i="11"/>
  <c r="L61" i="11"/>
  <c r="L59" i="11"/>
  <c r="L71" i="11"/>
  <c r="L79" i="11"/>
  <c r="L87" i="11"/>
  <c r="L65" i="11"/>
  <c r="L73" i="11"/>
  <c r="L81" i="11"/>
  <c r="L60" i="11"/>
  <c r="L72" i="11"/>
  <c r="L83" i="11"/>
  <c r="L74" i="11"/>
  <c r="L84" i="11"/>
  <c r="L58" i="11"/>
  <c r="L66" i="11"/>
  <c r="L76" i="11"/>
  <c r="L86" i="11"/>
  <c r="L68" i="11"/>
  <c r="L85" i="11"/>
  <c r="C47" i="23"/>
  <c r="L69" i="11"/>
  <c r="L70" i="11"/>
  <c r="L64" i="11"/>
  <c r="L67" i="11"/>
  <c r="L77" i="11"/>
  <c r="L82" i="11"/>
  <c r="L50" i="11"/>
  <c r="L46" i="11"/>
  <c r="L78" i="11"/>
  <c r="L80" i="11"/>
  <c r="BZ12" i="23"/>
  <c r="L62" i="11"/>
  <c r="L49" i="11"/>
  <c r="L75" i="11"/>
  <c r="AG20" i="23"/>
  <c r="BH27" i="23" s="1"/>
  <c r="AK20" i="23"/>
  <c r="BF20" i="23" s="1"/>
  <c r="L94" i="11"/>
  <c r="L55" i="11"/>
  <c r="AL20" i="23"/>
  <c r="L56" i="11"/>
  <c r="L57" i="11"/>
  <c r="AC59" i="11"/>
  <c r="AC58" i="11"/>
  <c r="AC64" i="11"/>
  <c r="AC84" i="11"/>
  <c r="AE40" i="23"/>
  <c r="AY157" i="23" s="1"/>
  <c r="AC70" i="11"/>
  <c r="AC74" i="11"/>
  <c r="AC78" i="11"/>
  <c r="AC85" i="11"/>
  <c r="I31" i="23"/>
  <c r="AC60" i="11"/>
  <c r="AC87" i="11"/>
  <c r="AC61" i="11"/>
  <c r="AC72" i="11"/>
  <c r="AC86" i="11"/>
  <c r="AC55" i="11"/>
  <c r="AC56" i="11"/>
  <c r="AC63" i="11"/>
  <c r="AC62" i="11"/>
  <c r="AC71" i="11"/>
  <c r="AC75" i="11"/>
  <c r="AC73" i="11"/>
  <c r="AC57" i="11"/>
  <c r="AC68" i="11"/>
  <c r="AC83" i="11"/>
  <c r="AZ153" i="23"/>
  <c r="AC67" i="11"/>
  <c r="AC69" i="11"/>
  <c r="AC76" i="11"/>
  <c r="AC49" i="11"/>
  <c r="AC82" i="11"/>
  <c r="AC50" i="11"/>
  <c r="AC77" i="11"/>
  <c r="AC65" i="11"/>
  <c r="AC79" i="11"/>
  <c r="AC66" i="11"/>
  <c r="AM40" i="23"/>
  <c r="AG40" i="23"/>
  <c r="BB158" i="23" s="1"/>
  <c r="AM41" i="23"/>
  <c r="AC81" i="11"/>
  <c r="AC94" i="11"/>
  <c r="AB57" i="11"/>
  <c r="AB61" i="11"/>
  <c r="AB56" i="11"/>
  <c r="AB63" i="11"/>
  <c r="AB65" i="11"/>
  <c r="AB55" i="11"/>
  <c r="AB64" i="11"/>
  <c r="AB70" i="11"/>
  <c r="AB74" i="11"/>
  <c r="AB84" i="11"/>
  <c r="I27" i="23"/>
  <c r="AB62" i="11"/>
  <c r="AB85" i="11"/>
  <c r="AB67" i="11"/>
  <c r="AB69" i="11"/>
  <c r="AB71" i="11"/>
  <c r="AB73" i="11"/>
  <c r="AB75" i="11"/>
  <c r="AB77" i="11"/>
  <c r="AB87" i="11"/>
  <c r="AE39" i="23"/>
  <c r="AY147" i="23" s="1"/>
  <c r="AB60" i="11"/>
  <c r="AB59" i="11"/>
  <c r="AB80" i="11"/>
  <c r="AB58" i="11"/>
  <c r="AB86" i="11"/>
  <c r="AB76" i="11"/>
  <c r="AD40" i="23"/>
  <c r="AB50" i="11"/>
  <c r="AB66" i="11"/>
  <c r="AB72" i="11"/>
  <c r="AB82" i="11"/>
  <c r="AZ155" i="23"/>
  <c r="AB68" i="11"/>
  <c r="AB81" i="11"/>
  <c r="AC46" i="11"/>
  <c r="AB46" i="11"/>
  <c r="AB83" i="11"/>
  <c r="AB49" i="11"/>
  <c r="CP12" i="23"/>
  <c r="AI39" i="23"/>
  <c r="AI38" i="23" s="1"/>
  <c r="BA145" i="23"/>
  <c r="AG39" i="23"/>
  <c r="BB152" i="23" s="1"/>
  <c r="AB94" i="11"/>
  <c r="AB78" i="11"/>
  <c r="AI56" i="11"/>
  <c r="AI57" i="11"/>
  <c r="AI59" i="11"/>
  <c r="AI60" i="11"/>
  <c r="AI64" i="11"/>
  <c r="AI58" i="11"/>
  <c r="AI63" i="11"/>
  <c r="AI65" i="11"/>
  <c r="AI87" i="11"/>
  <c r="AI55" i="11"/>
  <c r="AI61" i="11"/>
  <c r="AI66" i="11"/>
  <c r="AI68" i="11"/>
  <c r="AI72" i="11"/>
  <c r="AI76" i="11"/>
  <c r="AI80" i="11"/>
  <c r="AI84" i="11"/>
  <c r="AI50" i="11"/>
  <c r="AI62" i="11"/>
  <c r="AI67" i="11"/>
  <c r="AI77" i="11"/>
  <c r="AI79" i="11"/>
  <c r="AI69" i="11"/>
  <c r="AI70" i="11"/>
  <c r="AI74" i="11"/>
  <c r="AI75" i="11"/>
  <c r="AG47" i="23"/>
  <c r="BG164" i="23" s="1"/>
  <c r="AI81" i="11"/>
  <c r="K35" i="23"/>
  <c r="AI78" i="11"/>
  <c r="CW12" i="23"/>
  <c r="AI71" i="11"/>
  <c r="AI49" i="11"/>
  <c r="AI48" i="11" s="1"/>
  <c r="AI73" i="11"/>
  <c r="AI83" i="11"/>
  <c r="AI82" i="11"/>
  <c r="AI46" i="11"/>
  <c r="AI94" i="11"/>
  <c r="AN47" i="23"/>
  <c r="AN46" i="23"/>
  <c r="BF159" i="23"/>
  <c r="AI85" i="11"/>
  <c r="AD58" i="11"/>
  <c r="AD56" i="11"/>
  <c r="AD57" i="11"/>
  <c r="AD63" i="11"/>
  <c r="AD65" i="11"/>
  <c r="AD61" i="11"/>
  <c r="AD86" i="11"/>
  <c r="AD64" i="11"/>
  <c r="AD87" i="11"/>
  <c r="AD62" i="11"/>
  <c r="AD94" i="11"/>
  <c r="AD84" i="11"/>
  <c r="AD60" i="11"/>
  <c r="AD72" i="11"/>
  <c r="AD85" i="11"/>
  <c r="AD50" i="11"/>
  <c r="I35" i="23"/>
  <c r="AD55" i="11"/>
  <c r="AD78" i="11"/>
  <c r="AD66" i="11"/>
  <c r="AD71" i="11"/>
  <c r="AD75" i="11"/>
  <c r="AD59" i="11"/>
  <c r="AD76" i="11"/>
  <c r="AD77" i="11"/>
  <c r="AD79" i="11"/>
  <c r="AD83" i="11"/>
  <c r="AD67" i="11"/>
  <c r="AD69" i="11"/>
  <c r="AD74" i="11"/>
  <c r="AG41" i="23"/>
  <c r="BA164" i="23" s="1"/>
  <c r="AD49" i="11"/>
  <c r="AD48" i="11" s="1"/>
  <c r="AD70" i="11"/>
  <c r="AD46" i="11"/>
  <c r="CR12" i="23"/>
  <c r="AD73" i="11"/>
  <c r="AD82" i="11"/>
  <c r="AD68" i="11"/>
  <c r="AN41" i="23"/>
  <c r="AN40" i="23"/>
  <c r="AZ159" i="23"/>
  <c r="AD80" i="11"/>
  <c r="T57" i="11"/>
  <c r="T61" i="11"/>
  <c r="T63" i="11"/>
  <c r="T55" i="11"/>
  <c r="T67" i="11"/>
  <c r="T56" i="11"/>
  <c r="T58" i="11"/>
  <c r="T70" i="11"/>
  <c r="T76" i="11"/>
  <c r="T84" i="11"/>
  <c r="T77" i="11"/>
  <c r="T85" i="11"/>
  <c r="T69" i="11"/>
  <c r="T79" i="11"/>
  <c r="T87" i="11"/>
  <c r="T68" i="11"/>
  <c r="T72" i="11"/>
  <c r="T83" i="11"/>
  <c r="T62" i="11"/>
  <c r="T73" i="11"/>
  <c r="T86" i="11"/>
  <c r="T74" i="11"/>
  <c r="T50" i="11"/>
  <c r="T81" i="11"/>
  <c r="T82" i="11"/>
  <c r="T78" i="11"/>
  <c r="T46" i="11"/>
  <c r="T60" i="11"/>
  <c r="E43" i="23"/>
  <c r="T75" i="11"/>
  <c r="CH12" i="23"/>
  <c r="T59" i="11"/>
  <c r="T49" i="11"/>
  <c r="T80" i="11"/>
  <c r="AG29" i="23"/>
  <c r="BH91" i="23" s="1"/>
  <c r="T65" i="11"/>
  <c r="AK29" i="23"/>
  <c r="BH84" i="23" s="1"/>
  <c r="T94" i="11"/>
  <c r="AL29" i="23"/>
  <c r="T66" i="11"/>
  <c r="T64" i="11"/>
  <c r="Z57" i="11"/>
  <c r="Z59" i="11"/>
  <c r="Z55" i="11"/>
  <c r="Z62" i="11"/>
  <c r="Z82" i="11"/>
  <c r="Z60" i="11"/>
  <c r="Z67" i="11"/>
  <c r="Z69" i="11"/>
  <c r="Z71" i="11"/>
  <c r="Z75" i="11"/>
  <c r="Z83" i="11"/>
  <c r="Z58" i="11"/>
  <c r="Z66" i="11"/>
  <c r="Z85" i="11"/>
  <c r="Z56" i="11"/>
  <c r="Z63" i="11"/>
  <c r="Z64" i="11"/>
  <c r="Z78" i="11"/>
  <c r="Z79" i="11"/>
  <c r="Z76" i="11"/>
  <c r="Z84" i="11"/>
  <c r="Z65" i="11"/>
  <c r="Z86" i="11"/>
  <c r="Z50" i="11"/>
  <c r="AG36" i="23"/>
  <c r="AX151" i="23" s="1"/>
  <c r="Z80" i="11"/>
  <c r="Z46" i="11"/>
  <c r="CN12" i="23"/>
  <c r="Z68" i="11"/>
  <c r="Z87" i="11"/>
  <c r="Z81" i="11"/>
  <c r="Z61" i="11"/>
  <c r="Z70" i="11"/>
  <c r="G47" i="23"/>
  <c r="Z49" i="11"/>
  <c r="Z48" i="11" s="1"/>
  <c r="Z72" i="11"/>
  <c r="Z94" i="11"/>
  <c r="AX144" i="23"/>
  <c r="AK36" i="23"/>
  <c r="AK32" i="23" s="1"/>
  <c r="AL36" i="23"/>
  <c r="AL33" i="23" s="1"/>
  <c r="AV147" i="23" s="1"/>
  <c r="Z74" i="11"/>
  <c r="Z73" i="11"/>
  <c r="H60" i="11"/>
  <c r="H67" i="11"/>
  <c r="H75" i="11"/>
  <c r="H83" i="11"/>
  <c r="H58" i="11"/>
  <c r="H66" i="11"/>
  <c r="H76" i="11"/>
  <c r="H85" i="11"/>
  <c r="H69" i="11"/>
  <c r="H78" i="11"/>
  <c r="H87" i="11"/>
  <c r="H68" i="11"/>
  <c r="H80" i="11"/>
  <c r="C23" i="23"/>
  <c r="H70" i="11"/>
  <c r="H81" i="11"/>
  <c r="H55" i="11"/>
  <c r="H61" i="11"/>
  <c r="H72" i="11"/>
  <c r="H84" i="11"/>
  <c r="H65" i="11"/>
  <c r="H56" i="11"/>
  <c r="H71" i="11"/>
  <c r="H73" i="11"/>
  <c r="H50" i="11"/>
  <c r="H77" i="11"/>
  <c r="H79" i="11"/>
  <c r="H82" i="11"/>
  <c r="H64" i="11"/>
  <c r="H74" i="11"/>
  <c r="H46" i="11"/>
  <c r="H62" i="11"/>
  <c r="BV12" i="23"/>
  <c r="H63" i="11"/>
  <c r="H86" i="11"/>
  <c r="H49" i="11"/>
  <c r="AG16" i="23"/>
  <c r="AX35" i="23" s="1"/>
  <c r="H94" i="11"/>
  <c r="AN14" i="23"/>
  <c r="AN16" i="23"/>
  <c r="AY32" i="23" s="1"/>
  <c r="H57" i="11"/>
  <c r="Y56" i="11"/>
  <c r="Y62" i="11"/>
  <c r="Y59" i="11"/>
  <c r="Y60" i="11"/>
  <c r="Y61" i="11"/>
  <c r="Y66" i="11"/>
  <c r="Y67" i="11"/>
  <c r="Y69" i="11"/>
  <c r="Y71" i="11"/>
  <c r="Y73" i="11"/>
  <c r="Y80" i="11"/>
  <c r="Y57" i="11"/>
  <c r="Y63" i="11"/>
  <c r="Y65" i="11"/>
  <c r="Y68" i="11"/>
  <c r="Y72" i="11"/>
  <c r="Y81" i="11"/>
  <c r="AG35" i="23"/>
  <c r="AU164" i="23" s="1"/>
  <c r="Y55" i="11"/>
  <c r="Y83" i="11"/>
  <c r="Y64" i="11"/>
  <c r="Y85" i="11"/>
  <c r="Y86" i="11"/>
  <c r="Y94" i="11"/>
  <c r="Y87" i="11"/>
  <c r="Y50" i="11"/>
  <c r="G35" i="23"/>
  <c r="Y84" i="11"/>
  <c r="Y70" i="11"/>
  <c r="Y74" i="11"/>
  <c r="Y79" i="11"/>
  <c r="Y58" i="11"/>
  <c r="Y82" i="11"/>
  <c r="Y77" i="11"/>
  <c r="Y49" i="11"/>
  <c r="Y48" i="11" s="1"/>
  <c r="CM12" i="23"/>
  <c r="Y78" i="11"/>
  <c r="Y46" i="11"/>
  <c r="AN34" i="23"/>
  <c r="AT159" i="23"/>
  <c r="AN35" i="23"/>
  <c r="Y75" i="11"/>
  <c r="O55" i="11"/>
  <c r="O62" i="11"/>
  <c r="O69" i="11"/>
  <c r="O77" i="11"/>
  <c r="O85" i="11"/>
  <c r="O59" i="11"/>
  <c r="O71" i="11"/>
  <c r="O80" i="11"/>
  <c r="O65" i="11"/>
  <c r="O72" i="11"/>
  <c r="O81" i="11"/>
  <c r="AD23" i="23"/>
  <c r="O57" i="11"/>
  <c r="O74" i="11"/>
  <c r="O83" i="11"/>
  <c r="O79" i="11"/>
  <c r="AE24" i="23"/>
  <c r="AS89" i="23" s="1"/>
  <c r="O67" i="11"/>
  <c r="O82" i="11"/>
  <c r="O61" i="11"/>
  <c r="O84" i="11"/>
  <c r="E19" i="23"/>
  <c r="O56" i="11"/>
  <c r="O87" i="11"/>
  <c r="O63" i="11"/>
  <c r="O60" i="11"/>
  <c r="O73" i="11"/>
  <c r="O78" i="11"/>
  <c r="O86" i="11"/>
  <c r="O50" i="11"/>
  <c r="O75" i="11"/>
  <c r="O70" i="11"/>
  <c r="O76" i="11"/>
  <c r="O49" i="11"/>
  <c r="CC12" i="23"/>
  <c r="O46" i="11"/>
  <c r="AG24" i="23"/>
  <c r="AX95" i="23" s="1"/>
  <c r="AM24" i="23"/>
  <c r="AI24" i="23"/>
  <c r="AM26" i="23"/>
  <c r="O68" i="11"/>
  <c r="O94" i="11"/>
  <c r="O64" i="11"/>
  <c r="U59" i="11"/>
  <c r="U58" i="11"/>
  <c r="U55" i="11"/>
  <c r="U76" i="11"/>
  <c r="U84" i="11"/>
  <c r="U56" i="11"/>
  <c r="U70" i="11"/>
  <c r="U77" i="11"/>
  <c r="U85" i="11"/>
  <c r="U79" i="11"/>
  <c r="U87" i="11"/>
  <c r="U78" i="11"/>
  <c r="U68" i="11"/>
  <c r="U69" i="11"/>
  <c r="U80" i="11"/>
  <c r="U62" i="11"/>
  <c r="U81" i="11"/>
  <c r="U57" i="11"/>
  <c r="U61" i="11"/>
  <c r="U73" i="11"/>
  <c r="U67" i="11"/>
  <c r="U75" i="11"/>
  <c r="U50" i="11"/>
  <c r="U71" i="11"/>
  <c r="U86" i="11"/>
  <c r="U82" i="11"/>
  <c r="U60" i="11"/>
  <c r="U83" i="11"/>
  <c r="E47" i="23"/>
  <c r="U63" i="11"/>
  <c r="CI12" i="23"/>
  <c r="U46" i="11"/>
  <c r="U49" i="11"/>
  <c r="U74" i="11"/>
  <c r="AG30" i="23"/>
  <c r="BF91" i="23" s="1"/>
  <c r="AL30" i="23"/>
  <c r="AK30" i="23"/>
  <c r="BF84" i="23" s="1"/>
  <c r="U65" i="11"/>
  <c r="U94" i="11"/>
  <c r="U66" i="11"/>
  <c r="U64" i="11"/>
  <c r="AH55" i="11"/>
  <c r="AH56" i="11"/>
  <c r="AH62" i="11"/>
  <c r="AH60" i="11"/>
  <c r="AH61" i="11"/>
  <c r="AH63" i="11"/>
  <c r="AH65" i="11"/>
  <c r="AH67" i="11"/>
  <c r="AH69" i="11"/>
  <c r="AH71" i="11"/>
  <c r="AH73" i="11"/>
  <c r="AH75" i="11"/>
  <c r="AH77" i="11"/>
  <c r="AH79" i="11"/>
  <c r="AH81" i="11"/>
  <c r="AH83" i="11"/>
  <c r="AH87" i="11"/>
  <c r="AH68" i="11"/>
  <c r="AH70" i="11"/>
  <c r="AH74" i="11"/>
  <c r="AH76" i="11"/>
  <c r="AH84" i="11"/>
  <c r="AH50" i="11"/>
  <c r="AH57" i="11"/>
  <c r="AH59" i="11"/>
  <c r="AH66" i="11"/>
  <c r="AE46" i="23"/>
  <c r="BE157" i="23" s="1"/>
  <c r="AH82" i="11"/>
  <c r="AH72" i="11"/>
  <c r="K31" i="23"/>
  <c r="AH80" i="11"/>
  <c r="AH64" i="11"/>
  <c r="BF153" i="23"/>
  <c r="AH58" i="11"/>
  <c r="AH49" i="11"/>
  <c r="AH78" i="11"/>
  <c r="AG46" i="23"/>
  <c r="BH158" i="23" s="1"/>
  <c r="AH94" i="11"/>
  <c r="AM46" i="23"/>
  <c r="AM47" i="23"/>
  <c r="AH86" i="11"/>
  <c r="M59" i="11"/>
  <c r="M79" i="11"/>
  <c r="M87" i="11"/>
  <c r="M63" i="11"/>
  <c r="M73" i="11"/>
  <c r="M81" i="11"/>
  <c r="M55" i="11"/>
  <c r="M62" i="11"/>
  <c r="M77" i="11"/>
  <c r="E11" i="23"/>
  <c r="M57" i="11"/>
  <c r="M60" i="11"/>
  <c r="M68" i="11"/>
  <c r="M78" i="11"/>
  <c r="M82" i="11"/>
  <c r="AE22" i="23"/>
  <c r="AU74" i="23" s="1"/>
  <c r="M86" i="11"/>
  <c r="AF22" i="23"/>
  <c r="AZ72" i="23" s="1"/>
  <c r="AD32" i="23"/>
  <c r="M61" i="11"/>
  <c r="M74" i="11"/>
  <c r="M49" i="11"/>
  <c r="M75" i="11"/>
  <c r="AD12" i="23"/>
  <c r="M46" i="11"/>
  <c r="M69" i="11"/>
  <c r="M76" i="11"/>
  <c r="M83" i="11"/>
  <c r="M50" i="11"/>
  <c r="M58" i="11"/>
  <c r="M84" i="11"/>
  <c r="M85" i="11"/>
  <c r="CA12" i="23"/>
  <c r="M80" i="11"/>
  <c r="M56" i="11"/>
  <c r="AG22" i="23"/>
  <c r="AX72" i="23" s="1"/>
  <c r="M94" i="11"/>
  <c r="AH25" i="23"/>
  <c r="AU87" i="23" s="1"/>
  <c r="AJ28" i="23"/>
  <c r="AH24" i="23"/>
  <c r="AX87" i="23" s="1"/>
  <c r="AH23" i="23"/>
  <c r="AJ30" i="23"/>
  <c r="AJ29" i="23"/>
  <c r="M65" i="11"/>
  <c r="M71" i="11"/>
  <c r="M72" i="11"/>
  <c r="M67" i="11"/>
  <c r="M66" i="11"/>
  <c r="M70" i="11"/>
  <c r="S55" i="11"/>
  <c r="S56" i="11"/>
  <c r="S60" i="11"/>
  <c r="S58" i="11"/>
  <c r="S63" i="11"/>
  <c r="S57" i="11"/>
  <c r="S78" i="11"/>
  <c r="S86" i="11"/>
  <c r="S59" i="11"/>
  <c r="S61" i="11"/>
  <c r="S71" i="11"/>
  <c r="S79" i="11"/>
  <c r="S87" i="11"/>
  <c r="S62" i="11"/>
  <c r="S67" i="11"/>
  <c r="S68" i="11"/>
  <c r="S73" i="11"/>
  <c r="S81" i="11"/>
  <c r="S69" i="11"/>
  <c r="S80" i="11"/>
  <c r="S82" i="11"/>
  <c r="S83" i="11"/>
  <c r="S75" i="11"/>
  <c r="S76" i="11"/>
  <c r="S84" i="11"/>
  <c r="E39" i="23"/>
  <c r="S72" i="11"/>
  <c r="S85" i="11"/>
  <c r="S77" i="11"/>
  <c r="CG12" i="23"/>
  <c r="S49" i="11"/>
  <c r="S50" i="11"/>
  <c r="S74" i="11"/>
  <c r="S46" i="11"/>
  <c r="AG28" i="23"/>
  <c r="BD91" i="23" s="1"/>
  <c r="AL28" i="23"/>
  <c r="AK28" i="23"/>
  <c r="S65" i="11"/>
  <c r="S94" i="11"/>
  <c r="S64" i="11"/>
  <c r="S66" i="11"/>
  <c r="F65" i="11"/>
  <c r="F73" i="11"/>
  <c r="F81" i="11"/>
  <c r="F66" i="11"/>
  <c r="F75" i="11"/>
  <c r="F84" i="11"/>
  <c r="F56" i="11"/>
  <c r="F69" i="11"/>
  <c r="F79" i="11"/>
  <c r="F61" i="11"/>
  <c r="F71" i="11"/>
  <c r="F82" i="11"/>
  <c r="F60" i="11"/>
  <c r="F74" i="11"/>
  <c r="F87" i="11"/>
  <c r="AD15" i="23"/>
  <c r="F62" i="11"/>
  <c r="F76" i="11"/>
  <c r="F64" i="11"/>
  <c r="F78" i="11"/>
  <c r="F72" i="11"/>
  <c r="AD13" i="23"/>
  <c r="F77" i="11"/>
  <c r="F50" i="11"/>
  <c r="F80" i="11"/>
  <c r="F63" i="11"/>
  <c r="F85" i="11"/>
  <c r="F67" i="11"/>
  <c r="F68" i="11"/>
  <c r="F83" i="11"/>
  <c r="C19" i="23"/>
  <c r="F46" i="11"/>
  <c r="BT12" i="23"/>
  <c r="F86" i="11"/>
  <c r="F70" i="11"/>
  <c r="F58" i="11"/>
  <c r="F49" i="11"/>
  <c r="AI14" i="23"/>
  <c r="AX21" i="23" s="1"/>
  <c r="F55" i="11"/>
  <c r="AG14" i="23"/>
  <c r="AX31" i="23" s="1"/>
  <c r="AM16" i="23"/>
  <c r="F94" i="11"/>
  <c r="AM14" i="23"/>
  <c r="F59" i="11"/>
  <c r="AE48" i="11" l="1"/>
  <c r="M48" i="11"/>
  <c r="H48" i="11"/>
  <c r="AB48" i="11"/>
  <c r="O48" i="11"/>
  <c r="L48" i="11"/>
  <c r="K48" i="11"/>
  <c r="F48" i="11"/>
  <c r="U48" i="11"/>
  <c r="J48" i="11"/>
  <c r="S48" i="11"/>
  <c r="T48" i="11"/>
  <c r="Q48" i="11"/>
  <c r="AL13" i="23"/>
  <c r="BB23" i="23" s="1"/>
  <c r="AL14" i="23"/>
  <c r="AY23" i="23" s="1"/>
  <c r="AG51" i="11"/>
  <c r="W27" i="23" s="1"/>
  <c r="Q27" i="23"/>
  <c r="Q28" i="23" s="1"/>
  <c r="Q29" i="23" s="1"/>
  <c r="AU147" i="23"/>
  <c r="AH32" i="23"/>
  <c r="BD86" i="23"/>
  <c r="AJ22" i="23"/>
  <c r="BF161" i="23"/>
  <c r="E56" i="11"/>
  <c r="E92" i="11" s="1"/>
  <c r="C94" i="11"/>
  <c r="AD81" i="11"/>
  <c r="AD92" i="11" s="1"/>
  <c r="Q68" i="11"/>
  <c r="Q92" i="11" s="1"/>
  <c r="X75" i="11"/>
  <c r="X92" i="11" s="1"/>
  <c r="V73" i="11"/>
  <c r="V93" i="11" s="1"/>
  <c r="P48" i="11"/>
  <c r="BA85" i="23"/>
  <c r="AI22" i="23"/>
  <c r="AJ44" i="23"/>
  <c r="BJ146" i="23"/>
  <c r="AT161" i="23"/>
  <c r="AK22" i="23"/>
  <c r="BD84" i="23"/>
  <c r="AH51" i="11"/>
  <c r="W31" i="23" s="1"/>
  <c r="Q31" i="23"/>
  <c r="Q32" i="23" s="1"/>
  <c r="Q33" i="23" s="1"/>
  <c r="C25" i="23"/>
  <c r="C24" i="23"/>
  <c r="Z51" i="11"/>
  <c r="U47" i="23" s="1"/>
  <c r="O47" i="23"/>
  <c r="O49" i="23"/>
  <c r="O48" i="23" s="1"/>
  <c r="AF36" i="23"/>
  <c r="AX164" i="23" s="1"/>
  <c r="K36" i="23"/>
  <c r="BB175" i="23"/>
  <c r="K37" i="23"/>
  <c r="C49" i="23"/>
  <c r="C48" i="23"/>
  <c r="AZ173" i="23"/>
  <c r="G29" i="23"/>
  <c r="G28" i="23"/>
  <c r="BB173" i="23"/>
  <c r="K29" i="23"/>
  <c r="K28" i="23"/>
  <c r="F57" i="11"/>
  <c r="F92" i="11" s="1"/>
  <c r="AX8" i="23"/>
  <c r="AG49" i="23"/>
  <c r="AH85" i="11"/>
  <c r="AH92" i="11" s="1"/>
  <c r="I60" i="11"/>
  <c r="I92" i="11" s="1"/>
  <c r="M64" i="11"/>
  <c r="M92" i="11" s="1"/>
  <c r="AZ136" i="23"/>
  <c r="P51" i="11"/>
  <c r="T27" i="23" s="1"/>
  <c r="N27" i="23"/>
  <c r="E37" i="23"/>
  <c r="E36" i="23"/>
  <c r="N51" i="11"/>
  <c r="T15" i="23" s="1"/>
  <c r="N15" i="23"/>
  <c r="AH44" i="23"/>
  <c r="AO44" i="23" s="1"/>
  <c r="BG147" i="23"/>
  <c r="G51" i="11"/>
  <c r="S27" i="23" s="1"/>
  <c r="M27" i="23"/>
  <c r="C28" i="23"/>
  <c r="C29" i="23"/>
  <c r="AZ176" i="23"/>
  <c r="G49" i="23"/>
  <c r="G48" i="23"/>
  <c r="AI12" i="23"/>
  <c r="BA21" i="23"/>
  <c r="M93" i="11"/>
  <c r="BA173" i="23"/>
  <c r="I29" i="23"/>
  <c r="I28" i="23"/>
  <c r="AJ32" i="23"/>
  <c r="AO32" i="23" s="1"/>
  <c r="AX146" i="23"/>
  <c r="O11" i="23"/>
  <c r="V51" i="11"/>
  <c r="U11" i="23" s="1"/>
  <c r="AL24" i="23"/>
  <c r="AL23" i="23"/>
  <c r="BB87" i="23" s="1"/>
  <c r="M51" i="11"/>
  <c r="T11" i="23" s="1"/>
  <c r="N11" i="23"/>
  <c r="BB174" i="23"/>
  <c r="K32" i="23"/>
  <c r="K33" i="23"/>
  <c r="U51" i="11"/>
  <c r="T47" i="23" s="1"/>
  <c r="N49" i="23"/>
  <c r="N48" i="23" s="1"/>
  <c r="N47" i="23"/>
  <c r="AZ124" i="23" s="1"/>
  <c r="AF30" i="23"/>
  <c r="BF111" i="23" s="1"/>
  <c r="AD93" i="11"/>
  <c r="BA174" i="23"/>
  <c r="I32" i="23"/>
  <c r="I33" i="23"/>
  <c r="L51" i="11"/>
  <c r="S47" i="23" s="1"/>
  <c r="M47" i="23"/>
  <c r="AZ59" i="23" s="1"/>
  <c r="M49" i="23"/>
  <c r="M48" i="23" s="1"/>
  <c r="AF20" i="23"/>
  <c r="BF47" i="23" s="1"/>
  <c r="AK12" i="23"/>
  <c r="BD20" i="23"/>
  <c r="AO46" i="23"/>
  <c r="BF157" i="23"/>
  <c r="AF26" i="23"/>
  <c r="AX111" i="23" s="1"/>
  <c r="Q51" i="11"/>
  <c r="T23" i="23" s="1"/>
  <c r="N23" i="23"/>
  <c r="AZ120" i="23" s="1"/>
  <c r="N25" i="23"/>
  <c r="N24" i="23" s="1"/>
  <c r="BF22" i="23"/>
  <c r="C46" i="11"/>
  <c r="W74" i="11"/>
  <c r="W92" i="11" s="1"/>
  <c r="AI86" i="11"/>
  <c r="AI92" i="11" s="1"/>
  <c r="AF83" i="11"/>
  <c r="AF93" i="11" s="1"/>
  <c r="AJ87" i="11"/>
  <c r="AJ92" i="11" s="1"/>
  <c r="AF27" i="23"/>
  <c r="AV111" i="23" s="1"/>
  <c r="R51" i="11"/>
  <c r="T35" i="23" s="1"/>
  <c r="N37" i="23"/>
  <c r="N36" i="23" s="1"/>
  <c r="N35" i="23"/>
  <c r="AZ121" i="23" s="1"/>
  <c r="BD146" i="23"/>
  <c r="AJ38" i="23"/>
  <c r="BD151" i="23"/>
  <c r="AA51" i="11"/>
  <c r="V11" i="23" s="1"/>
  <c r="P11" i="23"/>
  <c r="BB176" i="23"/>
  <c r="K48" i="23"/>
  <c r="K49" i="23"/>
  <c r="AF51" i="11"/>
  <c r="W11" i="23" s="1"/>
  <c r="Q11" i="23"/>
  <c r="I49" i="23"/>
  <c r="I48" i="23"/>
  <c r="BA176" i="23"/>
  <c r="X48" i="11"/>
  <c r="AS9" i="23"/>
  <c r="AO40" i="23"/>
  <c r="AZ157" i="23"/>
  <c r="M43" i="23"/>
  <c r="AZ58" i="23" s="1"/>
  <c r="M45" i="23"/>
  <c r="M44" i="23" s="1"/>
  <c r="K51" i="11"/>
  <c r="S43" i="23" s="1"/>
  <c r="AF19" i="23"/>
  <c r="BH47" i="23" s="1"/>
  <c r="AZ8" i="23"/>
  <c r="AE82" i="11"/>
  <c r="AE92" i="11" s="1"/>
  <c r="C37" i="23"/>
  <c r="C36" i="23"/>
  <c r="T51" i="11"/>
  <c r="T43" i="23" s="1"/>
  <c r="N45" i="23"/>
  <c r="N44" i="23" s="1"/>
  <c r="N43" i="23"/>
  <c r="AZ123" i="23" s="1"/>
  <c r="AF29" i="23"/>
  <c r="BH111" i="23" s="1"/>
  <c r="AU90" i="23"/>
  <c r="AO25" i="23"/>
  <c r="C16" i="23"/>
  <c r="C17" i="23"/>
  <c r="AB79" i="11"/>
  <c r="AB92" i="11" s="1"/>
  <c r="AT147" i="23"/>
  <c r="AO33" i="23"/>
  <c r="AH38" i="23"/>
  <c r="BA147" i="23"/>
  <c r="I51" i="23"/>
  <c r="J31" i="23" s="1"/>
  <c r="BB156" i="23" s="1"/>
  <c r="BA172" i="23"/>
  <c r="I13" i="23"/>
  <c r="I12" i="23"/>
  <c r="E40" i="23"/>
  <c r="E41" i="23"/>
  <c r="BH86" i="23"/>
  <c r="AT136" i="23"/>
  <c r="E49" i="23"/>
  <c r="E48" i="23"/>
  <c r="AY98" i="23"/>
  <c r="AF35" i="23"/>
  <c r="AV164" i="23" s="1"/>
  <c r="Y51" i="11"/>
  <c r="U35" i="23" s="1"/>
  <c r="O37" i="23"/>
  <c r="O36" i="23" s="1"/>
  <c r="O35" i="23"/>
  <c r="AF41" i="23"/>
  <c r="BB164" i="23" s="1"/>
  <c r="AD51" i="11"/>
  <c r="V35" i="23" s="1"/>
  <c r="P35" i="23"/>
  <c r="P37" i="23"/>
  <c r="P36" i="23" s="1"/>
  <c r="AI51" i="11"/>
  <c r="W35" i="23" s="1"/>
  <c r="AF47" i="23"/>
  <c r="BH164" i="23" s="1"/>
  <c r="Q35" i="23"/>
  <c r="Q37" i="23"/>
  <c r="Q36" i="23" s="1"/>
  <c r="AI93" i="11"/>
  <c r="AC51" i="11"/>
  <c r="V31" i="23" s="1"/>
  <c r="P31" i="23"/>
  <c r="P32" i="23" s="1"/>
  <c r="P33" i="23" s="1"/>
  <c r="W51" i="11"/>
  <c r="U27" i="23" s="1"/>
  <c r="O27" i="23"/>
  <c r="O28" i="23" s="1"/>
  <c r="O29" i="23" s="1"/>
  <c r="AZ147" i="23"/>
  <c r="AO39" i="23"/>
  <c r="W93" i="11"/>
  <c r="C40" i="23"/>
  <c r="C41" i="23"/>
  <c r="D55" i="11"/>
  <c r="J61" i="11"/>
  <c r="J93" i="11" s="1"/>
  <c r="AH12" i="23"/>
  <c r="BA23" i="23"/>
  <c r="C51" i="23"/>
  <c r="D27" i="23" s="1"/>
  <c r="AV37" i="23" s="1"/>
  <c r="C13" i="23"/>
  <c r="C12" i="23"/>
  <c r="Z77" i="11"/>
  <c r="Z92" i="11" s="1"/>
  <c r="AA78" i="11"/>
  <c r="AA93" i="11" s="1"/>
  <c r="AC80" i="11"/>
  <c r="AC93" i="11" s="1"/>
  <c r="T71" i="11"/>
  <c r="T92" i="11" s="1"/>
  <c r="BF136" i="23"/>
  <c r="AO27" i="23"/>
  <c r="AU106" i="23"/>
  <c r="AU42" i="23"/>
  <c r="G48" i="11"/>
  <c r="O31" i="23"/>
  <c r="O32" i="23" s="1"/>
  <c r="O33" i="23" s="1"/>
  <c r="X51" i="11"/>
  <c r="U31" i="23" s="1"/>
  <c r="G58" i="11"/>
  <c r="G93" i="11" s="1"/>
  <c r="E17" i="23"/>
  <c r="E16" i="23"/>
  <c r="G36" i="23"/>
  <c r="AZ175" i="23"/>
  <c r="G37" i="23"/>
  <c r="I36" i="23"/>
  <c r="J36" i="23" s="1"/>
  <c r="BA175" i="23"/>
  <c r="I37" i="23"/>
  <c r="AJ12" i="23"/>
  <c r="BD22" i="23"/>
  <c r="G51" i="23"/>
  <c r="H35" i="23" s="1"/>
  <c r="AV162" i="23" s="1"/>
  <c r="AZ172" i="23"/>
  <c r="G13" i="23"/>
  <c r="G12" i="23"/>
  <c r="H12" i="23" s="1"/>
  <c r="AY34" i="23"/>
  <c r="AU26" i="23"/>
  <c r="AO15" i="23"/>
  <c r="E45" i="23"/>
  <c r="E44" i="23"/>
  <c r="AB93" i="11"/>
  <c r="AO41" i="23"/>
  <c r="AZ161" i="23"/>
  <c r="BF147" i="23"/>
  <c r="AO45" i="23"/>
  <c r="AO34" i="23"/>
  <c r="AT157" i="23"/>
  <c r="J51" i="11"/>
  <c r="S39" i="23" s="1"/>
  <c r="M41" i="23"/>
  <c r="M40" i="23" s="1"/>
  <c r="M39" i="23"/>
  <c r="AZ57" i="23" s="1"/>
  <c r="AF18" i="23"/>
  <c r="BD47" i="23" s="1"/>
  <c r="AD14" i="23"/>
  <c r="E51" i="11"/>
  <c r="S15" i="23" s="1"/>
  <c r="M15" i="23"/>
  <c r="K62" i="11"/>
  <c r="K93" i="11" s="1"/>
  <c r="C49" i="11"/>
  <c r="D48" i="11"/>
  <c r="AS73" i="23"/>
  <c r="O66" i="11"/>
  <c r="O93" i="11" s="1"/>
  <c r="R69" i="11"/>
  <c r="R93" i="11" s="1"/>
  <c r="I51" i="11"/>
  <c r="S35" i="23" s="1"/>
  <c r="M35" i="23"/>
  <c r="AZ56" i="23" s="1"/>
  <c r="AF17" i="23"/>
  <c r="AV47" i="23" s="1"/>
  <c r="M37" i="23"/>
  <c r="M36" i="23" s="1"/>
  <c r="Y76" i="11"/>
  <c r="Y93" i="11" s="1"/>
  <c r="AJ51" i="11"/>
  <c r="W47" i="23" s="1"/>
  <c r="Q49" i="23"/>
  <c r="Q48" i="23" s="1"/>
  <c r="Q47" i="23"/>
  <c r="AF48" i="23"/>
  <c r="BJ164" i="23" s="1"/>
  <c r="E25" i="23"/>
  <c r="E24" i="23"/>
  <c r="G11" i="20"/>
  <c r="F11" i="20"/>
  <c r="G10" i="20" s="1"/>
  <c r="G8" i="20"/>
  <c r="M11" i="23"/>
  <c r="D51" i="11"/>
  <c r="S11" i="23" s="1"/>
  <c r="P67" i="11"/>
  <c r="P92" i="11" s="1"/>
  <c r="U72" i="11"/>
  <c r="U93" i="11" s="1"/>
  <c r="E28" i="23"/>
  <c r="E29" i="23"/>
  <c r="I93" i="11"/>
  <c r="P49" i="23"/>
  <c r="P48" i="23" s="1"/>
  <c r="AE51" i="11"/>
  <c r="V47" i="23" s="1"/>
  <c r="P47" i="23"/>
  <c r="AF42" i="23"/>
  <c r="BD164" i="23" s="1"/>
  <c r="AE93" i="11"/>
  <c r="AE14" i="23"/>
  <c r="AS25" i="23" s="1"/>
  <c r="F51" i="11"/>
  <c r="S19" i="23" s="1"/>
  <c r="M19" i="23"/>
  <c r="BF86" i="23"/>
  <c r="E51" i="23"/>
  <c r="F39" i="23" s="1"/>
  <c r="BD96" i="23" s="1"/>
  <c r="E13" i="23"/>
  <c r="E12" i="23"/>
  <c r="AH48" i="11"/>
  <c r="F93" i="11"/>
  <c r="D19" i="23"/>
  <c r="AY30" i="23" s="1"/>
  <c r="C20" i="23"/>
  <c r="D20" i="23" s="1"/>
  <c r="C21" i="23"/>
  <c r="D21" i="23" s="1"/>
  <c r="S51" i="11"/>
  <c r="T39" i="23" s="1"/>
  <c r="N39" i="23"/>
  <c r="AZ122" i="23" s="1"/>
  <c r="N41" i="23"/>
  <c r="N40" i="23" s="1"/>
  <c r="AF28" i="23"/>
  <c r="BD111" i="23" s="1"/>
  <c r="AH22" i="23"/>
  <c r="BA87" i="23"/>
  <c r="N19" i="23"/>
  <c r="O51" i="11"/>
  <c r="T19" i="23" s="1"/>
  <c r="E21" i="23"/>
  <c r="E20" i="23"/>
  <c r="AF16" i="23"/>
  <c r="AX47" i="23" s="1"/>
  <c r="H51" i="11"/>
  <c r="S23" i="23" s="1"/>
  <c r="M23" i="23"/>
  <c r="AZ55" i="23" s="1"/>
  <c r="M25" i="23"/>
  <c r="M24" i="23" s="1"/>
  <c r="Z93" i="11"/>
  <c r="AB51" i="11"/>
  <c r="V27" i="23" s="1"/>
  <c r="P27" i="23"/>
  <c r="P28" i="23" s="1"/>
  <c r="P29" i="23" s="1"/>
  <c r="AC48" i="11"/>
  <c r="C44" i="23"/>
  <c r="D44" i="23" s="1"/>
  <c r="D43" i="23"/>
  <c r="BF31" i="23" s="1"/>
  <c r="C45" i="23"/>
  <c r="D45" i="23" s="1"/>
  <c r="L63" i="11"/>
  <c r="L93" i="11" s="1"/>
  <c r="BH22" i="23"/>
  <c r="BF21" i="23"/>
  <c r="AG84" i="11"/>
  <c r="AG93" i="11" s="1"/>
  <c r="S92" i="11"/>
  <c r="S70" i="11"/>
  <c r="S93" i="11" s="1"/>
  <c r="N92" i="11"/>
  <c r="N65" i="11"/>
  <c r="N93" i="11" s="1"/>
  <c r="H59" i="11"/>
  <c r="H92" i="11" s="1"/>
  <c r="AX89" i="23"/>
  <c r="AO24" i="23"/>
  <c r="BB172" i="23"/>
  <c r="K51" i="23"/>
  <c r="K13" i="23"/>
  <c r="K12" i="23"/>
  <c r="H31" i="23"/>
  <c r="AV156" i="23" s="1"/>
  <c r="AZ174" i="23"/>
  <c r="G33" i="23"/>
  <c r="H33" i="23" s="1"/>
  <c r="G32" i="23"/>
  <c r="H32" i="23" s="1"/>
  <c r="X93" i="11"/>
  <c r="Y92" i="11" l="1"/>
  <c r="H13" i="23"/>
  <c r="AO26" i="23"/>
  <c r="AO22" i="23"/>
  <c r="H11" i="23"/>
  <c r="AV142" i="23" s="1"/>
  <c r="H28" i="23"/>
  <c r="H93" i="11"/>
  <c r="H95" i="11" s="1"/>
  <c r="AC92" i="11"/>
  <c r="AC95" i="11" s="1"/>
  <c r="AJ93" i="11"/>
  <c r="AF92" i="11"/>
  <c r="F29" i="23"/>
  <c r="Q93" i="11"/>
  <c r="AG92" i="11"/>
  <c r="D12" i="23"/>
  <c r="F20" i="23"/>
  <c r="D37" i="23"/>
  <c r="L51" i="23"/>
  <c r="AO12" i="23"/>
  <c r="AO23" i="23"/>
  <c r="V92" i="11"/>
  <c r="V95" i="11" s="1"/>
  <c r="AO38" i="23"/>
  <c r="AI95" i="11"/>
  <c r="D28" i="23"/>
  <c r="X95" i="11"/>
  <c r="AA92" i="11"/>
  <c r="AA95" i="11" s="1"/>
  <c r="F40" i="23"/>
  <c r="F95" i="11"/>
  <c r="AF95" i="11"/>
  <c r="F27" i="23"/>
  <c r="AV101" i="23" s="1"/>
  <c r="H36" i="23"/>
  <c r="Z95" i="11"/>
  <c r="D49" i="23"/>
  <c r="D24" i="23"/>
  <c r="AO16" i="23"/>
  <c r="J12" i="23"/>
  <c r="AB95" i="11"/>
  <c r="J47" i="23"/>
  <c r="BD155" i="23" s="1"/>
  <c r="F13" i="23"/>
  <c r="F19" i="23"/>
  <c r="AY94" i="23" s="1"/>
  <c r="F11" i="23"/>
  <c r="AY75" i="23" s="1"/>
  <c r="U92" i="11"/>
  <c r="P93" i="11"/>
  <c r="P95" i="11" s="1"/>
  <c r="J37" i="23"/>
  <c r="D13" i="23"/>
  <c r="F49" i="23"/>
  <c r="J13" i="23"/>
  <c r="D35" i="23"/>
  <c r="AV43" i="23" s="1"/>
  <c r="M95" i="11"/>
  <c r="I95" i="11"/>
  <c r="AZ51" i="23"/>
  <c r="M12" i="23"/>
  <c r="M13" i="23"/>
  <c r="S44" i="23"/>
  <c r="S45" i="23"/>
  <c r="L48" i="23"/>
  <c r="L32" i="23"/>
  <c r="O12" i="23"/>
  <c r="O13" i="23"/>
  <c r="T28" i="23"/>
  <c r="T29" i="23"/>
  <c r="U48" i="23"/>
  <c r="U49" i="23"/>
  <c r="AD95" i="11"/>
  <c r="L92" i="11"/>
  <c r="L95" i="11" s="1"/>
  <c r="T93" i="11"/>
  <c r="T95" i="11" s="1"/>
  <c r="F21" i="23"/>
  <c r="F12" i="23"/>
  <c r="F28" i="23"/>
  <c r="H51" i="23"/>
  <c r="H37" i="23"/>
  <c r="G92" i="11"/>
  <c r="G95" i="11" s="1"/>
  <c r="J92" i="11"/>
  <c r="J95" i="11" s="1"/>
  <c r="F47" i="23"/>
  <c r="BF96" i="23" s="1"/>
  <c r="D36" i="23"/>
  <c r="L47" i="23"/>
  <c r="BJ155" i="23" s="1"/>
  <c r="D29" i="23"/>
  <c r="L27" i="23"/>
  <c r="BH150" i="23" s="1"/>
  <c r="L37" i="23"/>
  <c r="D23" i="23"/>
  <c r="AY37" i="23" s="1"/>
  <c r="AO35" i="23"/>
  <c r="AO36" i="23" s="1"/>
  <c r="S95" i="11"/>
  <c r="U33" i="23"/>
  <c r="U32" i="23"/>
  <c r="AG95" i="11"/>
  <c r="T41" i="23"/>
  <c r="T40" i="23"/>
  <c r="W48" i="23"/>
  <c r="W49" i="23"/>
  <c r="S36" i="23"/>
  <c r="S37" i="23"/>
  <c r="E93" i="11"/>
  <c r="E95" i="11" s="1"/>
  <c r="U36" i="23"/>
  <c r="U37" i="23"/>
  <c r="AE95" i="11"/>
  <c r="J48" i="23"/>
  <c r="T24" i="23"/>
  <c r="T25" i="23"/>
  <c r="AZ116" i="23"/>
  <c r="N12" i="23"/>
  <c r="N13" i="23"/>
  <c r="T16" i="23"/>
  <c r="T17" i="23"/>
  <c r="H29" i="23"/>
  <c r="L36" i="23"/>
  <c r="D25" i="23"/>
  <c r="S21" i="23"/>
  <c r="S20" i="23"/>
  <c r="AZ118" i="23"/>
  <c r="N20" i="23"/>
  <c r="N21" i="23" s="1"/>
  <c r="W36" i="23"/>
  <c r="W37" i="23"/>
  <c r="J49" i="23"/>
  <c r="P12" i="23"/>
  <c r="P13" i="23"/>
  <c r="T37" i="23"/>
  <c r="T36" i="23"/>
  <c r="T51" i="23"/>
  <c r="T12" i="23"/>
  <c r="T13" i="23"/>
  <c r="J28" i="23"/>
  <c r="M28" i="23"/>
  <c r="M29" i="23" s="1"/>
  <c r="AZ54" i="23"/>
  <c r="F35" i="23"/>
  <c r="AV107" i="23" s="1"/>
  <c r="L35" i="23"/>
  <c r="BH162" i="23" s="1"/>
  <c r="W28" i="23"/>
  <c r="W29" i="23"/>
  <c r="T21" i="23"/>
  <c r="T20" i="23"/>
  <c r="S41" i="23"/>
  <c r="S40" i="23"/>
  <c r="V48" i="23"/>
  <c r="V49" i="23"/>
  <c r="F24" i="23"/>
  <c r="R92" i="11"/>
  <c r="R95" i="11" s="1"/>
  <c r="K92" i="11"/>
  <c r="K95" i="11" s="1"/>
  <c r="F43" i="23"/>
  <c r="BH96" i="23" s="1"/>
  <c r="F16" i="23"/>
  <c r="D51" i="23"/>
  <c r="D41" i="23"/>
  <c r="J51" i="23"/>
  <c r="D17" i="23"/>
  <c r="T44" i="23"/>
  <c r="T45" i="23"/>
  <c r="AF49" i="23"/>
  <c r="Q12" i="23"/>
  <c r="Q13" i="23"/>
  <c r="V51" i="23"/>
  <c r="V13" i="23"/>
  <c r="V12" i="23"/>
  <c r="W95" i="11"/>
  <c r="S48" i="23"/>
  <c r="S49" i="23"/>
  <c r="J29" i="23"/>
  <c r="H47" i="23"/>
  <c r="AX155" i="23" s="1"/>
  <c r="S28" i="23"/>
  <c r="S29" i="23"/>
  <c r="F36" i="23"/>
  <c r="H27" i="23"/>
  <c r="AV150" i="23" s="1"/>
  <c r="W33" i="23"/>
  <c r="W32" i="23"/>
  <c r="Q95" i="11"/>
  <c r="AO47" i="23"/>
  <c r="AO48" i="23" s="1"/>
  <c r="N95" i="11"/>
  <c r="AX25" i="23"/>
  <c r="AO14" i="23"/>
  <c r="L31" i="23"/>
  <c r="BH156" i="23" s="1"/>
  <c r="U95" i="11"/>
  <c r="Y95" i="11"/>
  <c r="D92" i="11"/>
  <c r="D93" i="11"/>
  <c r="L12" i="23"/>
  <c r="S24" i="23"/>
  <c r="S25" i="23"/>
  <c r="F25" i="23"/>
  <c r="AZ52" i="23"/>
  <c r="M16" i="23"/>
  <c r="M17" i="23" s="1"/>
  <c r="F45" i="23"/>
  <c r="F17" i="23"/>
  <c r="AO17" i="23"/>
  <c r="AO18" i="23" s="1"/>
  <c r="AO19" i="23" s="1"/>
  <c r="AO20" i="23" s="1"/>
  <c r="D11" i="23"/>
  <c r="AY11" i="23" s="1"/>
  <c r="D39" i="23"/>
  <c r="BD31" i="23" s="1"/>
  <c r="J11" i="23"/>
  <c r="BB142" i="23" s="1"/>
  <c r="D16" i="23"/>
  <c r="W51" i="23"/>
  <c r="W12" i="23"/>
  <c r="W13" i="23"/>
  <c r="AO42" i="23"/>
  <c r="AJ95" i="11"/>
  <c r="J33" i="23"/>
  <c r="T48" i="23"/>
  <c r="T49" i="23"/>
  <c r="AY87" i="23"/>
  <c r="AX85" i="23"/>
  <c r="H48" i="23"/>
  <c r="F37" i="23"/>
  <c r="L28" i="23"/>
  <c r="D48" i="23"/>
  <c r="AO28" i="23"/>
  <c r="AO29" i="23" s="1"/>
  <c r="AO30" i="23" s="1"/>
  <c r="V29" i="23"/>
  <c r="V28" i="23"/>
  <c r="L11" i="23"/>
  <c r="BH142" i="23" s="1"/>
  <c r="C48" i="11"/>
  <c r="N16" i="23"/>
  <c r="N17" i="23" s="1"/>
  <c r="AZ117" i="23"/>
  <c r="F51" i="23"/>
  <c r="F23" i="23"/>
  <c r="AY101" i="23" s="1"/>
  <c r="F44" i="23"/>
  <c r="U28" i="23"/>
  <c r="U29" i="23"/>
  <c r="L13" i="23"/>
  <c r="M20" i="23"/>
  <c r="M21" i="23" s="1"/>
  <c r="AZ53" i="23"/>
  <c r="S12" i="23"/>
  <c r="S51" i="23"/>
  <c r="S13" i="23"/>
  <c r="AH93" i="11"/>
  <c r="AH95" i="11" s="1"/>
  <c r="O92" i="11"/>
  <c r="O95" i="11" s="1"/>
  <c r="S17" i="23"/>
  <c r="S16" i="23"/>
  <c r="J35" i="23"/>
  <c r="BB162" i="23" s="1"/>
  <c r="F15" i="23"/>
  <c r="BB91" i="23" s="1"/>
  <c r="D40" i="23"/>
  <c r="V33" i="23"/>
  <c r="V32" i="23"/>
  <c r="V36" i="23"/>
  <c r="V37" i="23"/>
  <c r="F48" i="23"/>
  <c r="F41" i="23"/>
  <c r="D15" i="23"/>
  <c r="BB27" i="23" s="1"/>
  <c r="L49" i="23"/>
  <c r="J32" i="23"/>
  <c r="L33" i="23"/>
  <c r="U12" i="23"/>
  <c r="U13" i="23"/>
  <c r="U51" i="23"/>
  <c r="J27" i="23"/>
  <c r="BB150" i="23" s="1"/>
  <c r="H49" i="23"/>
  <c r="AZ119" i="23"/>
  <c r="N28" i="23"/>
  <c r="N29" i="23" s="1"/>
  <c r="L29" i="23"/>
  <c r="D47" i="23"/>
  <c r="BH31" i="23" s="1"/>
  <c r="AO13" i="23"/>
  <c r="AO49" i="23" l="1"/>
  <c r="C93" i="11"/>
  <c r="C92" i="11"/>
  <c r="D95" i="11"/>
  <c r="C95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<sst xmlns="http://schemas.openxmlformats.org/spreadsheetml/2006/main" count="15030" uniqueCount="4061">
  <si>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</si>
  <si>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</si>
  <si>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</si>
  <si>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</si>
  <si>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</si>
  <si>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</si>
  <si>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</si>
  <si>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</si>
  <si>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</si>
  <si>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</si>
  <si>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</si>
  <si>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</si>
  <si>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</si>
  <si>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</si>
  <si>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</si>
  <si>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</si>
  <si>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</si>
  <si>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</si>
  <si>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</si>
  <si>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</si>
  <si>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</si>
  <si>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</si>
  <si>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</si>
  <si>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</si>
  <si>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</si>
  <si>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</si>
  <si>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</si>
  <si>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</si>
  <si>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</si>
  <si>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</si>
  <si>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</si>
  <si>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</si>
  <si>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</si>
  <si>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</si>
  <si>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</si>
  <si>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</si>
  <si>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</si>
  <si>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</si>
  <si>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</si>
  <si>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</si>
  <si>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</si>
  <si>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</si>
  <si>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</si>
  <si>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</si>
  <si>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</si>
  <si>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</si>
  <si>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</si>
  <si>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</si>
  <si>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</si>
  <si>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</si>
  <si>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</si>
  <si>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</si>
  <si>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</si>
  <si>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</si>
  <si>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</si>
  <si>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</si>
  <si>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</si>
  <si>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</si>
  <si>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</si>
  <si>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</si>
  <si>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</si>
  <si>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</si>
  <si>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</si>
  <si>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</si>
  <si>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</si>
  <si>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</si>
  <si>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</si>
  <si>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</si>
  <si>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</si>
  <si>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</si>
  <si>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</si>
  <si>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</si>
  <si>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</si>
  <si>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</si>
  <si>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</si>
  <si>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</si>
  <si>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</si>
  <si>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</si>
  <si>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</si>
  <si>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</si>
  <si>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</si>
  <si>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</si>
  <si>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</si>
  <si>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</si>
  <si>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</si>
  <si>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</si>
  <si>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</si>
  <si>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</si>
  <si>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</si>
  <si>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</si>
  <si>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</si>
  <si>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</si>
  <si>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</si>
  <si>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</si>
  <si>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</si>
  <si>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</si>
  <si>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</si>
  <si>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</si>
  <si>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</si>
  <si>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</si>
  <si>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</si>
  <si>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</si>
  <si>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</si>
  <si>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</si>
  <si>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</si>
  <si>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</si>
  <si>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</si>
  <si>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</si>
  <si>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</si>
  <si>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</si>
  <si>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</si>
  <si>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</si>
  <si>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</si>
  <si>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</si>
  <si>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</si>
  <si>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</si>
  <si>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</si>
  <si>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</si>
  <si>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</si>
  <si>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</si>
  <si>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</si>
  <si>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</si>
  <si>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</si>
  <si>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</si>
  <si>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</si>
  <si>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</si>
  <si>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</si>
  <si>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</si>
  <si>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</si>
  <si>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</si>
  <si>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</si>
  <si>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</si>
  <si>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</si>
  <si>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</si>
  <si>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</si>
  <si>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</si>
  <si>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</si>
  <si>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</si>
  <si>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</si>
  <si>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</si>
  <si>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</si>
  <si>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</si>
  <si>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</si>
  <si>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</si>
  <si>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</si>
  <si>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</si>
  <si>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</si>
  <si>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</si>
  <si>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</si>
  <si>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</si>
  <si>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</si>
  <si>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</si>
  <si>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</si>
  <si>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</si>
  <si>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</si>
  <si>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</si>
  <si>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</si>
  <si>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</si>
  <si>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</si>
  <si>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</si>
  <si>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</si>
  <si>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</si>
  <si>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</si>
  <si>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</si>
  <si>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</si>
  <si>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</si>
  <si>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</si>
  <si>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</si>
  <si>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</si>
  <si>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</si>
  <si>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</si>
  <si>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</si>
  <si>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</si>
  <si>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</si>
  <si>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</si>
  <si>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</si>
  <si>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</si>
  <si>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</si>
  <si>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</si>
  <si>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</si>
  <si>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</si>
  <si>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</si>
  <si>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</si>
  <si>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</si>
  <si>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</si>
  <si>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</si>
  <si>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</si>
  <si>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</si>
  <si>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</si>
  <si>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</si>
  <si>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</si>
  <si>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</si>
  <si>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</si>
  <si>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</si>
  <si>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</si>
  <si>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</si>
  <si>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</si>
  <si>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</si>
  <si>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</si>
  <si>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</si>
  <si>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</si>
  <si>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</si>
  <si>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</si>
  <si>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</si>
  <si>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</si>
  <si>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</si>
  <si>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</si>
  <si>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</si>
  <si>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</si>
  <si>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</si>
  <si>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</si>
  <si>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</si>
  <si>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</si>
  <si>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</si>
  <si>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</si>
  <si>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</si>
  <si>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</si>
  <si>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</si>
  <si>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</si>
  <si>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</si>
  <si>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</si>
  <si>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</si>
  <si>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</si>
  <si>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</si>
  <si>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</si>
  <si>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</si>
  <si>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</si>
  <si>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</si>
  <si>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</si>
  <si>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</si>
  <si>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</si>
  <si>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</si>
  <si>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</si>
  <si>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</si>
  <si>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</si>
  <si>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</si>
  <si>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</si>
  <si>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</si>
  <si>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</si>
  <si>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</si>
  <si>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</si>
  <si>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</si>
  <si>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</si>
  <si>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</si>
  <si>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</si>
  <si>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</si>
  <si>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</si>
  <si>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</si>
  <si>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</si>
  <si>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</si>
  <si>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</si>
  <si>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</si>
  <si>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</si>
  <si>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</si>
  <si>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</si>
  <si>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</si>
  <si>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</si>
  <si>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</si>
  <si>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</si>
  <si>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</si>
  <si>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</si>
  <si>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</si>
  <si>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</si>
  <si>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</si>
  <si>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</si>
  <si>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</si>
  <si>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</si>
  <si>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</si>
  <si>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</si>
  <si>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</si>
  <si>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</si>
  <si>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</si>
  <si>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</si>
  <si>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</si>
  <si>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</si>
  <si>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</si>
  <si>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</si>
  <si>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</si>
  <si>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</si>
  <si>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</si>
  <si>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</si>
  <si>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</si>
  <si>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</si>
  <si>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</si>
  <si>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</si>
  <si>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</si>
  <si>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</si>
  <si>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</si>
  <si>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</si>
  <si>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</si>
  <si>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</si>
  <si>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</si>
  <si>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</si>
  <si>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</si>
  <si>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</si>
  <si>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</si>
  <si>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</si>
  <si>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</si>
  <si>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</si>
  <si>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</si>
  <si>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</si>
  <si>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</si>
  <si>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</si>
  <si>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</si>
  <si>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</si>
  <si>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</si>
  <si>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</si>
  <si>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</si>
  <si>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</si>
  <si>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</si>
  <si>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</si>
  <si>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</si>
  <si>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</si>
  <si>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</si>
  <si>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</si>
  <si>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</si>
  <si>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</si>
  <si>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</si>
  <si>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</si>
  <si>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</si>
  <si>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</si>
  <si>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</si>
  <si>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</si>
  <si>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</si>
  <si>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</si>
  <si>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</si>
  <si>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</si>
  <si>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</si>
  <si>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</si>
  <si>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</si>
  <si>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</si>
  <si>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</si>
  <si>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</si>
  <si>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</si>
  <si>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</si>
  <si>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</si>
  <si>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</si>
  <si>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</si>
  <si>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</si>
  <si>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</si>
  <si>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</si>
  <si>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</si>
  <si>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</si>
  <si>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</si>
  <si>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</si>
  <si>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</si>
  <si>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</si>
  <si>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</si>
  <si>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</si>
  <si>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</si>
  <si>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</si>
  <si>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</si>
  <si>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</si>
  <si>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</si>
  <si>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</si>
  <si>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</si>
  <si>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</si>
  <si>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</si>
  <si>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</si>
  <si>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</si>
  <si>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</si>
  <si>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</si>
  <si>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</si>
  <si>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</si>
  <si>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</si>
  <si>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</si>
  <si>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</si>
  <si>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</si>
  <si>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</si>
  <si>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</si>
  <si>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</si>
  <si>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</si>
  <si>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</si>
  <si>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</si>
  <si>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</si>
  <si>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</si>
  <si>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</si>
  <si>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</si>
  <si>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</si>
  <si>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</si>
  <si>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</si>
  <si>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</si>
  <si>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</si>
  <si>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</si>
  <si>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</si>
  <si>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</si>
  <si>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</si>
  <si>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</si>
  <si>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</si>
  <si>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</si>
  <si>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</si>
  <si>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</si>
  <si>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</si>
  <si>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</si>
  <si>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</si>
  <si>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</si>
  <si>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</si>
  <si>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</si>
  <si>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</si>
  <si>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</si>
  <si>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</si>
  <si>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</si>
  <si>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</si>
  <si>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</si>
  <si>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</si>
  <si>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</si>
  <si>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</si>
  <si>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</si>
  <si>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</si>
  <si>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</si>
  <si>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</si>
  <si>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</si>
  <si>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</si>
  <si>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</si>
  <si>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</si>
  <si>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</si>
  <si>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</si>
  <si>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</si>
  <si>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</si>
  <si>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</si>
  <si>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</si>
  <si>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</si>
  <si>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</si>
  <si>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</si>
  <si>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</si>
  <si>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</si>
  <si>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</si>
  <si>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</si>
  <si>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</si>
  <si>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</si>
  <si>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</si>
  <si>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</si>
  <si>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</si>
  <si>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</si>
  <si>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</si>
  <si>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</si>
  <si>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</si>
  <si>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</si>
  <si>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</si>
  <si>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</si>
  <si>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</si>
  <si>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</si>
  <si>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</si>
  <si>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</si>
  <si>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</si>
  <si>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</si>
  <si>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</si>
  <si>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</si>
  <si>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</si>
  <si>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</si>
  <si>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</si>
  <si>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</si>
  <si>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</si>
  <si>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</si>
  <si>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</si>
  <si>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</si>
  <si>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</si>
  <si>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</si>
  <si>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</si>
  <si>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</si>
  <si>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</si>
  <si>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</si>
  <si>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</si>
  <si>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</si>
  <si>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</si>
  <si>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</si>
  <si>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</si>
  <si>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</si>
  <si>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</si>
  <si>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</si>
  <si>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</si>
  <si>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</si>
  <si>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</si>
  <si>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</si>
  <si>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</si>
  <si>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</si>
  <si>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</si>
  <si>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</si>
  <si>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</si>
  <si>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</si>
  <si>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</si>
  <si>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</si>
  <si>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</si>
  <si>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</si>
  <si>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</si>
  <si>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</si>
  <si>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</si>
  <si>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</si>
  <si>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</si>
  <si>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</si>
  <si>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</si>
  <si>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</si>
  <si>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</si>
  <si>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</si>
  <si>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</si>
  <si>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</si>
  <si>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</si>
  <si>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</si>
  <si>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</si>
  <si>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</si>
  <si>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</si>
  <si>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</si>
  <si>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</si>
  <si>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</si>
  <si>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</si>
  <si>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</si>
  <si>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</si>
  <si>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</si>
  <si>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</si>
  <si>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</si>
  <si>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</si>
  <si>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</si>
  <si>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</si>
  <si>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</si>
  <si>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</si>
  <si>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</si>
  <si>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</si>
  <si>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</si>
  <si>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</si>
  <si>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</si>
  <si>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</si>
  <si>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</si>
  <si>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</si>
  <si>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</si>
  <si>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</si>
  <si>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</si>
  <si>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</si>
  <si>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</si>
  <si>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</si>
  <si>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</si>
  <si>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</si>
  <si>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</si>
  <si>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</si>
  <si>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</si>
  <si>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</si>
  <si>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</si>
  <si>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</si>
  <si>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</si>
  <si>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</si>
  <si>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</si>
  <si>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</si>
  <si>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</si>
  <si>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</si>
  <si>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</si>
  <si>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</si>
  <si>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</si>
  <si>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</si>
  <si>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</si>
  <si>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</si>
  <si>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</si>
  <si>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</si>
  <si>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</si>
  <si>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</si>
  <si>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</si>
  <si>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</si>
  <si>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</si>
  <si>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</si>
  <si>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</si>
  <si>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</si>
  <si>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</si>
  <si>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</si>
  <si>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</si>
  <si>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</si>
  <si>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</si>
  <si>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</si>
  <si>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</si>
  <si>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</si>
  <si>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</si>
  <si>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</si>
  <si>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</si>
  <si>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</si>
  <si>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</si>
  <si>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</si>
  <si>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</si>
  <si>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</si>
  <si>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</si>
  <si>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</si>
  <si>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</si>
  <si>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</si>
  <si>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</si>
  <si>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</si>
  <si>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</si>
  <si>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</si>
  <si>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</si>
  <si>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</si>
  <si>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</si>
  <si>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</si>
  <si>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</si>
  <si>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</si>
  <si>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</si>
  <si>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</si>
  <si>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</si>
  <si>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</si>
  <si>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</si>
  <si>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</si>
  <si>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</si>
  <si>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</si>
  <si>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</si>
  <si>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</si>
  <si>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</si>
  <si>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</si>
  <si>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</si>
  <si>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</si>
  <si>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</si>
  <si>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</si>
  <si>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</si>
  <si>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</si>
  <si>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</si>
  <si>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</si>
  <si>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</si>
  <si>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</si>
  <si>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</si>
  <si>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</si>
  <si>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</si>
  <si>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</si>
  <si>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</si>
  <si>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</si>
  <si>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</si>
  <si>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</si>
  <si>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</si>
  <si>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</si>
  <si>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</si>
  <si>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</si>
  <si>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</si>
  <si>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</si>
  <si>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</si>
  <si>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</si>
  <si>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</si>
  <si>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</si>
  <si>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</si>
  <si>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</si>
  <si>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</si>
  <si>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</si>
  <si>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</si>
  <si>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</si>
  <si>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</si>
  <si>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</si>
  <si>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</si>
  <si>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</si>
  <si>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</si>
  <si>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</si>
  <si>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</si>
  <si>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</si>
  <si>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</si>
  <si>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</si>
  <si>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</si>
  <si>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</si>
  <si>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</si>
  <si>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</si>
  <si>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</si>
  <si>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</si>
  <si>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</si>
  <si>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</si>
  <si>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</si>
  <si>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</si>
  <si>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</si>
  <si>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</si>
  <si>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</si>
  <si>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</si>
  <si>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</si>
  <si>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</si>
  <si>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</si>
  <si>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</si>
  <si>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</si>
  <si>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</si>
  <si>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</si>
  <si>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</si>
  <si>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</si>
  <si>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</si>
  <si>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</si>
  <si>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</si>
  <si>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</si>
  <si>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</si>
  <si>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</si>
  <si>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</si>
  <si>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</si>
  <si>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</si>
  <si>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</si>
  <si>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</si>
  <si>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</si>
  <si>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</si>
  <si>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</si>
  <si>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</si>
  <si>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</si>
  <si>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</si>
  <si>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</si>
  <si>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</si>
  <si>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</si>
  <si>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</si>
  <si>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</si>
  <si>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</si>
  <si>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</si>
  <si>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</si>
  <si>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</si>
  <si>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</si>
  <si>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</si>
  <si>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</si>
  <si>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</si>
  <si>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</si>
  <si>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</si>
  <si>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</si>
  <si>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</si>
  <si>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</si>
  <si>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</si>
  <si>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</si>
  <si>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</si>
  <si>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</si>
  <si>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</si>
  <si>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</si>
  <si>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</si>
  <si>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</si>
  <si>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</si>
  <si>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</si>
  <si>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</si>
  <si>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</si>
  <si>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</si>
  <si>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</si>
  <si>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</si>
  <si>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</si>
  <si>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</si>
  <si>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</si>
  <si>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</si>
  <si>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</si>
  <si>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</si>
  <si>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</si>
  <si>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</si>
  <si>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</si>
  <si>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</si>
  <si>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</si>
  <si>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</si>
  <si>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</si>
  <si>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</si>
  <si>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</si>
  <si>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</si>
  <si>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</si>
  <si>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</si>
  <si>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</si>
  <si>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</si>
  <si>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</si>
  <si>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</si>
  <si>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</si>
  <si>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</si>
  <si>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</si>
  <si>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</si>
  <si>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</si>
  <si>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</si>
  <si>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</si>
  <si>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</si>
  <si>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</si>
  <si>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</si>
  <si>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</si>
  <si>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</si>
  <si>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</si>
  <si>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</si>
  <si>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</si>
  <si>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</si>
  <si>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</si>
  <si>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</si>
  <si>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</si>
  <si>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</si>
  <si>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</si>
  <si>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</si>
  <si>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</si>
  <si>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</si>
  <si>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</si>
  <si>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</si>
  <si>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</si>
  <si>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</si>
  <si>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</si>
  <si>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</si>
  <si>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</si>
  <si>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</si>
  <si>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</si>
  <si>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</si>
  <si>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</si>
  <si>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</si>
  <si>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</si>
  <si>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</si>
  <si>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</si>
  <si>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</si>
  <si>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</si>
  <si>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</si>
  <si>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</si>
  <si>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</si>
  <si>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</si>
  <si>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</si>
  <si>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</si>
  <si>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</si>
  <si>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</si>
  <si>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</si>
  <si>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</si>
  <si>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</si>
  <si>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</si>
  <si>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</si>
  <si>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</si>
  <si>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</si>
  <si>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</si>
  <si>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</si>
  <si>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</si>
  <si>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</si>
  <si>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</si>
  <si>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</si>
  <si>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</si>
  <si>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</si>
  <si>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</si>
  <si>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</si>
  <si>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</si>
  <si>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</si>
  <si>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</si>
  <si>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</si>
  <si>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</si>
  <si>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</si>
  <si>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</si>
  <si>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</si>
  <si>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</si>
  <si>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</si>
  <si>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</si>
  <si>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</si>
  <si>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</si>
  <si>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</si>
  <si>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</si>
  <si>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</si>
  <si>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</si>
  <si>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</si>
  <si>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</si>
  <si>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</si>
  <si>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</si>
  <si>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</si>
  <si>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</si>
  <si>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</si>
  <si>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</si>
  <si>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</si>
  <si>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</si>
  <si>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</si>
  <si>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</si>
  <si>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</si>
  <si>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</si>
  <si>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</si>
  <si>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</si>
  <si>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</si>
  <si>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</si>
  <si>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</si>
  <si>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</si>
  <si>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</si>
  <si>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</si>
  <si>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</si>
  <si>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</si>
  <si>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</si>
  <si>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</si>
  <si>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</si>
  <si>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</si>
  <si>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</si>
  <si>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</si>
  <si>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</si>
  <si>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</si>
  <si>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</si>
  <si>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</si>
  <si>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</si>
  <si>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</si>
  <si>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</si>
  <si>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</si>
  <si>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</si>
  <si>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</si>
  <si>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</si>
  <si>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</si>
  <si>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</si>
  <si>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</si>
  <si>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</si>
  <si>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</si>
  <si>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</si>
  <si>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</si>
  <si>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</si>
  <si>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</si>
  <si>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</si>
  <si>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</si>
  <si>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</si>
  <si>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</si>
  <si>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</si>
  <si>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</si>
  <si>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</si>
  <si>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</si>
  <si>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</si>
  <si>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</si>
  <si>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</si>
  <si>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</si>
  <si>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</si>
  <si>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</si>
  <si>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</si>
  <si>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</si>
  <si>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</si>
  <si>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</si>
  <si>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</si>
  <si>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</si>
  <si>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</si>
  <si>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</si>
  <si>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</si>
  <si>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</si>
  <si>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</si>
  <si>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</si>
  <si>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</si>
  <si>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</si>
  <si>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</si>
  <si>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</si>
  <si>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</si>
  <si>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</si>
  <si>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</si>
  <si>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</si>
  <si>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</si>
  <si>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</si>
  <si>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</si>
  <si>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</si>
  <si>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</si>
  <si>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</si>
  <si>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</si>
  <si>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</si>
  <si>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</si>
  <si>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</si>
  <si>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</si>
  <si>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</si>
  <si>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</si>
  <si>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</si>
  <si>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</si>
  <si>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</si>
  <si>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</si>
  <si>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</si>
  <si>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</si>
  <si>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</si>
  <si>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</si>
  <si>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</si>
  <si>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</si>
  <si>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</si>
  <si>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</si>
  <si>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</si>
  <si>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</si>
  <si>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</si>
  <si>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</si>
  <si>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</si>
  <si>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</si>
  <si>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</si>
  <si>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</si>
  <si>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</si>
  <si>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</si>
  <si>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</si>
  <si>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</si>
  <si>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</si>
  <si>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</si>
  <si>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</si>
  <si>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</si>
  <si>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</si>
  <si>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</si>
  <si>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</si>
  <si>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</si>
  <si>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</si>
  <si>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</si>
  <si>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</si>
  <si>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</si>
  <si>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</si>
  <si>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</si>
  <si>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</si>
  <si>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</si>
  <si>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</si>
  <si>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</si>
  <si>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</si>
  <si>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</si>
  <si>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</si>
  <si>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</si>
  <si>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</si>
  <si>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</si>
  <si>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</si>
  <si>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</si>
  <si>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</si>
  <si>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</si>
  <si>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</si>
  <si>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</si>
  <si>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</si>
  <si>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</si>
  <si>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</si>
  <si>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</si>
  <si>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</si>
  <si>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</si>
  <si>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</si>
  <si>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</si>
  <si>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</si>
  <si>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</si>
  <si>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</si>
  <si>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</si>
  <si>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</si>
  <si>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</si>
  <si>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</si>
  <si>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</si>
  <si>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</si>
  <si>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</si>
  <si>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</si>
  <si>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</si>
  <si>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</si>
  <si>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</si>
  <si>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</si>
  <si>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</si>
  <si>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</si>
  <si>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</si>
  <si>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</si>
  <si>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</si>
  <si>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</si>
  <si>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</si>
  <si>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</si>
  <si>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</si>
  <si>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</si>
  <si>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</si>
  <si>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</si>
  <si>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</si>
  <si>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</si>
  <si>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</si>
  <si>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</si>
  <si>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</si>
  <si>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</si>
  <si>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</si>
  <si>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</si>
  <si>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</si>
  <si>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</si>
  <si>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</si>
  <si>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</si>
  <si>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</si>
  <si>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</si>
  <si>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</si>
  <si>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</si>
  <si>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</si>
  <si>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</si>
  <si>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</si>
  <si>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</si>
  <si>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</si>
  <si>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</si>
  <si>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</si>
  <si>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</si>
  <si>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</si>
  <si>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</si>
  <si>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</si>
  <si>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</si>
  <si>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</si>
  <si>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</si>
  <si>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</si>
  <si>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</si>
  <si>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</si>
  <si>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</si>
  <si>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</si>
  <si>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</si>
  <si>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</si>
  <si>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</si>
  <si>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</si>
  <si>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</si>
  <si>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</si>
  <si>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</si>
  <si>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</si>
  <si>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</si>
  <si>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</si>
  <si>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</si>
  <si>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</si>
  <si>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</si>
  <si>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</si>
  <si>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</si>
  <si>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</si>
  <si>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</si>
  <si>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</si>
  <si>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</si>
  <si>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</si>
  <si>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</si>
  <si>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</si>
  <si>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</si>
  <si>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</si>
  <si>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</si>
  <si>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</si>
  <si>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</si>
  <si>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</si>
  <si>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</si>
  <si>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</si>
  <si>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</si>
  <si>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</si>
  <si>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</si>
  <si>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</si>
  <si>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</si>
  <si>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</si>
  <si>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</si>
  <si>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</si>
  <si>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</si>
  <si>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</si>
  <si>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</si>
  <si>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</si>
  <si>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</si>
  <si>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</si>
  <si>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</si>
  <si>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</si>
  <si>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</si>
  <si>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</si>
  <si>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</si>
  <si>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</si>
  <si>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</si>
  <si>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</si>
  <si>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</si>
  <si>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</si>
  <si>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</si>
  <si>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</si>
  <si>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</si>
  <si>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</si>
  <si>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</si>
  <si>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</si>
  <si>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</si>
  <si>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</si>
  <si>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</si>
  <si>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</si>
  <si>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</si>
  <si>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</si>
  <si>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</si>
  <si>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</si>
  <si>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</si>
  <si>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</si>
  <si>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</si>
  <si>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</si>
  <si>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</si>
  <si>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</si>
  <si>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</si>
  <si>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</si>
  <si>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</si>
  <si>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</si>
  <si>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</si>
  <si>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</si>
  <si>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</si>
  <si>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</si>
  <si>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</si>
  <si>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</si>
  <si>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</si>
  <si>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</si>
  <si>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</si>
  <si>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</si>
  <si>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</si>
  <si>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</si>
  <si>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</si>
  <si>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</si>
  <si>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</si>
  <si>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</si>
  <si>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</si>
  <si>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</si>
  <si>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</si>
  <si>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</si>
  <si>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</si>
  <si>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</si>
  <si>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</si>
  <si>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</si>
  <si>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</si>
  <si>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</si>
  <si>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</si>
  <si>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</si>
  <si>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</si>
  <si>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</si>
  <si>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</si>
  <si>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</si>
  <si>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</si>
  <si>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</si>
  <si>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</si>
  <si>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</si>
  <si>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</si>
  <si>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</si>
  <si>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</si>
  <si>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</si>
  <si>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</si>
  <si>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</si>
  <si>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</si>
  <si>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</si>
  <si>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</si>
  <si>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</si>
  <si>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</si>
  <si>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</si>
  <si>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</si>
  <si>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</si>
  <si>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</si>
  <si>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</si>
  <si>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</si>
  <si>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</si>
  <si>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</si>
  <si>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</si>
  <si>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</si>
  <si>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</si>
  <si>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</si>
  <si>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</si>
  <si>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</si>
  <si>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</si>
  <si>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</si>
  <si>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</si>
  <si>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</si>
  <si>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</si>
  <si>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</si>
  <si>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</si>
  <si>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</si>
  <si>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</si>
  <si>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</si>
  <si>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</si>
  <si>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</si>
  <si>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</si>
  <si>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</si>
  <si>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</si>
  <si>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</si>
  <si>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</si>
  <si>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</si>
  <si>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</si>
  <si>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</si>
  <si>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</si>
  <si>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</si>
  <si>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</si>
  <si>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</si>
  <si>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</si>
  <si>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</si>
  <si>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</si>
  <si>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</si>
  <si>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</si>
  <si>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</si>
  <si>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</si>
  <si>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</si>
  <si>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</si>
  <si>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</si>
  <si>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</si>
  <si>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</si>
  <si>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</si>
  <si>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</si>
  <si>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</si>
  <si>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</si>
  <si>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</si>
  <si>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</si>
  <si>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</si>
  <si>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</si>
  <si>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</si>
  <si>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</si>
  <si>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</si>
  <si>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</si>
  <si>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</si>
  <si>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</si>
  <si>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</si>
  <si>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</si>
  <si>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</si>
  <si>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</si>
  <si>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</si>
  <si>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</si>
  <si>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</si>
  <si>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</si>
  <si>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</si>
  <si>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</si>
  <si>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</si>
  <si>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</si>
  <si>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</si>
  <si>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</si>
  <si>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</si>
  <si>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</si>
  <si>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</si>
  <si>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</si>
  <si>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</si>
  <si>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</si>
  <si>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</si>
  <si>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</si>
  <si>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</si>
  <si>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</si>
  <si>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</si>
  <si>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</si>
  <si>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</si>
  <si>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</si>
  <si>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</si>
  <si>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</si>
  <si>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</si>
  <si>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</si>
  <si>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</si>
  <si>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</si>
  <si>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</si>
  <si>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</si>
  <si>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</si>
  <si>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</si>
  <si>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</si>
  <si>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</si>
  <si>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</si>
  <si>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</si>
  <si>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</si>
  <si>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</si>
  <si>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</si>
  <si>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</si>
  <si>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</si>
  <si>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</si>
  <si>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</si>
  <si>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</si>
  <si>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</si>
  <si>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</si>
  <si>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</si>
  <si>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</si>
  <si>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</si>
  <si>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</si>
  <si>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</si>
  <si>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</si>
  <si>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</si>
  <si>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</si>
  <si>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</si>
  <si>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</si>
  <si>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</si>
  <si>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</si>
  <si>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</si>
  <si>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</si>
  <si>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</si>
  <si>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</si>
  <si>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</si>
  <si>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</si>
  <si>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</si>
  <si>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</si>
  <si>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</si>
  <si>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</si>
  <si>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</si>
  <si>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</si>
  <si>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</si>
  <si>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</si>
  <si>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</si>
  <si>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</si>
  <si>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</si>
  <si>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</si>
  <si>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</si>
  <si>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</si>
  <si>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</si>
  <si>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</si>
  <si>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</si>
  <si>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</si>
  <si>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</si>
  <si>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</si>
  <si>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</si>
  <si>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</si>
  <si>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</si>
  <si>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</si>
  <si>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</si>
  <si>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</si>
  <si>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</si>
  <si>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</si>
  <si>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</si>
  <si>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</si>
  <si>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</si>
  <si>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</si>
  <si>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</si>
  <si>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</si>
  <si>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</si>
  <si>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</si>
  <si>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</si>
  <si>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</si>
  <si>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</si>
  <si>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</si>
  <si>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</si>
  <si>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</si>
  <si>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</si>
  <si>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</si>
  <si>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</si>
  <si>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</si>
  <si>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</si>
  <si>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</si>
  <si>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</si>
  <si>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</si>
  <si>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</si>
  <si>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</si>
  <si>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</si>
  <si>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</si>
  <si>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</si>
  <si>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</si>
  <si>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</si>
  <si>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</si>
  <si>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</si>
  <si>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</si>
  <si>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</si>
  <si>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</si>
  <si>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</si>
  <si>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</si>
  <si>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</si>
  <si>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</si>
  <si>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</si>
  <si>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</si>
  <si>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</si>
  <si>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</si>
  <si>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</si>
  <si>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</si>
  <si>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</si>
  <si>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</si>
  <si>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</si>
  <si>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</si>
  <si>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</si>
  <si>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</si>
  <si>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</si>
  <si>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</si>
  <si>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</si>
  <si>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</si>
  <si>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</si>
  <si>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</si>
  <si>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</si>
  <si>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</si>
  <si>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</si>
  <si>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</si>
  <si>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</si>
  <si>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</si>
  <si>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</si>
  <si>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</si>
  <si>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</si>
  <si>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</si>
  <si>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</si>
  <si>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</si>
  <si>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</si>
  <si>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</si>
  <si>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</si>
  <si>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</si>
  <si>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</si>
  <si>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</si>
  <si>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</si>
  <si>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</si>
  <si>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</si>
  <si>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</si>
  <si>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</si>
  <si>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</si>
  <si>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</si>
  <si>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</si>
  <si>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</si>
  <si>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</si>
  <si>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</si>
  <si>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</si>
  <si>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</si>
  <si>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</si>
  <si>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</si>
  <si>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</si>
  <si>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</si>
  <si>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</si>
  <si>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</si>
  <si>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</si>
  <si>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</si>
  <si>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</si>
  <si>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</si>
  <si>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</si>
  <si>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</si>
  <si>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</si>
  <si>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</si>
  <si>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</si>
  <si>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</si>
  <si>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</si>
  <si>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</si>
  <si>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</si>
  <si>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</si>
  <si>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</si>
  <si>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</si>
  <si>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</si>
  <si>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</si>
  <si>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</si>
  <si>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</si>
  <si>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</si>
  <si>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</si>
  <si>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</si>
  <si>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</si>
  <si>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</si>
  <si>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</si>
  <si>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</si>
  <si>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</si>
  <si>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</si>
  <si>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</si>
  <si>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</si>
  <si>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</si>
  <si>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</si>
  <si>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</si>
  <si>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</si>
  <si>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</si>
  <si>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</si>
  <si>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</si>
  <si>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</si>
  <si>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</si>
  <si>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</si>
  <si>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</si>
  <si>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</si>
  <si>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</si>
  <si>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</si>
  <si>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</si>
  <si>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</si>
  <si>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</si>
  <si>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</si>
  <si>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</si>
  <si>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</si>
  <si>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</si>
  <si>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</si>
  <si>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</si>
  <si>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</si>
  <si>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</si>
  <si>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</si>
  <si>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</si>
  <si>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</si>
  <si>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</si>
  <si>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</si>
  <si>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</si>
  <si>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</si>
  <si>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</si>
  <si>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</si>
  <si>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</si>
  <si>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</si>
  <si>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</si>
  <si>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</si>
  <si>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</si>
  <si>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</si>
  <si>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</si>
  <si>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</si>
  <si>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</si>
  <si>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</si>
  <si>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</si>
  <si>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</si>
  <si>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</si>
  <si>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</si>
  <si>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</si>
  <si>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</si>
  <si>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</si>
  <si>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</si>
  <si>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</si>
  <si>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</si>
  <si>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</si>
  <si>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</si>
  <si>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</si>
  <si>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</si>
  <si>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</si>
  <si>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</si>
  <si>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</si>
  <si>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</si>
  <si>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</si>
  <si>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</si>
  <si>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</si>
  <si>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</si>
  <si>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</si>
  <si>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</si>
  <si>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</si>
  <si>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</si>
  <si>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</si>
  <si>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</si>
  <si>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</si>
  <si>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</si>
  <si>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</si>
  <si>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</si>
  <si>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</si>
  <si>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</si>
  <si>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</si>
  <si>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</si>
  <si>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</si>
  <si>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</si>
  <si>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</si>
  <si>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</si>
  <si>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</si>
  <si>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</si>
  <si>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</si>
  <si>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</si>
  <si>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</si>
  <si>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</si>
  <si>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</si>
  <si>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</si>
  <si>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</si>
  <si>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</si>
  <si>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</si>
  <si>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</si>
  <si>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</si>
  <si>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</si>
  <si>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</si>
  <si>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</si>
  <si>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</si>
  <si>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</si>
  <si>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</si>
  <si>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</si>
  <si>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</si>
  <si>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</si>
  <si>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</si>
  <si>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</si>
  <si>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</si>
  <si>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</si>
  <si>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</si>
  <si>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</si>
  <si>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</si>
  <si>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</si>
  <si>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</si>
  <si>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</si>
  <si>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</si>
  <si>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</si>
  <si>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</si>
  <si>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</si>
  <si>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</si>
  <si>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</si>
  <si>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</si>
  <si>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</si>
  <si>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</si>
  <si>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</si>
  <si>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</si>
  <si>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</si>
  <si>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</si>
  <si>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</si>
  <si>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</si>
  <si>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</si>
  <si>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</si>
  <si>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</si>
  <si>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</si>
  <si>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</si>
  <si>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</si>
  <si>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</si>
  <si>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</si>
  <si>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</si>
  <si>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</si>
  <si>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</si>
  <si>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</si>
  <si>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</si>
  <si>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</si>
  <si>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</si>
  <si>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</si>
  <si>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</si>
  <si>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</si>
  <si>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</si>
  <si>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</si>
  <si>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</si>
  <si>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</si>
  <si>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</si>
  <si>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</si>
  <si>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</si>
  <si>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</si>
  <si>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</si>
  <si>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</si>
  <si>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</si>
  <si>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</si>
  <si>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</si>
  <si>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</si>
  <si>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</si>
  <si>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</si>
  <si>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</si>
  <si>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</si>
  <si>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</si>
  <si>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</si>
  <si>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</si>
  <si>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</si>
  <si>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</si>
  <si>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</si>
  <si>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</si>
  <si>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</si>
  <si>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</si>
  <si>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</si>
  <si>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</si>
  <si>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</si>
  <si>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</si>
  <si>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</si>
  <si>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</si>
  <si>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</si>
  <si>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</si>
  <si>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</si>
  <si>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</si>
  <si>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</si>
  <si>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</si>
  <si>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</si>
  <si>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</si>
  <si>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</si>
  <si>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</si>
  <si>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</si>
  <si>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</si>
  <si>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</si>
  <si>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</si>
  <si>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</si>
  <si>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</si>
  <si>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</si>
  <si>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</si>
  <si>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</si>
  <si>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</si>
  <si>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</si>
  <si>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</si>
  <si>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</si>
  <si>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</si>
  <si>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</si>
  <si>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</si>
  <si>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</si>
  <si>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</si>
  <si>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</si>
  <si>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</si>
  <si>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</si>
  <si>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</si>
  <si>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</si>
  <si>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</si>
  <si>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</si>
  <si>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</si>
  <si>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</si>
  <si>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</si>
  <si>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</si>
  <si>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</si>
  <si>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</si>
  <si>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</si>
  <si>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</si>
  <si>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</si>
  <si>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</si>
  <si>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</si>
  <si>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</si>
  <si>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</si>
  <si>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</si>
  <si>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</si>
  <si>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</si>
  <si>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</si>
  <si>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</si>
  <si>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</si>
  <si>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</si>
  <si>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</si>
  <si>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</si>
  <si>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</si>
  <si>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</si>
  <si>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</si>
  <si>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</si>
  <si>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</si>
  <si>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</si>
  <si>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</si>
  <si>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</si>
  <si>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</si>
  <si>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</si>
  <si>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</si>
  <si>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</si>
  <si>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</si>
  <si>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</si>
  <si>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</si>
  <si>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</si>
  <si>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</si>
  <si>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</si>
  <si>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</si>
  <si>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</si>
  <si>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</si>
  <si>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</si>
  <si>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</si>
  <si>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</si>
  <si>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</si>
  <si>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</si>
  <si>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</si>
  <si>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</si>
  <si>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</si>
  <si>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</si>
  <si>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</si>
  <si>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</si>
  <si>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</si>
  <si>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</si>
  <si>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</si>
  <si>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</si>
  <si>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</si>
  <si>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</si>
  <si>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</si>
  <si>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</si>
  <si>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</si>
  <si>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</si>
  <si>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</si>
  <si>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</si>
  <si>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</si>
  <si>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</si>
  <si>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</si>
  <si>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</si>
  <si>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</si>
  <si>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</si>
  <si>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</si>
  <si>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</si>
  <si>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</si>
  <si>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</si>
  <si>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</si>
  <si>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</si>
  <si>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</si>
  <si>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</si>
  <si>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</si>
  <si>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</si>
  <si>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</si>
  <si>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</si>
  <si>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</si>
  <si>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</si>
  <si>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</si>
  <si>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</si>
  <si>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</si>
  <si>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</si>
  <si>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</si>
  <si>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</si>
  <si>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</si>
  <si>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</si>
  <si>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</si>
  <si>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</si>
  <si>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</si>
  <si>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</si>
  <si>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</si>
  <si>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</si>
  <si>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</si>
  <si>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</si>
  <si>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</si>
  <si>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</si>
  <si>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</si>
  <si>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</si>
  <si>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</si>
  <si>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</si>
  <si>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</si>
  <si>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</si>
  <si>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</si>
  <si>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</si>
  <si>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</si>
  <si>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</si>
  <si>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</si>
  <si>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</si>
  <si>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</si>
  <si>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</si>
  <si>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</si>
  <si>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</si>
  <si>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</si>
  <si>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</si>
  <si>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</si>
  <si>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</si>
  <si>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</si>
  <si>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</si>
  <si>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</si>
  <si>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</si>
  <si>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</si>
  <si>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</si>
  <si>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</si>
  <si>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</si>
  <si>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</si>
  <si>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</si>
  <si>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</si>
  <si>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</si>
  <si>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</si>
  <si>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</si>
  <si>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</si>
  <si>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</si>
  <si>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</si>
  <si>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</si>
  <si>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</si>
  <si>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</si>
  <si>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</si>
  <si>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</si>
  <si>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</si>
  <si>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</si>
  <si>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</si>
  <si>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</si>
  <si>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</si>
  <si>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</si>
  <si>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</si>
  <si>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</si>
  <si>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</si>
  <si>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</si>
  <si>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</si>
  <si>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</si>
  <si>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</si>
  <si>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</si>
  <si>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</si>
  <si>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</si>
  <si>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</si>
  <si>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</si>
  <si>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</si>
  <si>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</si>
  <si>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</si>
  <si>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</si>
  <si>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</si>
  <si>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</si>
  <si>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</si>
  <si>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</si>
  <si>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</si>
  <si>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</si>
  <si>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</si>
  <si>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</si>
  <si>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</si>
  <si>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</si>
  <si>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</si>
  <si>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</si>
  <si>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</si>
  <si>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</si>
  <si>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</si>
  <si>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</si>
  <si>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</si>
  <si>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</si>
  <si>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</si>
  <si>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</si>
  <si>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</si>
  <si>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</si>
  <si>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</si>
  <si>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</si>
  <si>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</si>
  <si>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</si>
  <si>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</si>
  <si>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</si>
  <si>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</si>
  <si>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</si>
  <si>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</si>
  <si>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</si>
  <si>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</si>
  <si>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</si>
  <si>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</si>
  <si>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</si>
  <si>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</si>
  <si>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</si>
  <si>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</si>
  <si>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</si>
  <si>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</si>
  <si>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</si>
  <si>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</si>
  <si>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</si>
  <si>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</si>
  <si>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</si>
  <si>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</si>
  <si>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</si>
  <si>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</si>
  <si>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</si>
  <si>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</si>
  <si>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</si>
  <si>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</si>
  <si>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</si>
  <si>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</si>
  <si>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</si>
  <si>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</si>
  <si>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</si>
  <si>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</si>
  <si>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</si>
  <si>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</si>
  <si>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</si>
  <si>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</si>
  <si>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</si>
  <si>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</si>
  <si>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</si>
  <si>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</si>
  <si>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</si>
  <si>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</si>
  <si>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</si>
  <si>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</si>
  <si>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</si>
  <si>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</si>
  <si>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</si>
  <si>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</si>
  <si>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</si>
  <si>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</si>
  <si>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</si>
  <si>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</si>
  <si>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</si>
  <si>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</si>
  <si>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</si>
  <si>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</si>
  <si>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</si>
  <si>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</si>
  <si>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</si>
  <si>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</si>
  <si>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</si>
  <si>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</si>
  <si>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</si>
  <si>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</si>
  <si>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</si>
  <si>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</si>
  <si>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</si>
  <si>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</si>
  <si>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</si>
  <si>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</si>
  <si>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</si>
  <si>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</si>
  <si>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</si>
  <si>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</si>
  <si>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</si>
  <si>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</si>
  <si>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</si>
  <si>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</si>
  <si>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</si>
  <si>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</si>
  <si>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</si>
  <si>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</si>
  <si>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</si>
  <si>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</si>
  <si>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</si>
  <si>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</si>
  <si>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</si>
  <si>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</si>
  <si>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</si>
  <si>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</si>
  <si>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</si>
  <si>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</si>
  <si>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</si>
  <si>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</si>
  <si>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</si>
  <si>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</si>
  <si>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</si>
  <si>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</si>
  <si>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</si>
  <si>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</si>
  <si>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</si>
  <si>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</si>
  <si>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</si>
  <si>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</si>
  <si>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</si>
  <si>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</si>
  <si>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</si>
  <si>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</si>
  <si>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</si>
  <si>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</si>
  <si>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</si>
  <si>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</si>
  <si>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</si>
  <si>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</si>
  <si>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</si>
  <si>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</si>
  <si>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</si>
  <si>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</si>
  <si>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</si>
  <si>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</si>
  <si>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</si>
  <si>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</si>
  <si>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</si>
  <si>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</si>
  <si>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</si>
  <si>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</si>
  <si>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</si>
  <si>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</si>
  <si>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</si>
  <si>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</si>
  <si>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</si>
  <si>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</si>
  <si>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</si>
  <si>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</si>
  <si>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</si>
  <si>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</si>
  <si>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</si>
  <si>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</si>
  <si>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</si>
  <si>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</si>
  <si>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</si>
  <si>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</si>
  <si>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</si>
  <si>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</si>
  <si>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</si>
  <si>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</si>
  <si>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</si>
  <si>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</si>
  <si>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</si>
  <si>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</si>
  <si>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</si>
  <si>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</si>
  <si>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</si>
  <si>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</si>
  <si>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</si>
  <si>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</si>
  <si>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</si>
  <si>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</si>
  <si>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</si>
  <si>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</si>
  <si>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</si>
  <si>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</si>
  <si>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</si>
  <si>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</si>
  <si>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</si>
  <si>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</si>
  <si>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</si>
  <si>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</si>
  <si>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</si>
  <si>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</si>
  <si>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</si>
  <si>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</si>
  <si>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</si>
  <si>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</si>
  <si>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</si>
  <si>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</si>
  <si>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</si>
  <si>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</si>
  <si>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</si>
  <si>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</si>
  <si>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</si>
  <si>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</si>
  <si>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</si>
  <si>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</si>
  <si>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</si>
  <si>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</si>
  <si>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</si>
  <si>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</si>
  <si>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</si>
  <si>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</si>
  <si>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</si>
  <si>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</si>
  <si>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</si>
  <si>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</si>
  <si>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</si>
  <si>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</si>
  <si>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</si>
  <si>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</si>
  <si>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</si>
  <si>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</si>
  <si>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</si>
  <si>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</si>
  <si>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</si>
  <si>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</si>
  <si>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</si>
  <si>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</si>
  <si>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</si>
  <si>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</si>
  <si>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</si>
  <si>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</si>
  <si>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</si>
  <si>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</si>
  <si>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</si>
  <si>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</si>
  <si>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</si>
  <si>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</si>
  <si>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</si>
  <si>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</si>
  <si>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</si>
  <si>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</si>
  <si>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</si>
  <si>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</si>
  <si>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</si>
  <si>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</si>
  <si>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</si>
  <si>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</si>
  <si>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</si>
  <si>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</si>
  <si>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</si>
  <si>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</si>
  <si>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</si>
  <si>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</si>
  <si>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</si>
  <si>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</si>
  <si>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</si>
  <si>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</si>
  <si>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</si>
  <si>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</si>
  <si>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</si>
  <si>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</si>
  <si>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</si>
  <si>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</si>
  <si>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</si>
  <si>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</si>
  <si>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</si>
  <si>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</si>
  <si>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</si>
  <si>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</si>
  <si>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</si>
  <si>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</si>
  <si>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</si>
  <si>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</si>
  <si>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</si>
  <si>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</si>
  <si>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</si>
  <si>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</si>
  <si>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</si>
  <si>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</si>
  <si>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</si>
  <si>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</si>
  <si>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</si>
  <si>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</si>
  <si>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</si>
  <si>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</si>
  <si>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</si>
  <si>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</si>
  <si>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</si>
  <si>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</si>
  <si>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</si>
  <si>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</si>
  <si>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</si>
  <si>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</si>
  <si>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</si>
  <si>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</si>
  <si>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</si>
  <si>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</si>
  <si>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</si>
  <si>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</si>
  <si>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</si>
  <si>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</si>
  <si>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</si>
  <si>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</si>
  <si>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</si>
  <si>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</si>
  <si>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</si>
  <si>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</si>
  <si>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</si>
  <si>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</si>
  <si>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</si>
  <si>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</si>
  <si>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</si>
  <si>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</si>
  <si>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</si>
  <si>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</si>
  <si>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</si>
  <si>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</si>
  <si>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</si>
  <si>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</si>
  <si>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</si>
  <si>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</si>
  <si>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</si>
  <si>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</si>
  <si>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</si>
  <si>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</si>
  <si>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</si>
  <si>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</si>
  <si>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</si>
  <si>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</si>
  <si>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</si>
  <si>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</si>
  <si>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</si>
  <si>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</si>
  <si>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</si>
  <si>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</si>
  <si>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</si>
  <si>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</si>
  <si>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</si>
  <si>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</si>
  <si>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</si>
  <si>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</si>
  <si>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</si>
  <si>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</si>
  <si>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</si>
  <si>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</si>
  <si>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</si>
  <si>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</si>
  <si>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</si>
  <si>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</si>
  <si>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</si>
  <si>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</si>
  <si>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</si>
  <si>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</si>
  <si>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</si>
  <si>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</si>
  <si>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</si>
  <si>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</si>
  <si>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</si>
  <si>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</si>
  <si>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</si>
  <si>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</si>
  <si>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</si>
  <si>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</si>
  <si>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</si>
  <si>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</si>
  <si>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</si>
  <si>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</si>
  <si>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</si>
  <si>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</si>
  <si>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</si>
  <si>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</si>
  <si>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</si>
  <si>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</si>
  <si>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</si>
  <si>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</si>
  <si>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</si>
  <si>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</si>
  <si>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</si>
  <si>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</si>
  <si>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</si>
  <si>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</si>
  <si>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</si>
  <si>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</si>
  <si>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</si>
  <si>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</si>
  <si>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</si>
  <si>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</si>
  <si>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</si>
  <si>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</si>
  <si>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</si>
  <si>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</si>
  <si>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</si>
  <si>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</si>
  <si>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</si>
  <si>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</si>
  <si>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</si>
  <si>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</si>
  <si>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</si>
  <si>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</si>
  <si>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</si>
  <si>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</si>
  <si>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</si>
  <si>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</si>
  <si>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</si>
  <si>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</si>
  <si>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</si>
  <si>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</si>
  <si>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</si>
  <si>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</si>
  <si>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</si>
  <si>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</si>
  <si>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</si>
  <si>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</si>
  <si>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</si>
  <si>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</si>
  <si>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</si>
  <si>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</si>
  <si>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</si>
  <si>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</si>
  <si>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</si>
  <si>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</si>
  <si>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</si>
  <si>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</si>
  <si>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</si>
  <si>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</si>
  <si>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</si>
  <si>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</si>
  <si>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</si>
  <si>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</si>
  <si>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</si>
  <si>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</si>
  <si>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</si>
  <si>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</si>
  <si>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</si>
  <si>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</si>
  <si>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</si>
  <si>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</si>
  <si>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</si>
  <si>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</si>
  <si>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</si>
  <si>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</si>
  <si>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</si>
  <si>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</si>
  <si>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</si>
  <si>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</si>
  <si>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</si>
  <si>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</si>
  <si>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</si>
  <si>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</si>
  <si>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</si>
  <si>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</si>
  <si>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</si>
  <si>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</si>
  <si>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</si>
  <si>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</si>
  <si>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</si>
  <si>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</si>
  <si>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</si>
  <si>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</si>
  <si>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</si>
  <si>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</si>
  <si>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</si>
  <si>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</si>
  <si>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</si>
  <si>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</si>
  <si>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</si>
  <si>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</si>
  <si>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</si>
  <si>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</si>
  <si>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</si>
  <si>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</si>
  <si>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</si>
  <si>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</si>
  <si>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</si>
  <si>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</si>
  <si>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</si>
  <si>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</si>
  <si>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</si>
  <si>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</si>
  <si>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</si>
  <si>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</si>
  <si>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</si>
  <si>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</si>
  <si>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</si>
  <si>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</si>
  <si>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</si>
  <si>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</si>
  <si>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</si>
  <si>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</si>
  <si>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</si>
  <si>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</si>
  <si>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</si>
  <si>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</si>
  <si>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</si>
  <si>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</si>
  <si>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</si>
  <si>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</si>
  <si>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</si>
  <si>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</si>
  <si>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</si>
  <si>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</si>
  <si>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</si>
  <si>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</si>
  <si>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</si>
  <si>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</si>
  <si>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</si>
  <si>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</si>
  <si>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</si>
  <si>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</si>
  <si>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</si>
  <si>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</si>
  <si>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</si>
  <si>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</si>
  <si>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</si>
  <si>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</si>
  <si>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</si>
  <si>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</si>
  <si>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</si>
  <si>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</si>
  <si>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</si>
  <si>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</si>
  <si>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</si>
  <si>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</si>
  <si>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</si>
  <si>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</si>
  <si>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</si>
  <si>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</si>
  <si>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</si>
  <si>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</si>
  <si>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</si>
  <si>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</si>
  <si>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</si>
  <si>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</si>
  <si>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</si>
  <si>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</si>
  <si>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</si>
  <si>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</si>
  <si>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</si>
  <si>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</si>
  <si>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</si>
  <si>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</si>
  <si>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</si>
  <si>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</si>
  <si>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</si>
  <si>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</si>
  <si>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</si>
  <si>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</si>
  <si>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</si>
  <si>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</si>
  <si>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</si>
  <si>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</si>
  <si>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</si>
  <si>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</si>
  <si>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</si>
  <si>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</si>
  <si>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</si>
  <si>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</si>
  <si>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</si>
  <si>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</si>
  <si>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</si>
  <si>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</si>
  <si>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</si>
  <si>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</si>
  <si>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</si>
  <si>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</si>
  <si>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</si>
  <si>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</si>
  <si>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</si>
  <si>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</si>
  <si>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</si>
  <si>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</si>
  <si>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</si>
  <si>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</si>
  <si>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</si>
  <si>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</si>
  <si>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</si>
  <si>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</si>
  <si>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</si>
  <si>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</si>
  <si>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</si>
  <si>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</si>
  <si>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</si>
  <si>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</si>
  <si>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</si>
  <si>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</si>
  <si>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</si>
  <si>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</si>
  <si>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</si>
  <si>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</si>
  <si>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</si>
  <si>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</si>
  <si>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</si>
  <si>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</si>
  <si>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</si>
  <si>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</si>
  <si>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</si>
  <si>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</si>
  <si>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</si>
  <si>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</si>
  <si>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</si>
  <si>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</si>
  <si>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</si>
  <si>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</si>
  <si>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</si>
  <si>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</si>
  <si>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</si>
  <si>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</si>
  <si>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</si>
  <si>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</si>
  <si>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</si>
  <si>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</si>
  <si>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</si>
  <si>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</si>
  <si>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</si>
  <si>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</si>
  <si>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</si>
  <si>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</si>
  <si>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</si>
  <si>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</si>
  <si>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</si>
  <si>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</si>
  <si>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</si>
  <si>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</si>
  <si>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</si>
  <si>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</si>
  <si>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</si>
  <si>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</si>
  <si>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</si>
  <si>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</si>
  <si>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</si>
  <si>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</si>
  <si>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</si>
  <si>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</si>
  <si>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</si>
  <si>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</si>
  <si>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</si>
  <si>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</si>
  <si>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</si>
  <si>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</si>
  <si>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</si>
  <si>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</si>
  <si>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</si>
  <si>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</si>
  <si>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</si>
  <si>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</si>
  <si>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</si>
  <si>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</si>
  <si>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</si>
  <si>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</si>
  <si>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</si>
  <si>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</si>
  <si>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</si>
  <si>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</si>
  <si>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</si>
  <si>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</si>
  <si>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</si>
  <si>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</si>
  <si>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</si>
  <si>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</si>
  <si>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</si>
  <si>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</si>
  <si>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</si>
  <si>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</si>
  <si>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</si>
  <si>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</si>
  <si>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</si>
  <si>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</si>
  <si>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</si>
  <si>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</si>
  <si>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</si>
  <si>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</si>
  <si>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</si>
  <si>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</si>
  <si>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</si>
  <si>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</si>
  <si>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</si>
  <si>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</si>
  <si>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</si>
  <si>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</si>
  <si>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</si>
  <si>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</si>
  <si>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</si>
  <si>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</si>
  <si>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</si>
  <si>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</si>
  <si>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</si>
  <si>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</si>
  <si>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</si>
  <si>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</si>
  <si>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</si>
  <si>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</si>
  <si>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</si>
  <si>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</si>
  <si>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</si>
  <si>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</si>
  <si>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</si>
  <si>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</si>
  <si>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</si>
  <si>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</si>
  <si>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</si>
  <si>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</si>
  <si>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</si>
  <si>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</si>
  <si>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</si>
  <si>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</si>
  <si>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</si>
  <si>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</si>
  <si>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</si>
  <si>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</si>
  <si>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</si>
  <si>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</si>
  <si>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</si>
  <si>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</si>
  <si>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</si>
  <si>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</si>
  <si>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</si>
  <si>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</si>
  <si>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</si>
  <si>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</si>
  <si>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</si>
  <si>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</si>
  <si>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</si>
  <si>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</si>
  <si>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</si>
  <si>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</si>
  <si>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</si>
  <si>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</si>
  <si>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</si>
  <si>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</si>
  <si>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</si>
  <si>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</si>
  <si>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</si>
  <si>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</si>
  <si>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</si>
  <si>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</si>
  <si>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</si>
  <si>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</si>
  <si>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</si>
  <si>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</si>
  <si>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</si>
  <si>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</si>
  <si>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</si>
  <si>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</si>
  <si>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</si>
  <si>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</si>
  <si>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</si>
  <si>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</si>
  <si>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</si>
  <si>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</si>
  <si>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</si>
  <si>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</si>
  <si>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</si>
  <si>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</si>
  <si>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</si>
  <si>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</si>
  <si>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</si>
  <si>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</si>
  <si>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</si>
  <si>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</si>
  <si>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</si>
  <si>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</si>
  <si>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</si>
  <si>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</si>
  <si>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</si>
  <si>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</si>
  <si>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</si>
  <si>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</si>
  <si>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</si>
  <si>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</si>
  <si>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</si>
  <si>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</si>
  <si>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</si>
  <si>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</si>
  <si>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</si>
  <si>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</si>
  <si>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</si>
  <si>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</si>
  <si>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</si>
  <si>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</si>
  <si>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</si>
  <si>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</si>
  <si>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</si>
  <si>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</si>
  <si>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</si>
  <si>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</si>
  <si>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</si>
  <si>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</si>
  <si>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</si>
  <si>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</si>
  <si>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</si>
  <si>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</si>
  <si>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</si>
  <si>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</si>
  <si>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</si>
  <si>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</si>
  <si>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</si>
  <si>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</si>
  <si>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</si>
  <si>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</si>
  <si>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</si>
  <si>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</si>
  <si>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</si>
  <si>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</si>
  <si>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</si>
  <si>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</si>
  <si>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</si>
  <si>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</si>
  <si>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</si>
  <si>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</si>
  <si>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</si>
  <si>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</si>
  <si>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</si>
  <si>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</si>
  <si>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</si>
  <si>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</si>
  <si>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</si>
  <si>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</si>
  <si>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</si>
  <si>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</si>
  <si>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</si>
  <si>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</si>
  <si>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</si>
  <si>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</si>
  <si>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</si>
  <si>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</si>
  <si>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</si>
  <si>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</si>
  <si>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</si>
  <si>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</si>
  <si>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</si>
  <si>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</si>
  <si>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</si>
  <si>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</si>
  <si>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</si>
  <si>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</si>
  <si>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</si>
  <si>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</si>
  <si>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</si>
  <si>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</si>
  <si>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</si>
  <si>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</si>
  <si>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</si>
  <si>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</si>
  <si>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</si>
  <si>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</si>
  <si>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</si>
  <si>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</si>
  <si>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</si>
  <si>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</si>
  <si>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</si>
  <si>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</si>
  <si>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</si>
  <si>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</si>
  <si>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</si>
  <si>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</si>
  <si>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</si>
  <si>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</si>
  <si>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</si>
  <si>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</si>
  <si>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</si>
  <si>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</si>
  <si>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</si>
  <si>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</si>
  <si>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</si>
  <si>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</si>
  <si>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</si>
  <si>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</si>
  <si>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</si>
  <si>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</si>
  <si>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</si>
  <si>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</si>
  <si>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</si>
  <si>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</si>
  <si>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</si>
  <si>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</si>
  <si>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</si>
  <si>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</si>
  <si>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</si>
  <si>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</si>
  <si>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</si>
  <si>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</si>
  <si>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</si>
  <si>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</si>
  <si>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</si>
  <si>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</si>
  <si>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</si>
  <si>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</si>
  <si>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</si>
  <si>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</si>
  <si>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</si>
  <si>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</si>
  <si>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</si>
  <si>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</si>
  <si>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</si>
  <si>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</si>
  <si>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</si>
  <si>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</si>
  <si>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</si>
  <si>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</si>
  <si>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</si>
  <si>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</si>
  <si>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</si>
  <si>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</si>
  <si>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</si>
  <si>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</si>
  <si>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</si>
  <si>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</si>
  <si>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</si>
  <si>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</si>
  <si>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</si>
  <si>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</si>
  <si>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</si>
  <si>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</si>
  <si>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</si>
  <si>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</si>
  <si>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</si>
  <si>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</si>
  <si>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</si>
  <si>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</si>
  <si>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</si>
  <si>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</si>
  <si>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</si>
  <si>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</si>
  <si>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</si>
  <si>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</si>
  <si>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</si>
  <si>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</si>
  <si>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</si>
  <si>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</si>
  <si>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</si>
  <si>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</si>
  <si>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</si>
  <si>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</si>
  <si>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</si>
  <si>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</si>
  <si>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</si>
  <si>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</si>
  <si>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</si>
  <si>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</si>
  <si>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</si>
  <si>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</si>
  <si>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</si>
  <si>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</si>
  <si>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</si>
  <si>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</si>
  <si>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</si>
  <si>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</si>
  <si>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</si>
  <si>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</si>
  <si>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</si>
  <si>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</si>
  <si>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</si>
  <si>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</si>
  <si>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</si>
  <si>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</si>
  <si>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</si>
  <si>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</si>
  <si>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</si>
  <si>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</si>
  <si>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</si>
  <si>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</si>
  <si>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</si>
  <si>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</si>
  <si>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</si>
  <si>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</si>
  <si>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</si>
  <si>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</si>
  <si>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</si>
  <si>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</si>
  <si>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</si>
  <si>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</si>
  <si>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</si>
  <si>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</si>
  <si>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</si>
  <si>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</si>
  <si>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</si>
  <si>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</si>
  <si>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</si>
  <si>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</si>
  <si>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</si>
  <si>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</si>
  <si>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</si>
  <si>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</si>
  <si>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</si>
  <si>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</si>
  <si>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</si>
  <si>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</si>
  <si>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</si>
  <si>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</si>
  <si>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</si>
  <si>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</si>
  <si>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</si>
  <si>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</si>
  <si>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</si>
  <si>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</si>
  <si>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</si>
  <si>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</si>
  <si>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</si>
  <si>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</si>
  <si>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</si>
  <si>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</si>
  <si>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</si>
  <si>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</si>
  <si>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</si>
  <si>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</si>
  <si>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</si>
  <si>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</si>
  <si>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</si>
  <si>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</si>
  <si>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</si>
  <si>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</si>
  <si>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</si>
  <si>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</si>
  <si>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</si>
  <si>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</si>
  <si>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</si>
  <si>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</si>
  <si>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</si>
  <si>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</si>
  <si>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</si>
  <si>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</si>
  <si>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</si>
  <si>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</si>
  <si>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</si>
  <si>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</si>
  <si>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</si>
  <si>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</si>
  <si>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</si>
  <si>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</si>
  <si>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</si>
  <si>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</si>
  <si>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</si>
  <si>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</si>
  <si>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</si>
  <si>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</si>
  <si>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</si>
  <si>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</si>
  <si>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</si>
  <si>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</si>
  <si>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</si>
  <si>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</si>
  <si>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</si>
  <si>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</si>
  <si>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</si>
  <si>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</si>
  <si>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</si>
  <si>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</si>
  <si>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</si>
  <si>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</si>
  <si>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</si>
  <si>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</si>
  <si>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</si>
  <si>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</si>
  <si>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</si>
  <si>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</si>
  <si>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</si>
  <si>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</si>
  <si>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</si>
  <si>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</si>
  <si>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</si>
  <si>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</si>
  <si>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</si>
  <si>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</si>
  <si>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</si>
  <si>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</si>
  <si>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</si>
  <si>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</si>
  <si>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</si>
  <si>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</si>
  <si>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</si>
  <si>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</si>
  <si>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</si>
  <si>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</si>
  <si>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</si>
  <si>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</si>
  <si>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</si>
  <si>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</si>
  <si>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</si>
  <si>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</si>
  <si>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</si>
  <si>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</si>
  <si>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</si>
  <si>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</si>
  <si>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</si>
  <si>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</si>
  <si>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</si>
  <si>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</si>
  <si>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</si>
  <si>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</si>
  <si>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</si>
  <si>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</si>
  <si>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</si>
  <si>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</si>
  <si>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</si>
  <si>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</si>
  <si>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</si>
  <si>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</si>
  <si>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</si>
  <si>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</si>
  <si>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</si>
  <si>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</si>
  <si>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</si>
  <si>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</si>
  <si>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</si>
  <si>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</si>
  <si>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</si>
  <si>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</si>
  <si>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</si>
  <si>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</si>
  <si>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</si>
  <si>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</si>
  <si>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</si>
  <si>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</si>
  <si>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</si>
  <si>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</si>
  <si>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</si>
  <si>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</si>
  <si>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</si>
  <si>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</si>
  <si>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</si>
  <si>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</si>
  <si>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</si>
  <si>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</si>
  <si>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</si>
  <si>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</si>
  <si>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</si>
  <si>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</si>
  <si>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</si>
  <si>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</si>
  <si>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</si>
  <si>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</si>
  <si>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</si>
  <si>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</si>
  <si>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</si>
  <si>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</si>
  <si>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</si>
  <si>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</si>
  <si>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</si>
  <si>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</si>
  <si>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</si>
  <si>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</si>
  <si>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</si>
  <si>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</si>
  <si>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</si>
  <si>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</si>
  <si>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</si>
  <si>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</si>
  <si>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</si>
  <si>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</si>
  <si>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</si>
  <si>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</si>
  <si>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</si>
  <si>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</si>
  <si>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</si>
  <si>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</si>
  <si>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</si>
  <si>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</si>
  <si>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</si>
  <si>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</si>
  <si>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</si>
  <si>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</si>
  <si>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</si>
  <si>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</si>
  <si>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</si>
  <si>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</si>
  <si>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</si>
  <si>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</si>
  <si>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</si>
  <si>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</si>
  <si>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</si>
  <si>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</si>
  <si>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</si>
  <si>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</si>
  <si>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</si>
  <si>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</si>
  <si>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</si>
  <si>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</si>
  <si>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</si>
  <si>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</si>
  <si>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</si>
  <si>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</si>
  <si>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</si>
  <si>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</si>
  <si>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</si>
  <si>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</si>
  <si>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</si>
  <si>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</si>
  <si>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</si>
  <si>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</si>
  <si>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</si>
  <si>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</si>
  <si>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</si>
  <si>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</si>
  <si>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</si>
  <si>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</si>
  <si>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</si>
  <si>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</si>
  <si>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</si>
  <si>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</si>
  <si>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</si>
  <si>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</si>
  <si>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</si>
  <si>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</si>
  <si>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</si>
  <si>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</si>
  <si>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</si>
  <si>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</si>
  <si>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</si>
  <si>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</si>
  <si>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</si>
  <si>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</si>
  <si>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</si>
  <si>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</si>
  <si>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</si>
  <si>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</si>
  <si>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</si>
  <si>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</si>
  <si>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</si>
  <si>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</si>
  <si>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</si>
  <si>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</si>
  <si>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</si>
  <si>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</si>
  <si>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</si>
  <si>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</si>
  <si>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</si>
  <si>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</si>
  <si>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</si>
  <si>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</si>
  <si>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</si>
  <si>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</si>
  <si>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</si>
  <si>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</si>
  <si>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</si>
  <si>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</si>
  <si>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</si>
  <si>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</si>
  <si>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</si>
  <si>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</si>
  <si>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</si>
  <si>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</si>
  <si>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</si>
  <si>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</si>
  <si>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</si>
  <si>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</si>
  <si>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</si>
  <si>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</si>
  <si>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</si>
  <si>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</si>
  <si>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</si>
  <si>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</si>
  <si>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</si>
  <si>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</si>
  <si>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</si>
  <si>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</si>
  <si>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</si>
  <si>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</si>
  <si>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</si>
  <si>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</si>
  <si>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</si>
  <si>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</si>
  <si>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</si>
  <si>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</si>
  <si>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</si>
  <si>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</si>
  <si>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</si>
  <si>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</si>
  <si>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</si>
  <si>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</si>
  <si>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</si>
  <si>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</si>
  <si>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</si>
  <si>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</si>
  <si>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</si>
  <si>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</si>
  <si>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</si>
  <si>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</si>
  <si>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</si>
  <si>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</si>
  <si>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</si>
  <si>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</si>
  <si>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</si>
  <si>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</si>
  <si>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</si>
  <si>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</si>
  <si>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</si>
  <si>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</si>
  <si>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</si>
  <si>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</si>
  <si>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</si>
  <si>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</si>
  <si>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</si>
  <si>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</si>
  <si>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</si>
  <si>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</si>
  <si>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</si>
  <si>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</si>
  <si>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</si>
  <si>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</si>
  <si>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</si>
  <si>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</si>
  <si>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</si>
  <si>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</si>
  <si>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</si>
  <si>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</si>
  <si>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</si>
  <si>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</si>
  <si>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</si>
  <si>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</si>
  <si>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</si>
  <si>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</si>
  <si>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</si>
  <si>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</si>
  <si>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</si>
  <si>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</si>
  <si>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</si>
  <si>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</si>
  <si>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</si>
  <si>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</si>
  <si>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</si>
  <si>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</si>
  <si>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</si>
  <si>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</si>
  <si>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</si>
  <si>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</si>
  <si>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</si>
  <si>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</si>
  <si>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</si>
  <si>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</si>
  <si>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</si>
  <si>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</si>
  <si>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</si>
  <si>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</si>
  <si>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</si>
  <si>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</si>
  <si>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</si>
  <si>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</si>
  <si>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</si>
  <si>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</si>
  <si>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</si>
  <si>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</si>
  <si>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</si>
  <si>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</si>
  <si>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</si>
  <si>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</si>
  <si>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</si>
  <si>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</si>
  <si>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</si>
  <si>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</si>
  <si>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</si>
  <si>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</si>
  <si>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</si>
  <si>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</si>
  <si>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</si>
  <si>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</si>
  <si>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</si>
  <si>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</si>
  <si>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</si>
  <si>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</si>
  <si>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</si>
  <si>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</si>
  <si>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</si>
  <si>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</si>
  <si>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</si>
  <si>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</si>
  <si>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</si>
  <si>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</si>
  <si>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</si>
  <si>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</si>
  <si>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</si>
  <si>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</si>
  <si>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</si>
  <si>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</si>
  <si>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</si>
  <si>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</si>
  <si>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</si>
  <si>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</si>
  <si>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</si>
  <si>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</si>
  <si>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</si>
  <si>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</si>
  <si>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</si>
  <si>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</si>
  <si>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</si>
  <si>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</si>
  <si>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</si>
  <si>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</si>
  <si>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</si>
  <si>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</si>
  <si>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</si>
  <si>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</si>
  <si>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</si>
  <si>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</si>
  <si>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</si>
  <si>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</si>
  <si>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</si>
  <si>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</si>
  <si>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</si>
  <si>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</si>
  <si>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</si>
  <si>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</si>
  <si>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</si>
  <si>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</si>
  <si>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</si>
  <si>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</si>
  <si>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</si>
  <si>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</si>
  <si>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</si>
  <si>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</si>
  <si>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</si>
  <si>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</si>
  <si>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</si>
  <si>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</si>
  <si>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</si>
  <si>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</si>
  <si>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</si>
  <si>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</si>
  <si>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</si>
  <si>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</si>
  <si>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</si>
  <si>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</si>
  <si>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</si>
  <si>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</si>
  <si>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</si>
  <si>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</si>
  <si>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</si>
  <si>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</si>
  <si>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</si>
  <si>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</si>
  <si>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</si>
  <si>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</si>
  <si>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</si>
  <si>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</si>
  <si>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</si>
  <si>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</si>
  <si>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</si>
  <si>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</si>
  <si>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</si>
  <si>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</si>
  <si>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</si>
  <si>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</si>
  <si>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</si>
  <si>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</si>
  <si>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</si>
  <si>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</si>
  <si>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</si>
  <si>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</si>
  <si>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</si>
  <si>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</si>
  <si>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</si>
  <si>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</si>
  <si>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</si>
  <si>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</si>
  <si>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</si>
  <si>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</si>
  <si>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</si>
  <si>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</si>
  <si>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</si>
  <si>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</si>
  <si>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</si>
  <si>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</si>
  <si>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</si>
  <si>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</si>
  <si>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</si>
  <si>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</si>
  <si>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</si>
  <si>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</si>
  <si>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</si>
  <si>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</si>
  <si>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</si>
  <si>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</si>
  <si>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</si>
  <si>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</si>
  <si>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</si>
  <si>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</si>
  <si>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</si>
  <si>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</si>
  <si>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</si>
  <si>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</si>
  <si>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</si>
  <si>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</si>
  <si>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</si>
  <si>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</si>
  <si>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</si>
  <si>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</si>
  <si>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</si>
  <si>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</si>
  <si>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</si>
  <si>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</si>
  <si>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</si>
  <si>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</si>
  <si>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</si>
  <si>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</si>
  <si>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</si>
  <si>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</si>
  <si>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</si>
  <si>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</si>
  <si>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</si>
  <si>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</si>
  <si>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</si>
  <si>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</si>
  <si>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</si>
  <si>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</si>
  <si>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</si>
  <si>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</si>
  <si>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</si>
  <si>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</si>
  <si>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</si>
  <si>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</si>
  <si>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</si>
  <si>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</si>
  <si>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</si>
  <si>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</si>
  <si>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</si>
  <si>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</si>
  <si>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</si>
  <si>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</si>
  <si>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</si>
  <si>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</si>
  <si>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</si>
  <si>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</si>
  <si>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</si>
  <si>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</si>
  <si>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</si>
  <si>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</si>
  <si>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</si>
  <si>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</si>
  <si>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</si>
  <si>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</si>
  <si>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</si>
  <si>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</si>
  <si>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</si>
  <si>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</si>
  <si>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</si>
  <si>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</si>
  <si>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</si>
  <si>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</si>
  <si>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</si>
  <si>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</si>
  <si>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</si>
  <si>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</si>
  <si>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</si>
  <si>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</si>
  <si>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</si>
  <si>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</si>
  <si>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</si>
  <si>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</si>
  <si>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</si>
  <si>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</si>
  <si>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</si>
  <si>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</si>
  <si>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</si>
  <si>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</si>
  <si>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</si>
  <si>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</si>
  <si>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</si>
  <si>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</si>
  <si>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</si>
  <si>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</si>
  <si>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</si>
  <si>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</si>
  <si>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</si>
  <si>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</si>
  <si>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</si>
  <si>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</si>
  <si>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</si>
  <si>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</si>
  <si>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</si>
  <si>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</si>
  <si>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</si>
  <si>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</si>
  <si>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</si>
  <si>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</si>
  <si>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</si>
  <si>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</si>
  <si>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</si>
  <si>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</si>
  <si>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</si>
  <si>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</si>
  <si>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</si>
  <si>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</si>
  <si>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</si>
  <si>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</si>
  <si>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</si>
  <si>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</si>
  <si>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</si>
  <si>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</si>
  <si>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</si>
  <si>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</si>
  <si>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</si>
  <si>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</si>
  <si>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</si>
  <si>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</si>
  <si>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</si>
  <si>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</si>
  <si>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</si>
  <si>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</si>
  <si>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</si>
  <si>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</si>
  <si>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</si>
  <si>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</si>
  <si>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</si>
  <si>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</si>
  <si>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</si>
  <si>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</si>
  <si>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</si>
  <si>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</si>
  <si>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</si>
  <si>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</si>
  <si>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</si>
  <si>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</si>
  <si>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</si>
  <si>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</si>
  <si>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</si>
  <si>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</si>
  <si>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</si>
  <si>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</si>
  <si>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</si>
  <si>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</si>
  <si>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</si>
  <si>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</si>
  <si>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</si>
  <si>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</si>
  <si>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</si>
  <si>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</si>
  <si>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</si>
  <si>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</si>
  <si>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</si>
  <si>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</si>
  <si>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</si>
  <si>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</si>
  <si>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</si>
  <si>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</si>
  <si>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</si>
  <si>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</si>
  <si>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</si>
  <si>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</si>
  <si>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</si>
  <si>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</si>
  <si>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</si>
  <si>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</si>
  <si>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</si>
  <si>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</si>
  <si>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</si>
  <si>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</si>
  <si>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</si>
  <si>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</si>
  <si>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</si>
  <si>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</si>
  <si>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</si>
  <si>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</si>
  <si>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</si>
  <si>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</si>
  <si>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</si>
  <si>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</si>
  <si>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</si>
  <si>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</si>
  <si>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</si>
  <si>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</si>
  <si>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</si>
  <si>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</si>
  <si>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</si>
  <si>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</si>
  <si>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</si>
  <si>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</si>
  <si>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</si>
  <si>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</si>
  <si>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</si>
  <si>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</si>
  <si>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</si>
  <si>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</si>
  <si>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</si>
  <si>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</si>
  <si>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</si>
  <si>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</si>
  <si>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</si>
  <si>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</si>
  <si>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</si>
  <si>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</si>
  <si>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</si>
  <si>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</si>
  <si>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</si>
  <si>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</si>
  <si>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</si>
  <si>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</si>
  <si>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</si>
  <si>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</si>
  <si>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</si>
  <si>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</si>
  <si>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</si>
  <si>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</si>
  <si>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</si>
  <si>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</si>
  <si>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</si>
  <si>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</si>
  <si>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</si>
  <si>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</si>
  <si>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</si>
  <si>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</si>
  <si>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</si>
  <si>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</si>
  <si>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</si>
  <si>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</si>
  <si>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</si>
  <si>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</si>
  <si>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</si>
  <si>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</si>
  <si>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</si>
  <si>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</si>
  <si>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</si>
  <si>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</si>
  <si>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</si>
  <si>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</si>
  <si>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</si>
  <si>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</si>
  <si>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</si>
  <si>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</si>
  <si>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</si>
  <si>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</si>
  <si>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</si>
  <si>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</si>
  <si>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</si>
  <si>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</si>
  <si>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</si>
  <si>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</si>
  <si>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</si>
  <si>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</si>
  <si>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</si>
  <si>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</si>
  <si>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</si>
  <si>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</si>
  <si>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</si>
  <si>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</si>
  <si>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</si>
  <si>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</si>
  <si>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</si>
  <si>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</si>
  <si>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</si>
  <si>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</si>
  <si>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</si>
  <si>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</si>
  <si>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</si>
  <si>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</si>
  <si>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</si>
  <si>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</si>
  <si>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</si>
  <si>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</si>
  <si>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</si>
  <si>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</si>
  <si>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</si>
  <si>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</si>
  <si>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</si>
  <si>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</si>
  <si>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</si>
  <si>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</si>
  <si>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</si>
  <si>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</si>
  <si>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</si>
  <si>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</si>
  <si>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</si>
  <si>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</si>
  <si>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</si>
  <si>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</si>
  <si>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</si>
  <si>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</si>
  <si>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</si>
  <si>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</si>
  <si>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</si>
  <si>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</si>
  <si>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</si>
  <si>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</si>
  <si>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</si>
  <si>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</si>
  <si>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</si>
  <si>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</si>
  <si>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</si>
  <si>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</si>
  <si>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</si>
  <si>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</si>
  <si>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</si>
  <si>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</si>
  <si>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</si>
  <si>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</si>
  <si>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</si>
  <si>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</si>
  <si>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</si>
  <si>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</si>
  <si>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</si>
  <si>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</si>
  <si>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</si>
  <si>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</si>
  <si>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</si>
  <si>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</si>
  <si>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</si>
  <si>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</si>
  <si>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</si>
  <si>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</si>
  <si>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</si>
  <si>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</si>
  <si>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</si>
  <si>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</si>
  <si>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</si>
  <si>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</si>
  <si>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</si>
  <si>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</si>
  <si>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</si>
  <si>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</si>
  <si>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</si>
  <si>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</si>
  <si>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</si>
  <si>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</si>
  <si>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</si>
  <si>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</si>
  <si>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</si>
  <si>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</si>
  <si>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</si>
  <si>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</si>
  <si>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</si>
  <si>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</si>
  <si>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</si>
  <si>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</si>
  <si>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</si>
  <si>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</si>
  <si>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</si>
  <si>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</si>
  <si>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</si>
  <si>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</si>
  <si>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</si>
  <si>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</si>
  <si>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</si>
  <si>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</si>
  <si>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</si>
  <si>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</si>
  <si>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</si>
  <si>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</si>
  <si>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</si>
  <si>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</si>
  <si>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</si>
  <si>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</si>
  <si>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</si>
  <si>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</si>
  <si>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</si>
  <si>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</si>
  <si>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</si>
  <si>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</si>
  <si>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</si>
  <si>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</si>
  <si>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</si>
  <si>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</si>
  <si>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</si>
  <si>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</si>
  <si>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</si>
  <si>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</si>
  <si>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</si>
  <si>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</si>
  <si>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</si>
  <si>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</si>
  <si>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</si>
  <si>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</si>
  <si>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</si>
  <si>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</si>
  <si>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</si>
  <si>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</si>
  <si>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</si>
  <si>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</si>
  <si>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</si>
  <si>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</si>
  <si>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</si>
  <si>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</si>
  <si>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</si>
  <si>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</si>
  <si>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</si>
  <si>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</si>
  <si>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</si>
  <si>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</si>
  <si>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</si>
  <si>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</si>
  <si>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</si>
  <si>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</si>
  <si>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</si>
  <si>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</si>
  <si>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</si>
  <si>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</si>
  <si>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</si>
  <si>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</si>
  <si>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</si>
  <si>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</si>
  <si>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</si>
  <si>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</si>
  <si>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</si>
  <si>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</si>
  <si>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</si>
  <si>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</si>
  <si>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</si>
  <si>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</si>
  <si>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</si>
  <si>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</si>
  <si>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</si>
  <si>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</si>
  <si>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</si>
  <si>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</si>
  <si>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</si>
  <si>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</si>
  <si>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</si>
  <si>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</si>
  <si>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</si>
  <si>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</si>
  <si>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</si>
  <si>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</si>
  <si>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</si>
  <si>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</si>
  <si>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</si>
  <si>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</si>
  <si>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</si>
  <si>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</si>
  <si>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</si>
  <si>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</si>
  <si>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</si>
  <si>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</si>
  <si>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</si>
  <si>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</si>
  <si>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</si>
  <si>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</si>
  <si>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</si>
  <si>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</si>
  <si>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</si>
  <si>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</si>
  <si>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</si>
  <si>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</si>
  <si>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</si>
  <si>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</si>
  <si>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</si>
  <si>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</si>
  <si>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</si>
  <si>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</si>
  <si>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</si>
  <si>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</si>
  <si>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</si>
  <si>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</si>
  <si>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</si>
  <si>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</si>
  <si>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</si>
  <si>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</si>
  <si>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</si>
  <si>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</si>
  <si>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</si>
  <si>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</si>
  <si>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</si>
  <si>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</si>
  <si>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</si>
  <si>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</si>
  <si>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</si>
  <si>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</si>
  <si>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</si>
  <si>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</si>
  <si>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</si>
  <si>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</si>
  <si>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</si>
  <si>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</si>
  <si>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</si>
  <si>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</si>
  <si>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</si>
  <si>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</si>
  <si>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</si>
  <si>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</si>
  <si>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</si>
  <si>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</si>
  <si>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</si>
  <si>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</si>
  <si>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</si>
  <si>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</si>
  <si>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</si>
  <si>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</si>
  <si>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</si>
  <si>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</si>
  <si>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</si>
  <si>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</si>
  <si>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</si>
  <si>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</si>
  <si>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</si>
  <si>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</si>
  <si>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</si>
  <si>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</si>
  <si>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</si>
  <si>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</si>
  <si>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</si>
  <si>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</si>
  <si>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</si>
  <si>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</si>
  <si>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</si>
  <si>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</si>
  <si>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</si>
  <si>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</si>
  <si>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</si>
  <si>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</si>
  <si>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</si>
  <si>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</si>
  <si>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</si>
  <si>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</si>
  <si>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</si>
  <si>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</si>
  <si>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</si>
  <si>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</si>
  <si>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</si>
  <si>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</si>
  <si>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</si>
  <si>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</si>
  <si>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</si>
  <si>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</si>
  <si>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</si>
  <si>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</si>
  <si>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</si>
  <si>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</si>
  <si>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</si>
  <si>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</si>
  <si>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</si>
  <si>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</si>
  <si>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</si>
  <si>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</si>
  <si>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</si>
  <si>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</si>
  <si>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</si>
  <si>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</si>
  <si>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</si>
  <si>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</si>
  <si>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</si>
  <si>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</si>
  <si>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</si>
  <si>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</si>
  <si>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</si>
  <si>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</si>
  <si>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</si>
  <si>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</si>
  <si>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</si>
  <si>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</si>
  <si>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</si>
  <si>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</si>
  <si>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</si>
  <si>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</si>
  <si>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</si>
  <si>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</si>
  <si>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</si>
  <si>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</si>
  <si>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</si>
  <si>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</si>
  <si>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</si>
  <si>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</si>
  <si>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</si>
  <si>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</si>
  <si>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</si>
  <si>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</si>
  <si>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</si>
  <si>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</si>
  <si>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</si>
  <si>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</si>
  <si>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</si>
  <si>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</si>
  <si>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</si>
  <si>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</si>
  <si>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</si>
  <si>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</si>
  <si>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</si>
  <si>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</si>
  <si>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</si>
  <si>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</si>
  <si>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</si>
  <si>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</si>
  <si>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</si>
  <si>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</si>
  <si>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</si>
  <si>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</si>
  <si>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</si>
  <si>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</si>
  <si>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</si>
  <si>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</si>
  <si>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</si>
  <si>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</si>
  <si>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</si>
  <si>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</si>
  <si>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</si>
  <si>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</si>
  <si>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</si>
  <si>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</si>
  <si>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</si>
  <si>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</si>
  <si>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</si>
  <si>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</si>
  <si>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</si>
  <si>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</si>
  <si>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</si>
  <si>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</si>
  <si>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</si>
  <si>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</si>
  <si>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</si>
  <si>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</si>
  <si>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</si>
  <si>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</si>
  <si>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</si>
  <si>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</si>
  <si>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</si>
  <si>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</si>
  <si>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</si>
  <si>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</si>
  <si>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</si>
  <si>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</si>
  <si>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</si>
  <si>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</si>
  <si>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</si>
  <si>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</si>
  <si>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</si>
  <si>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</si>
  <si>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</si>
  <si>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</si>
  <si>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</si>
  <si>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</si>
  <si>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</si>
  <si>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</si>
  <si>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</si>
  <si>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</si>
  <si>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</si>
  <si>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</si>
  <si>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</si>
  <si>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</si>
  <si>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</si>
  <si>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</si>
  <si>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</si>
  <si>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</si>
  <si>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</si>
  <si>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</si>
  <si>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</si>
  <si>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</si>
  <si>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</si>
  <si>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</si>
  <si>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</si>
  <si>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</si>
  <si>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</si>
  <si>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</si>
  <si>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</si>
  <si>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</si>
  <si>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</si>
  <si>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</si>
  <si>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</si>
  <si>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</si>
  <si>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</si>
  <si>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</si>
  <si>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</si>
  <si>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</si>
  <si>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</si>
  <si>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</si>
  <si>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</si>
  <si>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</si>
  <si>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</si>
  <si>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</si>
  <si>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</si>
  <si>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</si>
  <si>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</si>
  <si>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</si>
  <si>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</si>
  <si>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</si>
  <si>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</si>
  <si>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</si>
  <si>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</si>
  <si>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</si>
  <si>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</si>
  <si>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</si>
  <si>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</si>
  <si>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</si>
  <si>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</si>
  <si>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</si>
  <si>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</si>
  <si>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</si>
  <si>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</si>
  <si>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</si>
  <si>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</si>
  <si>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</si>
  <si>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</si>
  <si>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</si>
  <si>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</si>
  <si>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</si>
  <si>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</si>
  <si>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</si>
  <si>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</si>
  <si>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</si>
  <si>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</si>
  <si>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</si>
  <si>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</si>
  <si>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</si>
  <si>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</si>
  <si>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</si>
  <si>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</si>
  <si>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</si>
  <si>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</si>
  <si>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</si>
  <si>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</si>
  <si>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</si>
  <si>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</si>
  <si>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</si>
  <si>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</si>
  <si>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</si>
  <si>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</si>
  <si>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</si>
  <si>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</si>
  <si>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</si>
  <si>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</si>
  <si>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</si>
  <si>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</si>
  <si>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</si>
  <si>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</si>
  <si>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</si>
  <si>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[Fix] altered the kdeg.soil and kdeg.sed calculation to match the Hollander et al. (2015) report. </t>
  </si>
  <si>
    <t>[Fix] changed NETsedrate for regional seawater to value given in Hollander et al. (2015).</t>
  </si>
  <si>
    <t>xx</t>
  </si>
  <si>
    <t>Verification R acid</t>
  </si>
  <si>
    <t>R verification base</t>
  </si>
  <si>
    <t>R verification 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</si>
</sst>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58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65" fontId="0" fillId="2" borderId="10" xfId="0" applyNumberFormat="1" applyFill="1" applyBorder="1" applyAlignment="1">
      <alignment vertical="center"/>
    </xf>
    <xf numFmtId="164" fontId="0" fillId="2" borderId="27" xfId="0" applyFill="1" applyBorder="1"/>
    <xf numFmtId="164" fontId="0" fillId="2" borderId="27" xfId="0" applyFill="1" applyBorder="1" applyAlignment="1">
      <alignment horizontal="right"/>
    </xf>
    <xf numFmtId="164" fontId="0" fillId="2" borderId="4" xfId="0" quotePrefix="1" applyFill="1" applyBorder="1" applyAlignment="1">
      <alignment horizontal="left"/>
    </xf>
    <xf numFmtId="164" fontId="0" fillId="2" borderId="4" xfId="0" applyFill="1" applyBorder="1"/>
    <xf numFmtId="164" fontId="0" fillId="2" borderId="8" xfId="0" applyFill="1" applyBorder="1"/>
    <xf numFmtId="166" fontId="0" fillId="7" borderId="6" xfId="0" applyNumberFormat="1" applyFill="1" applyBorder="1" applyProtection="1">
      <protection locked="0"/>
    </xf>
    <xf numFmtId="166" fontId="0" fillId="6" borderId="0" xfId="0" applyNumberFormat="1" applyFill="1" applyAlignment="1" applyProtection="1">
      <alignment horizontal="right"/>
      <protection locked="0"/>
    </xf>
    <xf numFmtId="166" fontId="0" fillId="10" borderId="0" xfId="0" applyNumberFormat="1" applyFill="1" applyAlignment="1">
      <alignment horizontal="right"/>
    </xf>
    <xf numFmtId="166" fontId="0" fillId="7" borderId="6" xfId="0" applyNumberFormat="1" applyFill="1" applyBorder="1"/>
    <xf numFmtId="166" fontId="0" fillId="7" borderId="6" xfId="0" applyNumberFormat="1" applyFill="1" applyBorder="1" applyAlignment="1" applyProtection="1">
      <alignment horizontal="right"/>
      <protection locked="0"/>
    </xf>
    <xf numFmtId="166" fontId="0" fillId="7" borderId="6" xfId="0" applyNumberFormat="1" applyFill="1" applyBorder="1" applyAlignment="1">
      <alignment horizontal="right"/>
    </xf>
    <xf numFmtId="166" fontId="0" fillId="6" borderId="2" xfId="0" applyNumberFormat="1" applyFill="1" applyBorder="1" applyAlignment="1" applyProtection="1">
      <alignment horizontal="center"/>
      <protection locked="0"/>
    </xf>
    <xf numFmtId="166" fontId="0" fillId="6" borderId="11" xfId="0" applyNumberFormat="1" applyFill="1" applyBorder="1" applyAlignment="1">
      <alignment horizontal="right"/>
    </xf>
    <xf numFmtId="11" fontId="0" fillId="2" borderId="0" xfId="0" applyNumberFormat="1" applyFill="1" applyAlignment="1">
      <alignment horizontal="left"/>
    </xf>
    <xf numFmtId="166" fontId="0" fillId="2" borderId="3" xfId="0" applyNumberFormat="1" applyFill="1" applyBorder="1" applyAlignment="1">
      <alignment horizontal="right"/>
    </xf>
    <xf numFmtId="166" fontId="0" fillId="0" borderId="0" xfId="0" applyNumberFormat="1" applyAlignment="1">
      <alignment horizontal="right"/>
    </xf>
    <xf numFmtId="166" fontId="0" fillId="6" borderId="0" xfId="0" applyNumberFormat="1" applyFill="1" applyAlignment="1">
      <alignment horizontal="right"/>
    </xf>
    <xf numFmtId="11" fontId="0" fillId="10" borderId="0" xfId="0" applyNumberFormat="1" applyFill="1" applyAlignment="1">
      <alignment horizontal="right"/>
    </xf>
    <xf numFmtId="178" fontId="0" fillId="10" borderId="0" xfId="0" applyNumberFormat="1" applyFill="1" applyAlignment="1">
      <alignment horizontal="right"/>
    </xf>
    <xf numFmtId="166" fontId="0" fillId="6" borderId="0" xfId="0" applyNumberFormat="1" applyFill="1"/>
    <xf numFmtId="166" fontId="0" fillId="2" borderId="0" xfId="0" quotePrefix="1" applyNumberFormat="1" applyFill="1" applyAlignment="1">
      <alignment horizontal="right"/>
    </xf>
    <xf numFmtId="171" fontId="0" fillId="10" borderId="0" xfId="0" applyNumberFormat="1" applyFill="1" applyAlignment="1">
      <alignment horizontal="right"/>
    </xf>
    <xf numFmtId="166" fontId="0" fillId="2" borderId="0" xfId="0" quotePrefix="1" applyNumberFormat="1" applyFill="1" applyAlignment="1">
      <alignment horizontal="center"/>
    </xf>
    <xf numFmtId="166" fontId="0" fillId="6" borderId="3" xfId="0" applyNumberFormat="1" applyFill="1" applyBorder="1" applyAlignment="1" applyProtection="1">
      <alignment horizontal="right"/>
      <protection locked="0"/>
    </xf>
    <xf numFmtId="166" fontId="0" fillId="5" borderId="0" xfId="0" applyNumberFormat="1" applyFill="1"/>
    <xf numFmtId="166" fontId="0" fillId="2" borderId="0" xfId="0" applyNumberFormat="1" applyFill="1" applyAlignment="1" applyProtection="1">
      <alignment horizontal="right"/>
      <protection locked="0"/>
    </xf>
    <xf numFmtId="171" fontId="30" fillId="0" borderId="0" xfId="0" applyNumberFormat="1" applyFont="1" applyAlignment="1">
      <alignment horizontal="center"/>
    </xf>
    <xf numFmtId="166" fontId="30" fillId="2" borderId="11" xfId="0" applyNumberFormat="1" applyFont="1" applyFill="1" applyBorder="1" applyAlignment="1">
      <alignment horizontal="right"/>
    </xf>
    <xf numFmtId="14" fontId="30" fillId="2" borderId="0" xfId="0" applyNumberFormat="1" applyFont="1" applyFill="1"/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8204918" y="203752"/>
          <a:ext cx="2775999" cy="801591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6205180" y="21724620"/>
          <a:ext cx="3547110" cy="500443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2480250" y="1112520"/>
          <a:ext cx="227647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6525220" y="821055"/>
          <a:ext cx="1094803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862655" y="482536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1177230" y="4177665"/>
          <a:ext cx="226695" cy="205740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3343215" y="4189095"/>
          <a:ext cx="234315" cy="198120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828365" y="5473065"/>
          <a:ext cx="201930" cy="205740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6273105" y="4177665"/>
          <a:ext cx="215265" cy="205740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4821495" y="4189095"/>
          <a:ext cx="226695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9116020" y="1101090"/>
          <a:ext cx="213360" cy="220980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6639520" y="5149215"/>
          <a:ext cx="213360" cy="205740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6639520" y="6930390"/>
          <a:ext cx="21336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30567630" y="3002280"/>
          <a:ext cx="5743575" cy="737235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6384250" y="19560540"/>
          <a:ext cx="20574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801695" y="15199995"/>
          <a:ext cx="190500" cy="198120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1177230" y="14540865"/>
          <a:ext cx="226695" cy="205740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3289875" y="14552295"/>
          <a:ext cx="226695" cy="198120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786455" y="15847695"/>
          <a:ext cx="194310" cy="198120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6235005" y="14540865"/>
          <a:ext cx="215265" cy="205740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4745295" y="14552295"/>
          <a:ext cx="226695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965525" y="11464290"/>
          <a:ext cx="21526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6586180" y="15512415"/>
          <a:ext cx="205740" cy="205740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6586180" y="17293590"/>
          <a:ext cx="20574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30556200" y="13365480"/>
          <a:ext cx="5755005" cy="737235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2518350" y="11422380"/>
          <a:ext cx="227647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980765" y="24256365"/>
          <a:ext cx="234315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7525345" y="25412700"/>
          <a:ext cx="226695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6628090" y="26372820"/>
          <a:ext cx="21336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6624280" y="22648545"/>
          <a:ext cx="217170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713940" y="24429720"/>
          <a:ext cx="21336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3404175" y="24267795"/>
          <a:ext cx="226695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952565" y="25412700"/>
          <a:ext cx="234315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1040070" y="26393775"/>
          <a:ext cx="21336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1013400" y="22659975"/>
          <a:ext cx="201930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2137350" y="24429720"/>
          <a:ext cx="201930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7705665" y="24267795"/>
          <a:ext cx="23241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6349305" y="25424130"/>
          <a:ext cx="226695" cy="198120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5425380" y="26393775"/>
          <a:ext cx="20574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5440620" y="22659975"/>
          <a:ext cx="21336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6488370" y="24441150"/>
          <a:ext cx="21336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763470" y="21859875"/>
          <a:ext cx="19240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2125920" y="21850350"/>
          <a:ext cx="1924050" cy="960120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6499800" y="21850350"/>
          <a:ext cx="1922145" cy="960120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30594300" y="21697950"/>
          <a:ext cx="3554730" cy="4998720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994850" y="21697950"/>
          <a:ext cx="3581400" cy="4998720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6384250" y="28628340"/>
          <a:ext cx="20574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6384250" y="9035415"/>
          <a:ext cx="20574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3"/>
  <sheetViews>
    <sheetView topLeftCell="A26" zoomScale="115" zoomScaleNormal="115" workbookViewId="0">
      <selection activeCell="C41" sqref="C41"/>
    </sheetView>
  </sheetViews>
  <sheetFormatPr defaultColWidth="9.109375" defaultRowHeight="12.75" customHeight="1" x14ac:dyDescent="0.3"/>
  <cols>
    <col min="1" max="1" width="3.5546875" style="2" customWidth="1"/>
    <col min="2" max="2" width="11.6640625" style="2" customWidth="1"/>
    <col min="3" max="3" width="12.6640625" style="2" bestFit="1" customWidth="1"/>
    <col min="4" max="4" width="4.109375" style="2" customWidth="1"/>
    <col min="5" max="15" width="11.6640625" style="2" customWidth="1"/>
    <col min="16" max="16384" width="9.109375" style="2"/>
  </cols>
  <sheetData>
    <row r="2" spans="2:15" ht="12.75" customHeight="1" x14ac:dyDescent="0.3">
      <c r="B2" s="1" t="s">
        <v>1226</v>
      </c>
    </row>
    <row r="3" spans="2:15" ht="12.75" customHeight="1" x14ac:dyDescent="0.3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3">
      <c r="B4" s="417" t="s">
        <v>439</v>
      </c>
      <c r="C4" s="617" t="s">
        <v>3927</v>
      </c>
    </row>
    <row r="5" spans="2:15" ht="12.75" customHeight="1" x14ac:dyDescent="0.3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3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3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3">
      <c r="B8" s="2" t="s">
        <v>878</v>
      </c>
      <c r="O8" s="6"/>
    </row>
    <row r="9" spans="2:15" ht="12.75" customHeight="1" x14ac:dyDescent="0.3">
      <c r="B9" s="2" t="s">
        <v>1247</v>
      </c>
      <c r="O9" s="6"/>
    </row>
    <row r="10" spans="2:15" ht="12.75" customHeight="1" x14ac:dyDescent="0.3">
      <c r="B10" s="25" t="s">
        <v>3912</v>
      </c>
      <c r="D10" s="25"/>
      <c r="O10" s="6"/>
    </row>
    <row r="11" spans="2:15" ht="12.75" customHeight="1" x14ac:dyDescent="0.3">
      <c r="O11" s="6"/>
    </row>
    <row r="12" spans="2:15" ht="12.75" customHeight="1" x14ac:dyDescent="0.3">
      <c r="O12" s="6"/>
    </row>
    <row r="13" spans="2:15" ht="12.75" customHeight="1" x14ac:dyDescent="0.3">
      <c r="B13" s="4" t="s">
        <v>1248</v>
      </c>
      <c r="O13" s="6"/>
    </row>
    <row r="14" spans="2:15" ht="12.75" customHeight="1" x14ac:dyDescent="0.3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3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3">
      <c r="B16" s="29" t="s">
        <v>2121</v>
      </c>
      <c r="O16" s="6"/>
    </row>
    <row r="17" spans="2:15" ht="12.75" customHeight="1" x14ac:dyDescent="0.3">
      <c r="B17" s="29" t="s">
        <v>2122</v>
      </c>
      <c r="O17" s="6"/>
    </row>
    <row r="18" spans="2:15" ht="12.75" customHeight="1" x14ac:dyDescent="0.3">
      <c r="B18" s="2" t="s">
        <v>861</v>
      </c>
      <c r="O18" s="6"/>
    </row>
    <row r="19" spans="2:15" ht="12.75" customHeight="1" x14ac:dyDescent="0.3">
      <c r="O19" s="6"/>
    </row>
    <row r="20" spans="2:15" ht="12.75" customHeight="1" x14ac:dyDescent="0.3">
      <c r="B20" s="4" t="s">
        <v>1249</v>
      </c>
      <c r="O20" s="6"/>
    </row>
    <row r="21" spans="2:15" ht="12.75" customHeight="1" x14ac:dyDescent="0.3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3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3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3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3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3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3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3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3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3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3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3">
      <c r="B32" s="620">
        <v>45387</v>
      </c>
      <c r="C32" s="29" t="s">
        <v>3942</v>
      </c>
      <c r="D32" s="29" t="s">
        <v>3937</v>
      </c>
      <c r="E32" s="29"/>
      <c r="F32" s="29"/>
    </row>
    <row r="33" spans="2:12" ht="12.75" customHeight="1" x14ac:dyDescent="0.3">
      <c r="B33" s="620"/>
      <c r="C33" s="29"/>
      <c r="D33" s="29"/>
      <c r="E33" s="29" t="s">
        <v>3948</v>
      </c>
      <c r="F33" s="29"/>
    </row>
    <row r="34" spans="2:12" ht="12.75" customHeight="1" x14ac:dyDescent="0.3">
      <c r="B34" s="29"/>
      <c r="C34" s="29"/>
      <c r="D34" s="29"/>
      <c r="E34" s="29" t="s">
        <v>3949</v>
      </c>
      <c r="F34" s="29"/>
    </row>
    <row r="35" spans="2:12" ht="12.75" customHeight="1" x14ac:dyDescent="0.3">
      <c r="B35" s="29"/>
      <c r="C35" s="29"/>
      <c r="D35" s="29" t="s">
        <v>3943</v>
      </c>
      <c r="E35" s="29"/>
      <c r="F35" s="29"/>
    </row>
    <row r="36" spans="2:12" ht="12.75" customHeight="1" x14ac:dyDescent="0.3">
      <c r="B36" s="29"/>
      <c r="C36" s="29"/>
      <c r="D36" s="29" t="s">
        <v>3944</v>
      </c>
      <c r="E36" s="29"/>
      <c r="F36" s="29"/>
    </row>
    <row r="37" spans="2:12" ht="12.75" customHeight="1" x14ac:dyDescent="0.3">
      <c r="B37" s="29"/>
      <c r="C37" s="29"/>
      <c r="D37" s="94" t="s">
        <v>3940</v>
      </c>
      <c r="E37" s="29"/>
      <c r="F37" s="29"/>
    </row>
    <row r="38" spans="2:12" ht="12.75" customHeight="1" x14ac:dyDescent="0.3">
      <c r="B38" s="29"/>
      <c r="C38" s="29"/>
      <c r="D38" s="94"/>
      <c r="E38" s="29" t="s">
        <v>3941</v>
      </c>
      <c r="F38" s="29"/>
    </row>
    <row r="39" spans="2:12" ht="12.75" customHeight="1" x14ac:dyDescent="0.3">
      <c r="B39" s="620"/>
      <c r="C39" s="29"/>
      <c r="D39" s="29" t="s">
        <v>3929</v>
      </c>
      <c r="E39" s="29"/>
      <c r="F39" s="29"/>
      <c r="G39" s="90"/>
      <c r="H39" s="90"/>
      <c r="I39" s="90"/>
      <c r="J39" s="90"/>
      <c r="K39" s="90"/>
      <c r="L39" s="90"/>
    </row>
    <row r="40" spans="2:12" ht="12.75" customHeight="1" x14ac:dyDescent="0.3">
      <c r="B40" s="29"/>
      <c r="C40" s="29"/>
      <c r="D40" s="29" t="s">
        <v>3936</v>
      </c>
      <c r="E40" s="29"/>
      <c r="F40" s="29"/>
    </row>
    <row r="41" spans="2:12" ht="12.75" customHeight="1" x14ac:dyDescent="0.3">
      <c r="B41" s="657">
        <v>45496</v>
      </c>
      <c r="C41" s="90" t="s">
        <v>4057</v>
      </c>
      <c r="D41" s="90" t="s">
        <v>4054</v>
      </c>
    </row>
    <row r="42" spans="2:12" ht="12.75" customHeight="1" x14ac:dyDescent="0.3">
      <c r="D42" s="90" t="s">
        <v>4055</v>
      </c>
    </row>
    <row r="43" spans="2:12" ht="12.75" customHeight="1" x14ac:dyDescent="0.3">
      <c r="D43" s="90" t="s">
        <v>4056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opLeftCell="F1" zoomScaleNormal="100" workbookViewId="0">
      <selection activeCell="N10" sqref="N10"/>
    </sheetView>
  </sheetViews>
  <sheetFormatPr defaultColWidth="9.109375" defaultRowHeight="12.75" customHeight="1" x14ac:dyDescent="0.3"/>
  <cols>
    <col min="1" max="5" width="1.6640625" customWidth="1"/>
    <col min="6" max="6" width="65.6640625" customWidth="1"/>
    <col min="7" max="7" width="22.6640625" style="79" customWidth="1"/>
    <col min="8" max="8" width="10.6640625" style="79" customWidth="1"/>
    <col min="9" max="9" width="9.6640625" style="358" customWidth="1"/>
    <col min="10" max="10" width="9.6640625" style="404" customWidth="1"/>
    <col min="11" max="12" width="9.6640625" style="357" customWidth="1"/>
    <col min="14" max="14" width="67.33203125" customWidth="1"/>
    <col min="15" max="15" width="2.6640625" style="7" customWidth="1"/>
    <col min="16" max="16384" width="9.109375" style="27"/>
  </cols>
  <sheetData>
    <row r="1" spans="1:15" s="26" customFormat="1" ht="12.75" customHeight="1" x14ac:dyDescent="0.3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3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3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3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" customHeight="1" x14ac:dyDescent="0.3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1-HYDROXYANTHRAQUINONE</v>
      </c>
      <c r="M5" s="29"/>
      <c r="N5" s="92"/>
      <c r="O5" s="161"/>
    </row>
    <row r="6" spans="1:15" s="26" customFormat="1" ht="12.75" customHeight="1" x14ac:dyDescent="0.3">
      <c r="A6" s="36"/>
      <c r="B6" s="29"/>
      <c r="C6" s="29"/>
      <c r="D6" s="29"/>
      <c r="E6" s="29"/>
      <c r="F6" s="29"/>
      <c r="G6" s="36" t="s">
        <v>2014</v>
      </c>
      <c r="H6" s="36"/>
      <c r="I6" s="411">
        <v>708</v>
      </c>
      <c r="J6" s="400"/>
      <c r="K6" s="121">
        <f>VLOOKUP(ChemName,ChemData,26,FALSE)</f>
        <v>0</v>
      </c>
      <c r="L6" s="393">
        <f>IF(ISBLANK(I6),IF(ISBLANK(J6),K6,J6),I6)</f>
        <v>708</v>
      </c>
      <c r="M6" s="29"/>
      <c r="N6" s="36"/>
      <c r="O6" s="161"/>
    </row>
    <row r="7" spans="1:15" s="26" customFormat="1" ht="12.75" customHeight="1" x14ac:dyDescent="0.3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" customHeight="1" x14ac:dyDescent="0.3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3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" customHeight="1" x14ac:dyDescent="0.3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4060</v>
      </c>
      <c r="J10" s="400"/>
      <c r="K10" s="343" t="s">
        <v>2199</v>
      </c>
      <c r="L10" s="344" t="str">
        <f>IF(ISBLANK(I10),IF(ISBLANK(J10),K10,J10),I10)</f>
        <v>R verification acid</v>
      </c>
      <c r="M10" s="101"/>
      <c r="N10" s="92"/>
      <c r="O10" s="159"/>
    </row>
    <row r="11" spans="1:15" s="26" customFormat="1" ht="12.75" customHeight="1" x14ac:dyDescent="0.3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3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3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3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Acid</v>
      </c>
      <c r="K14" s="350" t="s">
        <v>2061</v>
      </c>
      <c r="L14" s="351" t="str">
        <f>IF(I14="",IF(J14="",K14,J14),I14)</f>
        <v>Acid</v>
      </c>
      <c r="M14" s="36"/>
      <c r="N14" s="29"/>
      <c r="O14" s="172"/>
    </row>
    <row r="15" spans="1:15" s="26" customFormat="1" ht="12.75" customHeight="1" x14ac:dyDescent="0.3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224.22</v>
      </c>
      <c r="K15" s="345">
        <f>MEDIAN(substances!F$17:F$283)</f>
        <v>138</v>
      </c>
      <c r="L15" s="346">
        <f>IF(ISBLANK(I15),IF(ISNUMBER(J15)=FALSE,K15/1000,J15/1000),I15/1000)</f>
        <v>0.22422</v>
      </c>
      <c r="M15" s="36" t="s">
        <v>1359</v>
      </c>
      <c r="N15" s="29"/>
      <c r="O15" s="159"/>
    </row>
    <row r="16" spans="1:15" s="26" customFormat="1" ht="12.75" customHeight="1" x14ac:dyDescent="0.3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3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51.258985241277919</v>
      </c>
      <c r="L17" s="346">
        <f t="shared" ref="L17:L23" si="0">IF(ISBLANK(I17), IF(ISNUMBER(J17)=FALSE, K17, J17), I17)</f>
        <v>51.258985241277919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3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4.2283410004967763</v>
      </c>
      <c r="L18" s="346">
        <f t="shared" si="0"/>
        <v>4.2283410004967763</v>
      </c>
      <c r="M18" s="36" t="s">
        <v>486</v>
      </c>
      <c r="N18" s="29"/>
      <c r="O18" s="172"/>
    </row>
    <row r="19" spans="1:16" s="26" customFormat="1" ht="12.75" customHeight="1" x14ac:dyDescent="0.3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2.9669768715870563E-7</v>
      </c>
      <c r="L19" s="346">
        <f>IF(ISBLANK(I19), IF(ISNUMBER(J19)=FALSE, K19, J19), I19)</f>
        <v>2.9669768715870563E-7</v>
      </c>
      <c r="M19" s="36" t="s">
        <v>486</v>
      </c>
      <c r="N19" s="29"/>
      <c r="O19" s="172"/>
    </row>
    <row r="20" spans="1:16" s="26" customFormat="1" ht="12.75" customHeight="1" x14ac:dyDescent="0.3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3311.3112148259115</v>
      </c>
      <c r="K20" s="345">
        <f>MEDIAN(substances!K$17:K$283)</f>
        <v>18</v>
      </c>
      <c r="L20" s="346">
        <f t="shared" si="0"/>
        <v>3311.3112148259115</v>
      </c>
      <c r="M20" s="36" t="s">
        <v>486</v>
      </c>
      <c r="N20" s="29"/>
      <c r="O20" s="172"/>
    </row>
    <row r="21" spans="1:16" s="26" customFormat="1" ht="12.75" customHeight="1" x14ac:dyDescent="0.3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1.0471285480508996</v>
      </c>
      <c r="L21" s="346">
        <f t="shared" si="0"/>
        <v>1.0471285480508996</v>
      </c>
      <c r="M21" s="36" t="s">
        <v>486</v>
      </c>
      <c r="N21" s="29"/>
      <c r="O21" s="172"/>
    </row>
    <row r="22" spans="1:16" s="26" customFormat="1" ht="12.75" customHeight="1" x14ac:dyDescent="0.3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>
        <f>IF(HLOOKUP(CaseName,CaseData,ROW()-2,FALSE)="",IF(ISBLANK(VLOOKUP(ChemName,ChemData,MATCH("pKa",substances!$3:$3,FALSE)-1,FALSE)),"",VLOOKUP(ChemName,ChemData,MATCH("pKa",substances!$3:$3,FALSE)-1,FALSE)),HLOOKUP(CaseName,CaseData,ROW()-2,FALSE))</f>
        <v>9.4700000000000006</v>
      </c>
      <c r="K22" s="345">
        <v>7</v>
      </c>
      <c r="L22" s="346">
        <f t="shared" si="0"/>
        <v>9.4700000000000006</v>
      </c>
      <c r="M22" s="95" t="s">
        <v>486</v>
      </c>
      <c r="N22" s="29"/>
      <c r="O22" s="172"/>
    </row>
    <row r="23" spans="1:16" s="26" customFormat="1" ht="12.75" customHeight="1" x14ac:dyDescent="0.3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3300.1324569844587</v>
      </c>
      <c r="L23" s="346">
        <f t="shared" si="0"/>
        <v>3300.1324569844587</v>
      </c>
      <c r="M23" s="36" t="s">
        <v>486</v>
      </c>
      <c r="N23" s="29" t="s">
        <v>215</v>
      </c>
      <c r="O23" s="172"/>
    </row>
    <row r="24" spans="1:16" s="26" customFormat="1" ht="12.75" customHeight="1" x14ac:dyDescent="0.3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0.99999966115595873</v>
      </c>
      <c r="L24" s="351">
        <f t="shared" ref="L24:L35" si="2">IF(ISBLANK(I24), IF(ISNUMBER(J24)=FALSE, K24, J24), I24)</f>
        <v>0.99999966115595873</v>
      </c>
      <c r="M24" s="30" t="s">
        <v>486</v>
      </c>
      <c r="N24" s="29"/>
      <c r="O24" s="172"/>
    </row>
    <row r="25" spans="1:16" s="26" customFormat="1" ht="12.75" customHeight="1" x14ac:dyDescent="0.3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0.9966230012016889</v>
      </c>
      <c r="L25" s="351">
        <f t="shared" si="2"/>
        <v>0.9966230012016889</v>
      </c>
      <c r="M25" s="30" t="s">
        <v>486</v>
      </c>
      <c r="N25" s="29"/>
      <c r="O25" s="172"/>
    </row>
    <row r="26" spans="1:16" s="26" customFormat="1" ht="12.75" customHeight="1" x14ac:dyDescent="0.3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0.99914958578168711</v>
      </c>
      <c r="L26" s="351">
        <f t="shared" si="2"/>
        <v>0.99914958578168711</v>
      </c>
      <c r="M26" s="30"/>
      <c r="N26" s="29"/>
      <c r="O26" s="172"/>
    </row>
    <row r="27" spans="1:16" s="26" customFormat="1" ht="12.75" customHeight="1" x14ac:dyDescent="0.3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0.96722610854541258</v>
      </c>
      <c r="L27" s="351">
        <f t="shared" si="2"/>
        <v>0.96722610854541258</v>
      </c>
      <c r="M27" s="30" t="s">
        <v>486</v>
      </c>
      <c r="N27" s="29"/>
      <c r="O27" s="172"/>
    </row>
    <row r="28" spans="1:16" s="26" customFormat="1" ht="12.75" customHeight="1" x14ac:dyDescent="0.3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0.99156045182276509</v>
      </c>
      <c r="L28" s="351">
        <f t="shared" si="2"/>
        <v>0.99156045182276509</v>
      </c>
      <c r="M28" s="30"/>
      <c r="N28" s="29"/>
      <c r="O28" s="172"/>
    </row>
    <row r="29" spans="1:16" s="26" customFormat="1" ht="12.75" customHeight="1" x14ac:dyDescent="0.3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0.99999148869206089</v>
      </c>
      <c r="L29" s="351">
        <f t="shared" si="2"/>
        <v>0.99999148869206089</v>
      </c>
      <c r="M29" s="30" t="s">
        <v>486</v>
      </c>
      <c r="N29" s="29"/>
      <c r="O29" s="172"/>
    </row>
    <row r="30" spans="1:16" s="26" customFormat="1" ht="12.75" customHeight="1" x14ac:dyDescent="0.3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0.99996611673250069</v>
      </c>
      <c r="L30" s="351">
        <f t="shared" si="2"/>
        <v>0.99996611673250069</v>
      </c>
      <c r="M30" s="30" t="s">
        <v>486</v>
      </c>
      <c r="N30" s="29"/>
      <c r="O30" s="172"/>
    </row>
    <row r="31" spans="1:16" s="26" customFormat="1" ht="12.75" customHeight="1" x14ac:dyDescent="0.3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0.99914958578168711</v>
      </c>
      <c r="L31" s="351">
        <f t="shared" si="2"/>
        <v>0.99914958578168711</v>
      </c>
      <c r="M31" s="30" t="s">
        <v>486</v>
      </c>
      <c r="N31" s="29"/>
      <c r="O31" s="172"/>
    </row>
    <row r="32" spans="1:16" s="26" customFormat="1" ht="12.75" customHeight="1" x14ac:dyDescent="0.3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0.9966230012016889</v>
      </c>
      <c r="L32" s="351">
        <f t="shared" si="2"/>
        <v>0.9966230012016889</v>
      </c>
      <c r="M32" s="30" t="s">
        <v>486</v>
      </c>
      <c r="N32" s="29"/>
      <c r="O32" s="172"/>
    </row>
    <row r="33" spans="1:15" s="26" customFormat="1" ht="12.75" customHeight="1" x14ac:dyDescent="0.3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0.99914958578168711</v>
      </c>
      <c r="L33" s="351">
        <f t="shared" si="2"/>
        <v>0.99914958578168711</v>
      </c>
      <c r="M33" s="30" t="s">
        <v>486</v>
      </c>
      <c r="N33" s="29"/>
      <c r="O33" s="172"/>
    </row>
    <row r="34" spans="1:15" s="26" customFormat="1" ht="12.75" customHeight="1" x14ac:dyDescent="0.3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0.9966230012016889</v>
      </c>
      <c r="L34" s="351">
        <f t="shared" si="2"/>
        <v>0.9966230012016889</v>
      </c>
      <c r="M34" s="30" t="s">
        <v>486</v>
      </c>
      <c r="N34" s="29"/>
      <c r="O34" s="172"/>
    </row>
    <row r="35" spans="1:15" s="26" customFormat="1" ht="12.75" customHeight="1" x14ac:dyDescent="0.3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2.7866666659699999E-5</v>
      </c>
      <c r="K35" s="345">
        <f>MEDIAN(substances!$H$17:$H$283)</f>
        <v>4</v>
      </c>
      <c r="L35" s="346">
        <f t="shared" si="2"/>
        <v>2.7866666659699999E-5</v>
      </c>
      <c r="M35" s="29" t="s">
        <v>488</v>
      </c>
      <c r="N35" s="29"/>
      <c r="O35" s="172"/>
    </row>
    <row r="36" spans="1:15" s="26" customFormat="1" ht="12.75" customHeight="1" x14ac:dyDescent="0.3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110.06446302834439</v>
      </c>
      <c r="L36" s="346">
        <f>IF(ISBLANK(I36),IF(ISNUMBER(J36)=FALSE,K36*1000,J36*1000),I36*1000)</f>
        <v>110064.4630283444</v>
      </c>
      <c r="M36" s="95" t="s">
        <v>1395</v>
      </c>
      <c r="N36" s="90"/>
      <c r="O36" s="172"/>
    </row>
    <row r="37" spans="1:15" s="26" customFormat="1" ht="12.75" customHeight="1" x14ac:dyDescent="0.3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8.5</v>
      </c>
      <c r="K37" s="345">
        <f>10^(LOG(Kow)*-1.214+0.85)*(Molweight*1000000)</f>
        <v>84.604672413656203</v>
      </c>
      <c r="L37" s="346">
        <f>IF(ISBLANK(I37),IF(ISNUMBER(J37)=FALSE,K37/(1000*Molweight),J37/(1000*Molweight)),I37/(1000*Molweight))</f>
        <v>3.7909196325037912E-2</v>
      </c>
      <c r="M37" s="36" t="s">
        <v>1396</v>
      </c>
      <c r="N37" s="29"/>
      <c r="O37" s="172"/>
    </row>
    <row r="38" spans="1:15" s="26" customFormat="1" ht="12.75" customHeight="1" x14ac:dyDescent="0.3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3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3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3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3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894.47981597766227</v>
      </c>
      <c r="J42" s="245">
        <f>1.26*Kow^0.81</f>
        <v>894.47981597766227</v>
      </c>
      <c r="K42" s="245">
        <f>MAX(IF(Pvap25&gt;100000,(100000/_Sol25)/(8.314*298),(Pvap25/_Sol25)/(8.314*298)),1E-20)</f>
        <v>2.9669768715870563E-7</v>
      </c>
      <c r="L42" s="245">
        <f>MAX(IF(Pvap25&gt;100000,(100000/_Sol25)/(8.314*298),(Pvap25/_Sol25)/(8.314*298)),1E-20)</f>
        <v>2.9669768715870563E-7</v>
      </c>
      <c r="M42" s="244" t="s">
        <v>486</v>
      </c>
      <c r="N42" s="29"/>
      <c r="O42" s="172"/>
    </row>
    <row r="43" spans="1:15" ht="12.75" customHeight="1" x14ac:dyDescent="0.3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1025.1797048255585</v>
      </c>
      <c r="J43" s="245">
        <f>10^(0.11*LOG(Kow)+1.54)</f>
        <v>84.566820009935526</v>
      </c>
      <c r="K43" s="245">
        <f>MAX(IF(Pvap25&gt;100000,(100000/_Sol25)/(8.314*298),(Pvap25/_Sol25)/(8.314*298)),1E-20)</f>
        <v>2.9669768715870563E-7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3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1005.5415018560428</v>
      </c>
      <c r="J44" s="245">
        <f>IF(pKa&gt;0,10^(pKa^0.65*(Kow/(1+Kow))^0.14),1)</f>
        <v>20479.001087774792</v>
      </c>
      <c r="K44" s="245">
        <f>MAX(IF(Pvap25&gt;100000,(100000/_Sol25)/(8.314*298),(Pvap25/_Sol25)/(8.314*298)),1E-20)</f>
        <v>2.9669768715870563E-7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3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3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894.47981597766227</v>
      </c>
      <c r="J46" s="245">
        <f>1.26*Kow^0.81</f>
        <v>894.47981597766227</v>
      </c>
      <c r="K46" s="245">
        <f t="shared" ref="K46:L64" si="3">MAX(IF(Pvap25&gt;100000,(100000/_Sol25)/(8.314*298),(Pvap25/_Sol25)/(8.314*298)),1E-20)</f>
        <v>2.9669768715870563E-7</v>
      </c>
      <c r="L46" s="245">
        <f t="shared" si="3"/>
        <v>2.9669768715870563E-7</v>
      </c>
      <c r="M46" s="244" t="s">
        <v>486</v>
      </c>
      <c r="N46" s="29"/>
      <c r="O46" s="172"/>
    </row>
    <row r="47" spans="1:15" ht="12.75" customHeight="1" x14ac:dyDescent="0.3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708.51113768487846</v>
      </c>
      <c r="J47" s="245">
        <f>10.47*Kow^0.52</f>
        <v>708.51113768487846</v>
      </c>
      <c r="K47" s="245">
        <f t="shared" si="3"/>
        <v>2.9669768715870563E-7</v>
      </c>
      <c r="L47" s="245">
        <f t="shared" si="3"/>
        <v>2.9669768715870563E-7</v>
      </c>
      <c r="M47" s="244" t="s">
        <v>486</v>
      </c>
      <c r="N47" s="29"/>
      <c r="O47" s="172"/>
    </row>
    <row r="48" spans="1:15" ht="12.75" customHeight="1" x14ac:dyDescent="0.3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1310.4501426079098</v>
      </c>
      <c r="J48" s="245">
        <f>7.94*Kow^0.63</f>
        <v>1310.4501426079098</v>
      </c>
      <c r="K48" s="245">
        <f t="shared" si="3"/>
        <v>2.9669768715870563E-7</v>
      </c>
      <c r="L48" s="245">
        <f t="shared" si="3"/>
        <v>2.9669768715870563E-7</v>
      </c>
      <c r="M48" s="244" t="s">
        <v>486</v>
      </c>
      <c r="N48" s="29"/>
      <c r="O48" s="172"/>
    </row>
    <row r="49" spans="1:15" ht="12.75" customHeight="1" x14ac:dyDescent="0.3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555.01549941353494</v>
      </c>
      <c r="J49" s="245">
        <f>12.3*Kow^0.47</f>
        <v>555.01549941353494</v>
      </c>
      <c r="K49" s="245">
        <f t="shared" si="3"/>
        <v>2.9669768715870563E-7</v>
      </c>
      <c r="L49" s="245">
        <f t="shared" si="3"/>
        <v>2.9669768715870563E-7</v>
      </c>
      <c r="M49" s="244" t="s">
        <v>486</v>
      </c>
      <c r="N49" s="29"/>
      <c r="O49" s="172"/>
    </row>
    <row r="50" spans="1:15" ht="12.75" customHeight="1" x14ac:dyDescent="0.3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142.5893478168106</v>
      </c>
      <c r="J50" s="245">
        <f>3.16*Kow^0.47</f>
        <v>142.5893478168106</v>
      </c>
      <c r="K50" s="245">
        <f t="shared" si="3"/>
        <v>2.9669768715870563E-7</v>
      </c>
      <c r="L50" s="245">
        <f t="shared" si="3"/>
        <v>2.9669768715870563E-7</v>
      </c>
      <c r="M50" s="244" t="s">
        <v>486</v>
      </c>
      <c r="N50" s="29"/>
      <c r="O50" s="172"/>
    </row>
    <row r="51" spans="1:15" ht="12.75" customHeight="1" x14ac:dyDescent="0.3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337.22161989416418</v>
      </c>
      <c r="J51" s="245">
        <f>13.18*Kow^0.4</f>
        <v>337.22161989416418</v>
      </c>
      <c r="K51" s="245">
        <f t="shared" si="3"/>
        <v>2.9669768715870563E-7</v>
      </c>
      <c r="L51" s="245">
        <f t="shared" si="3"/>
        <v>2.9669768715870563E-7</v>
      </c>
      <c r="M51" s="244" t="s">
        <v>486</v>
      </c>
      <c r="N51" s="29"/>
      <c r="O51" s="172"/>
    </row>
    <row r="52" spans="1:15" ht="12.75" customHeight="1" x14ac:dyDescent="0.3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74.556769600191942</v>
      </c>
      <c r="J52" s="245">
        <f>3.16*Kow^0.39</f>
        <v>74.556769600191942</v>
      </c>
      <c r="K52" s="245">
        <f t="shared" si="3"/>
        <v>2.9669768715870563E-7</v>
      </c>
      <c r="L52" s="245">
        <f t="shared" si="3"/>
        <v>2.9669768715870563E-7</v>
      </c>
      <c r="M52" s="244" t="s">
        <v>486</v>
      </c>
      <c r="N52" s="29"/>
      <c r="O52" s="172"/>
    </row>
    <row r="53" spans="1:15" ht="12.75" customHeight="1" x14ac:dyDescent="0.3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257.94775750000855</v>
      </c>
      <c r="J53" s="245">
        <f>17.78*Kow^0.33</f>
        <v>257.94775750000855</v>
      </c>
      <c r="K53" s="245">
        <f t="shared" si="3"/>
        <v>2.9669768715870563E-7</v>
      </c>
      <c r="L53" s="245">
        <f t="shared" si="3"/>
        <v>2.9669768715870563E-7</v>
      </c>
      <c r="M53" s="244" t="s">
        <v>486</v>
      </c>
      <c r="N53" s="29"/>
      <c r="O53" s="172"/>
    </row>
    <row r="54" spans="1:15" ht="12.75" customHeight="1" x14ac:dyDescent="0.3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1077.5396448397864</v>
      </c>
      <c r="J54" s="245">
        <f>7.08*Kow^0.62</f>
        <v>1077.5396448397864</v>
      </c>
      <c r="K54" s="245">
        <f t="shared" si="3"/>
        <v>2.9669768715870563E-7</v>
      </c>
      <c r="L54" s="245">
        <f t="shared" si="3"/>
        <v>2.9669768715870563E-7</v>
      </c>
      <c r="M54" s="244" t="s">
        <v>486</v>
      </c>
      <c r="N54" s="29"/>
      <c r="O54" s="172"/>
    </row>
    <row r="55" spans="1:15" ht="12.75" customHeight="1" x14ac:dyDescent="0.3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276.87203094109901</v>
      </c>
      <c r="J55" s="245">
        <f>13.8*Kow^0.37</f>
        <v>276.87203094109901</v>
      </c>
      <c r="K55" s="245">
        <f t="shared" si="3"/>
        <v>2.9669768715870563E-7</v>
      </c>
      <c r="L55" s="245">
        <f t="shared" si="3"/>
        <v>2.9669768715870563E-7</v>
      </c>
      <c r="M55" s="244" t="s">
        <v>486</v>
      </c>
      <c r="N55" s="29"/>
      <c r="O55" s="172"/>
    </row>
    <row r="56" spans="1:15" ht="12.75" customHeight="1" x14ac:dyDescent="0.3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1809.7513781800767</v>
      </c>
      <c r="J56" s="245">
        <f>83.18*Kow^0.38</f>
        <v>1809.7513781800767</v>
      </c>
      <c r="K56" s="245">
        <f t="shared" si="3"/>
        <v>2.9669768715870563E-7</v>
      </c>
      <c r="L56" s="245">
        <f t="shared" si="3"/>
        <v>2.9669768715870563E-7</v>
      </c>
      <c r="M56" s="244" t="s">
        <v>486</v>
      </c>
      <c r="N56" s="29"/>
      <c r="O56" s="172"/>
    </row>
    <row r="57" spans="1:15" ht="12.75" customHeight="1" x14ac:dyDescent="0.3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595.3781015365372</v>
      </c>
      <c r="J57" s="245">
        <f>11.22*Kow^0.49</f>
        <v>595.3781015365372</v>
      </c>
      <c r="K57" s="245">
        <f t="shared" si="3"/>
        <v>2.9669768715870563E-7</v>
      </c>
      <c r="L57" s="245">
        <f t="shared" si="3"/>
        <v>2.9669768715870563E-7</v>
      </c>
      <c r="M57" s="244" t="s">
        <v>486</v>
      </c>
      <c r="N57" s="29"/>
      <c r="O57" s="172"/>
    </row>
    <row r="58" spans="1:15" ht="12.75" customHeight="1" x14ac:dyDescent="0.3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1822.335573550027</v>
      </c>
      <c r="J58" s="245">
        <f>3.55*Kow^0.77</f>
        <v>1822.335573550027</v>
      </c>
      <c r="K58" s="245">
        <f t="shared" si="3"/>
        <v>2.9669768715870563E-7</v>
      </c>
      <c r="L58" s="245">
        <f t="shared" si="3"/>
        <v>2.9669768715870563E-7</v>
      </c>
      <c r="M58" s="244" t="s">
        <v>486</v>
      </c>
      <c r="N58" s="29"/>
      <c r="O58" s="172"/>
    </row>
    <row r="59" spans="1:15" ht="12.75" customHeight="1" x14ac:dyDescent="0.3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270.48693086304706</v>
      </c>
      <c r="J59" s="245">
        <f>2.09*Kow^0.6</f>
        <v>270.48693086304706</v>
      </c>
      <c r="K59" s="245">
        <f t="shared" si="3"/>
        <v>2.9669768715870563E-7</v>
      </c>
      <c r="L59" s="245">
        <f t="shared" si="3"/>
        <v>2.9669768715870563E-7</v>
      </c>
      <c r="M59" s="244" t="s">
        <v>486</v>
      </c>
      <c r="N59" s="29"/>
      <c r="O59" s="172"/>
    </row>
    <row r="60" spans="1:15" ht="12.75" customHeight="1" x14ac:dyDescent="0.3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1219.8444867073501</v>
      </c>
      <c r="J60" s="245">
        <f>12.02*Kow^0.57</f>
        <v>1219.8444867073501</v>
      </c>
      <c r="K60" s="245">
        <f t="shared" si="3"/>
        <v>2.9669768715870563E-7</v>
      </c>
      <c r="L60" s="245">
        <f t="shared" si="3"/>
        <v>2.9669768715870563E-7</v>
      </c>
      <c r="M60" s="244" t="s">
        <v>486</v>
      </c>
      <c r="N60" s="29"/>
      <c r="O60" s="172"/>
    </row>
    <row r="61" spans="1:15" ht="12.75" customHeight="1" x14ac:dyDescent="0.3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595.3781015365372</v>
      </c>
      <c r="J61" s="245">
        <f>11.22*Kow^0.49</f>
        <v>595.3781015365372</v>
      </c>
      <c r="K61" s="245">
        <f t="shared" si="3"/>
        <v>2.9669768715870563E-7</v>
      </c>
      <c r="L61" s="245">
        <f t="shared" si="3"/>
        <v>2.9669768715870563E-7</v>
      </c>
      <c r="M61" s="244" t="s">
        <v>486</v>
      </c>
      <c r="N61" s="29"/>
      <c r="O61" s="172"/>
    </row>
    <row r="62" spans="1:15" ht="12.75" customHeight="1" x14ac:dyDescent="0.3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784.81658838907174</v>
      </c>
      <c r="J62" s="245">
        <f>14.79*Kow^0.49</f>
        <v>784.81658838907174</v>
      </c>
      <c r="K62" s="245">
        <f t="shared" si="3"/>
        <v>2.9669768715870563E-7</v>
      </c>
      <c r="L62" s="245">
        <f t="shared" si="3"/>
        <v>2.9669768715870563E-7</v>
      </c>
      <c r="M62" s="244" t="s">
        <v>486</v>
      </c>
      <c r="N62" s="29"/>
      <c r="O62" s="172"/>
    </row>
    <row r="63" spans="1:15" ht="12.75" customHeight="1" x14ac:dyDescent="0.3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359.71774777736886</v>
      </c>
      <c r="J63" s="245">
        <f>31.62*Kow^0.3</f>
        <v>359.71774777736886</v>
      </c>
      <c r="K63" s="245">
        <f t="shared" si="3"/>
        <v>2.9669768715870563E-7</v>
      </c>
      <c r="L63" s="245">
        <f t="shared" si="3"/>
        <v>2.9669768715870563E-7</v>
      </c>
      <c r="M63" s="244" t="s">
        <v>486</v>
      </c>
      <c r="N63" s="29"/>
      <c r="O63" s="172"/>
    </row>
    <row r="64" spans="1:15" ht="12.75" customHeight="1" x14ac:dyDescent="0.3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1159.6665312949469</v>
      </c>
      <c r="J64" s="247">
        <f>25.7*Kow^0.47</f>
        <v>1159.6665312949469</v>
      </c>
      <c r="K64" s="247">
        <f t="shared" si="3"/>
        <v>2.9669768715870563E-7</v>
      </c>
      <c r="L64" s="247">
        <f t="shared" si="3"/>
        <v>2.9669768715870563E-7</v>
      </c>
      <c r="M64" s="246" t="s">
        <v>486</v>
      </c>
      <c r="N64" s="29"/>
      <c r="O64" s="172"/>
    </row>
    <row r="65" spans="1:15" s="26" customFormat="1" ht="12.75" customHeight="1" x14ac:dyDescent="0.3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3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1.0300000000000001E-5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1.0300000000000001E-5</v>
      </c>
      <c r="M66" s="36" t="s">
        <v>116</v>
      </c>
      <c r="N66" s="29"/>
      <c r="O66" s="172"/>
    </row>
    <row r="67" spans="1:15" s="26" customFormat="1" ht="12.75" customHeight="1" x14ac:dyDescent="0.3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3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3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3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2.1393431498763744E-7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2.1393431498763744E-7</v>
      </c>
      <c r="M70" s="36" t="s">
        <v>116</v>
      </c>
      <c r="N70" s="29"/>
      <c r="O70" s="172"/>
    </row>
    <row r="71" spans="1:15" s="26" customFormat="1" ht="12.75" customHeight="1" x14ac:dyDescent="0.3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3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3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3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2.3799999999999998E-8</v>
      </c>
      <c r="K74" s="345">
        <f>0.1*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6.5846009179950364E-11</v>
      </c>
      <c r="L74" s="346">
        <f t="shared" si="4"/>
        <v>2.3799999999999998E-8</v>
      </c>
      <c r="M74" s="36" t="s">
        <v>116</v>
      </c>
      <c r="N74" s="29"/>
      <c r="O74" s="172"/>
    </row>
    <row r="75" spans="1:15" s="26" customFormat="1" ht="12.75" customHeight="1" x14ac:dyDescent="0.3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1.0700000000000001E-7</v>
      </c>
      <c r="K75" s="345">
        <f>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6.5846009179950351E-10</v>
      </c>
      <c r="L75" s="346">
        <f t="shared" si="4"/>
        <v>1.0700000000000001E-7</v>
      </c>
      <c r="M75" s="36" t="s">
        <v>116</v>
      </c>
      <c r="N75" s="29"/>
      <c r="O75" s="172"/>
    </row>
    <row r="76" spans="1:15" s="26" customFormat="1" ht="12.75" customHeight="1" x14ac:dyDescent="0.3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3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3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3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3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1.4142267408689941</v>
      </c>
      <c r="M80" s="36" t="s">
        <v>716</v>
      </c>
      <c r="N80" s="29"/>
      <c r="O80" s="172"/>
    </row>
    <row r="81" spans="1:15" s="26" customFormat="1" ht="12.75" customHeight="1" x14ac:dyDescent="0.3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3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1.4142267408689941</v>
      </c>
      <c r="M82" s="36" t="s">
        <v>716</v>
      </c>
      <c r="N82" s="29"/>
      <c r="O82" s="172"/>
    </row>
    <row r="83" spans="1:15" s="26" customFormat="1" ht="12.75" customHeight="1" x14ac:dyDescent="0.3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3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3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1.4142267408689941</v>
      </c>
      <c r="M85" s="36" t="s">
        <v>2412</v>
      </c>
      <c r="N85" s="29"/>
      <c r="O85" s="172"/>
    </row>
    <row r="86" spans="1:15" s="26" customFormat="1" ht="12.75" customHeight="1" x14ac:dyDescent="0.3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3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3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3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3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3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3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3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3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3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3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3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3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3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3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3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3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3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3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3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3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3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3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3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3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3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3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3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3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3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3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3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3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3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3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3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3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3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3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3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3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3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3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3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3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3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3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3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3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3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3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3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3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3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3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3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3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3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3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3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3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3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3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3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3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3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3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3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3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3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7.2816902647752066E-6</v>
      </c>
      <c r="L155" s="346">
        <f t="shared" ref="L155:L160" si="17">IF(ISBLANK(I155), IF(ISNUMBER(J155)=FALSE, K155, J155), I155)</f>
        <v>7.2816902647752066E-6</v>
      </c>
      <c r="M155" s="36" t="s">
        <v>1505</v>
      </c>
      <c r="N155" s="29"/>
      <c r="O155" s="172"/>
    </row>
    <row r="156" spans="1:15" s="26" customFormat="1" ht="12.75" customHeight="1" x14ac:dyDescent="0.3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7.5555800412712927E-10</v>
      </c>
      <c r="L156" s="346">
        <f t="shared" si="17"/>
        <v>7.5555800412712927E-10</v>
      </c>
      <c r="M156" s="36" t="s">
        <v>1505</v>
      </c>
      <c r="N156" s="29"/>
      <c r="O156" s="172"/>
    </row>
    <row r="157" spans="1:15" s="26" customFormat="1" ht="12.75" customHeight="1" x14ac:dyDescent="0.3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3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3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3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3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3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3"/>
  <cols>
    <col min="1" max="1" width="2.6640625" style="26" customWidth="1"/>
    <col min="2" max="2" width="26.88671875" style="26" customWidth="1"/>
    <col min="3" max="12" width="7.6640625" style="28" customWidth="1"/>
    <col min="13" max="23" width="9.109375" style="28" customWidth="1"/>
    <col min="24" max="26" width="2.6640625" style="26" customWidth="1"/>
    <col min="27" max="27" width="21" style="26" customWidth="1"/>
    <col min="28" max="35" width="9.109375" style="26" customWidth="1"/>
    <col min="36" max="36" width="8.44140625" style="26" bestFit="1" customWidth="1"/>
    <col min="37" max="37" width="8.6640625" style="26" customWidth="1"/>
    <col min="38" max="41" width="9.109375" style="26" customWidth="1"/>
    <col min="42" max="44" width="2.6640625" style="26" customWidth="1"/>
    <col min="45" max="60" width="10.6640625" style="26" customWidth="1"/>
    <col min="61" max="61" width="9.109375" style="26" customWidth="1"/>
    <col min="62" max="62" width="11.5546875" style="26" customWidth="1"/>
    <col min="63" max="64" width="2.6640625" style="26" customWidth="1"/>
    <col min="65" max="65" width="2.6640625" customWidth="1"/>
    <col min="67" max="67" width="30.33203125" customWidth="1"/>
    <col min="68" max="68" width="10.109375" customWidth="1"/>
    <col min="69" max="69" width="9.109375" style="183" customWidth="1"/>
    <col min="70" max="102" width="9.109375" style="179"/>
    <col min="103" max="103" width="3.5546875" customWidth="1"/>
  </cols>
  <sheetData>
    <row r="1" spans="1:103" ht="12.75" customHeight="1" x14ac:dyDescent="0.3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3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3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1-HYDROXYANTHRAQUINONE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R verification acid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3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3">
      <c r="A5" s="29"/>
      <c r="B5" s="20" t="s">
        <v>1360</v>
      </c>
      <c r="C5" s="104" t="str">
        <f>ChemName</f>
        <v>1-HYDROXYANTHRAQUINONE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1-HYDROXYANTHRAQUINONE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1-HYDROXYANTHRAQUINONE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3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3">
      <c r="A7" s="29"/>
      <c r="B7" s="20" t="s">
        <v>1213</v>
      </c>
      <c r="C7" s="227" t="str">
        <f>CaseName</f>
        <v>R verification acid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R verification acid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R verification acid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3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0.11394691113396464</v>
      </c>
      <c r="AY8" s="75"/>
      <c r="AZ8" s="295">
        <f>output!AF12</f>
        <v>4.6145786519203034E-6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3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1.8801758029027226E-3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3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0.1186648056847371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3">
      <c r="A11" s="29"/>
      <c r="B11" s="65" t="s">
        <v>446</v>
      </c>
      <c r="C11" s="517">
        <f>M.aR*Molweight</f>
        <v>12596.922251005815</v>
      </c>
      <c r="D11" s="117">
        <f>C11/$C$51</f>
        <v>1.0775245869393147E-3</v>
      </c>
      <c r="E11" s="517">
        <f>M.aC*Molweight</f>
        <v>6259.1173850869554</v>
      </c>
      <c r="F11" s="117">
        <f>E11/$E$51</f>
        <v>3.2473789390175286E-3</v>
      </c>
      <c r="G11" s="517">
        <f>M.aM*Molweight</f>
        <v>471.27391234872732</v>
      </c>
      <c r="H11" s="117">
        <f>G11/$G$51</f>
        <v>8.9438019775263714E-4</v>
      </c>
      <c r="I11" s="517">
        <f>M.aA*Molweight</f>
        <v>10.713747391453497</v>
      </c>
      <c r="J11" s="117">
        <f>I11/$I$51</f>
        <v>4.1047974826755635E-5</v>
      </c>
      <c r="K11" s="517">
        <f>M.aT*Molweight</f>
        <v>16.213091270385764</v>
      </c>
      <c r="L11" s="118">
        <f>K11/$K$51</f>
        <v>5.50981426857961E-3</v>
      </c>
      <c r="M11" s="320">
        <f>C.aR*(Molweight*1000)</f>
        <v>5.4871813612431138E-8</v>
      </c>
      <c r="N11" s="320">
        <f>C.aC*(Molweight*1000)</f>
        <v>8.6941242283390013E-10</v>
      </c>
      <c r="O11" s="320">
        <f>C.aM*(Molweight*1000)</f>
        <v>6.0753737708866537E-12</v>
      </c>
      <c r="P11" s="320">
        <f>C.aA*(Molweight*1000)</f>
        <v>2.5208817391655283E-13</v>
      </c>
      <c r="Q11" s="321">
        <f>C.aT*(Molweight*1000)</f>
        <v>1.2716150015988834E-13</v>
      </c>
      <c r="R11" s="119" t="s">
        <v>1493</v>
      </c>
      <c r="S11" s="323">
        <f>F.aR</f>
        <v>5.7986893959735731E-7</v>
      </c>
      <c r="T11" s="323">
        <f>F.aC</f>
        <v>9.1876908472959524E-9</v>
      </c>
      <c r="U11" s="323">
        <f>F.aM</f>
        <v>6.4202735689850217E-11</v>
      </c>
      <c r="V11" s="323">
        <f>F.aA</f>
        <v>2.4583510101632504E-12</v>
      </c>
      <c r="W11" s="324">
        <f>F.aT</f>
        <v>1.4051011161989782E-12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0.31709791983764585</v>
      </c>
      <c r="AT11" s="2"/>
      <c r="AU11" s="75"/>
      <c r="AV11" s="2"/>
      <c r="AW11" s="75"/>
      <c r="AX11" s="75"/>
      <c r="AY11" s="300">
        <f>IF(ISERROR(output!D11),0,output!D11)</f>
        <v>1.0775245869393147E-3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3">
      <c r="A12" s="29"/>
      <c r="B12" s="121" t="s">
        <v>714</v>
      </c>
      <c r="C12" s="318">
        <f>FRgas.aR*C11</f>
        <v>12295.514347453474</v>
      </c>
      <c r="D12" s="122">
        <f>C12/$C$51</f>
        <v>1.0517425411106561E-3</v>
      </c>
      <c r="E12" s="318">
        <f>FRgas.aC*E11</f>
        <v>6109.3548151880714</v>
      </c>
      <c r="F12" s="122">
        <f>E12/$E$51</f>
        <v>3.1696785564521647E-3</v>
      </c>
      <c r="G12" s="318">
        <f>FRgas.aM*G11</f>
        <v>459.99769113456546</v>
      </c>
      <c r="H12" s="122">
        <f>G12/$G$51</f>
        <v>8.7298026727661748E-4</v>
      </c>
      <c r="I12" s="318">
        <f>FRgas.aA*I11</f>
        <v>10.331966722181315</v>
      </c>
      <c r="J12" s="122">
        <f>I12/$I$51</f>
        <v>3.9585244492631118E-5</v>
      </c>
      <c r="K12" s="318">
        <f>FRgas.aT*K11</f>
        <v>15.83040376355798</v>
      </c>
      <c r="L12" s="123">
        <f>K12/$K$51</f>
        <v>5.3797627533958116E-3</v>
      </c>
      <c r="M12" s="320">
        <f>FRgas.aR*M11</f>
        <v>5.3558889869989444E-8</v>
      </c>
      <c r="N12" s="320">
        <f>FRgas.aC*N11</f>
        <v>8.4860989897393084E-10</v>
      </c>
      <c r="O12" s="320">
        <f>FRgas.aM*O11</f>
        <v>5.9300076540612835E-12</v>
      </c>
      <c r="P12" s="320">
        <f>FRgas.aA*P11</f>
        <v>2.4310509934544271E-13</v>
      </c>
      <c r="Q12" s="320">
        <f>FRgas.aT*Q11</f>
        <v>1.2416002951810182E-13</v>
      </c>
      <c r="R12" s="120" t="s">
        <v>1493</v>
      </c>
      <c r="S12" s="325">
        <f>S11*FRgas.aR</f>
        <v>5.6599435357256835E-7</v>
      </c>
      <c r="T12" s="325">
        <f>T11*FRgas.aC</f>
        <v>8.9678559875111047E-9</v>
      </c>
      <c r="U12" s="325">
        <f>U11*FRgas.aM</f>
        <v>6.2666549978689088E-11</v>
      </c>
      <c r="V12" s="325">
        <f>V11*FRgas.aA</f>
        <v>2.3707485252740918E-12</v>
      </c>
      <c r="W12" s="326">
        <f>W11*FRgas.aT</f>
        <v>1.3719356553974781E-12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0.31709791983764585</v>
      </c>
      <c r="AD12" s="325">
        <f>k.aC.aR*M.aC*Molweight</f>
        <v>1.8801758029027226E-3</v>
      </c>
      <c r="AE12" s="325">
        <f>k.aR.aC*M.aR*Molweight</f>
        <v>0.1186648056847371</v>
      </c>
      <c r="AF12" s="325">
        <f>kesc.aR*M.aR*Molweight</f>
        <v>4.6145786519203034E-6</v>
      </c>
      <c r="AG12" s="326">
        <f>KDEG.aR*M.aR*Molweight</f>
        <v>0.11394691113396464</v>
      </c>
      <c r="AH12" s="325">
        <f>SUM(AH13:AH15)</f>
        <v>4.1120794555066127E-3</v>
      </c>
      <c r="AI12" s="325">
        <f>SUM(AI13:AI15)</f>
        <v>1.3209600632278483E-4</v>
      </c>
      <c r="AJ12" s="325">
        <f>SUM(AJ18:AJ20)</f>
        <v>8.2564422771467805E-2</v>
      </c>
      <c r="AK12" s="325">
        <f>SUM(AK18:AK20)</f>
        <v>1.8264197745668375E-4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708</v>
      </c>
      <c r="BO12" s="409" t="str">
        <f>ChemName</f>
        <v>1-HYDROXYANTHRAQUINONE</v>
      </c>
      <c r="BP12" s="541" t="str">
        <f>substances!D6</f>
        <v>Acid</v>
      </c>
      <c r="BQ12" s="542">
        <f>substances!E6</f>
        <v>9.4700000000000006</v>
      </c>
      <c r="BR12" s="425">
        <f>engine!D45</f>
        <v>56181.082200543286</v>
      </c>
      <c r="BS12" s="425"/>
      <c r="BT12" s="425">
        <f>engine!F45</f>
        <v>9210831.7686382141</v>
      </c>
      <c r="BU12" s="425">
        <f>engine!G45</f>
        <v>460675.44405562885</v>
      </c>
      <c r="BV12" s="425">
        <f>engine!H45</f>
        <v>3323310.8864067141</v>
      </c>
      <c r="BW12" s="425">
        <f>engine!I45</f>
        <v>42017.38901149157</v>
      </c>
      <c r="BX12" s="425">
        <f>engine!J45</f>
        <v>2130527.2805580101</v>
      </c>
      <c r="BY12" s="425">
        <f>engine!K45</f>
        <v>36028859.337259471</v>
      </c>
      <c r="BZ12" s="425">
        <f>engine!L45</f>
        <v>789028.18568567943</v>
      </c>
      <c r="CA12" s="425">
        <f>engine!M45</f>
        <v>27915.071737966977</v>
      </c>
      <c r="CB12" s="425">
        <f>engine!N45</f>
        <v>8976.3382046425704</v>
      </c>
      <c r="CC12" s="425">
        <f>engine!O45</f>
        <v>53882.829702478804</v>
      </c>
      <c r="CD12" s="425">
        <f>engine!P45</f>
        <v>6543911.9955457449</v>
      </c>
      <c r="CE12" s="425">
        <f>engine!Q45</f>
        <v>19441.175242213951</v>
      </c>
      <c r="CF12" s="425">
        <f>engine!R45</f>
        <v>29842.92949860479</v>
      </c>
      <c r="CG12" s="425">
        <f>engine!S45</f>
        <v>514571.17091705848</v>
      </c>
      <c r="CH12" s="425">
        <f>engine!T45</f>
        <v>1207075.5941497413</v>
      </c>
      <c r="CI12" s="425">
        <f>engine!U45</f>
        <v>190568.39173094428</v>
      </c>
      <c r="CJ12" s="425">
        <f>engine!V45</f>
        <v>2101.8370901290132</v>
      </c>
      <c r="CK12" s="425">
        <f>engine!W45</f>
        <v>607700.41947147646</v>
      </c>
      <c r="CL12" s="611"/>
      <c r="CM12" s="425">
        <f>engine!Y45</f>
        <v>483.78271169448209</v>
      </c>
      <c r="CN12" s="425">
        <f>engine!Z45</f>
        <v>148515.72730637039</v>
      </c>
      <c r="CO12" s="425">
        <f>engine!AA45</f>
        <v>47.782300381114517</v>
      </c>
      <c r="CP12" s="425">
        <f>engine!AB45</f>
        <v>114882.31895054177</v>
      </c>
      <c r="CQ12" s="425"/>
      <c r="CR12" s="425">
        <f>engine!AD45</f>
        <v>366.30182270330215</v>
      </c>
      <c r="CS12" s="425">
        <f>engine!AE45</f>
        <v>11838.646229526292</v>
      </c>
      <c r="CT12" s="425">
        <f>engine!AF45</f>
        <v>72.308854118213205</v>
      </c>
      <c r="CU12" s="425">
        <f>engine!AG45</f>
        <v>1244.8484809188612</v>
      </c>
      <c r="CV12" s="425"/>
      <c r="CW12" s="425">
        <f>engine!AI45</f>
        <v>2.5435300194475521</v>
      </c>
      <c r="CX12" s="425">
        <f>engine!AJ45</f>
        <v>1258.6547820590331</v>
      </c>
      <c r="CY12" s="591"/>
    </row>
    <row r="13" spans="1:103" ht="12.75" customHeight="1" x14ac:dyDescent="0.3">
      <c r="A13" s="29"/>
      <c r="B13" s="121" t="s">
        <v>1547</v>
      </c>
      <c r="C13" s="318">
        <f>(1-FRgas.aR)*C11</f>
        <v>301.40790355234009</v>
      </c>
      <c r="D13" s="122">
        <f>C13/$C$51</f>
        <v>2.578204582865851E-5</v>
      </c>
      <c r="E13" s="318">
        <f>(1-FRgas.aC)*E11</f>
        <v>149.7625698988839</v>
      </c>
      <c r="F13" s="122">
        <f>E13/$E$51</f>
        <v>7.7700382565363819E-5</v>
      </c>
      <c r="G13" s="318">
        <f>(1-FRgas.aM)*G11</f>
        <v>11.276221214161849</v>
      </c>
      <c r="H13" s="122">
        <f>G13/$G$51</f>
        <v>2.1399930476019679E-5</v>
      </c>
      <c r="I13" s="318">
        <f>(1-FRgas.aA)*I11</f>
        <v>0.38178066927218107</v>
      </c>
      <c r="J13" s="122">
        <f>I13/$I$51</f>
        <v>1.4627303341245133E-6</v>
      </c>
      <c r="K13" s="318">
        <f>(1-FRgas.aT)*K11</f>
        <v>0.38268750682778319</v>
      </c>
      <c r="L13" s="123">
        <f>K13/$K$51</f>
        <v>1.3005151518379797E-4</v>
      </c>
      <c r="M13" s="320">
        <f>(1-FRgas.aR)*M11</f>
        <v>1.3129237424416959E-9</v>
      </c>
      <c r="N13" s="320">
        <f>(1-FRgas.aC)*N11</f>
        <v>2.0802523859969287E-11</v>
      </c>
      <c r="O13" s="320">
        <f>(1-FRgas.aM)*O11</f>
        <v>1.4536611682537058E-13</v>
      </c>
      <c r="P13" s="320">
        <f>(1-FRgas.aA)*P11</f>
        <v>8.9830745711101405E-15</v>
      </c>
      <c r="Q13" s="320">
        <f>(1-FRgas.aT)*Q11</f>
        <v>3.001470641786535E-15</v>
      </c>
      <c r="R13" s="120" t="s">
        <v>1493</v>
      </c>
      <c r="S13" s="325">
        <f>S11*(1-FRgas.aR)</f>
        <v>1.3874586024788931E-8</v>
      </c>
      <c r="T13" s="325">
        <f>T11*(1-FRgas.aC)</f>
        <v>2.1983485978484809E-10</v>
      </c>
      <c r="U13" s="325">
        <f>U11*(1-FRgas.aM)</f>
        <v>1.5361857111611243E-12</v>
      </c>
      <c r="V13" s="325">
        <f>V11*(1-FRgas.aA)</f>
        <v>8.760248488915867E-14</v>
      </c>
      <c r="W13" s="326">
        <f>W11*(1-FRgas.aT)</f>
        <v>3.3165460801500087E-14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5.2458322018045365E-5</v>
      </c>
      <c r="AF13" s="330"/>
      <c r="AG13" s="326">
        <f>KDEG.w0R*M.w0R*Molweight</f>
        <v>1.9006573670356391E-3</v>
      </c>
      <c r="AH13" s="325">
        <f>k.aR.w0R*M.aR*Molweight</f>
        <v>2.9906008614665277E-4</v>
      </c>
      <c r="AI13" s="325">
        <f>k.w0R.aR*M.w0R*Molweight</f>
        <v>4.1434170672069749E-8</v>
      </c>
      <c r="AJ13" s="325"/>
      <c r="AK13" s="325"/>
      <c r="AL13" s="325">
        <f>SUM(AL18:AL20)*AREAFRAC.w0R/(AREAFRAC.w0R+AREAFRAC.w1R)</f>
        <v>1.6540970370777037E-3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3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0.31709791983764585</v>
      </c>
      <c r="AD14" s="325">
        <f>(WATERflow.w0R.w1R*C.w0R+WATERflow.w1C.w1R*C.w1C)*Molweight</f>
        <v>5.2458322018045365E-5</v>
      </c>
      <c r="AE14" s="325">
        <f>(WATERflow.w1R.w0R+WATERflow.w1R.w2R)*C.w1R*Molweight</f>
        <v>0.15002873489153612</v>
      </c>
      <c r="AF14" s="330"/>
      <c r="AG14" s="326">
        <f>KDEG.w1R*M.w1R*Molweight</f>
        <v>0.17911622243487541</v>
      </c>
      <c r="AH14" s="325">
        <f>k.aR.w1R*M.aR*Molweight</f>
        <v>3.2896609476131813E-3</v>
      </c>
      <c r="AI14" s="325">
        <f>k.w1R.aR*M.w1R*Molweight</f>
        <v>1.3015728591625871E-4</v>
      </c>
      <c r="AJ14" s="325"/>
      <c r="AK14" s="325"/>
      <c r="AL14" s="325">
        <f>SUM(AL18:AL20)*AREAFRAC.w1R/(AREAFRAC.w0R+AREAFRAC.w1R)</f>
        <v>1.8195067407854745E-2</v>
      </c>
      <c r="AM14" s="325">
        <f>k.w1R.sd1R*M.w1R*Molweight</f>
        <v>5.4632347394921676E-2</v>
      </c>
      <c r="AN14" s="326">
        <f>k.sd1R.w1R*M.sd1R*Molweight</f>
        <v>4.5272355492117569E-2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3">
      <c r="A15" s="29"/>
      <c r="B15" s="66" t="s">
        <v>356</v>
      </c>
      <c r="C15" s="318">
        <f>M.w0R*Molweight</f>
        <v>21882.614327527495</v>
      </c>
      <c r="D15" s="122">
        <f>C15/$C$51</f>
        <v>1.8718107879516918E-3</v>
      </c>
      <c r="E15" s="318">
        <f>M.w0C*Molweight</f>
        <v>2012.6745522449571</v>
      </c>
      <c r="F15" s="122">
        <f>E15/$E$51</f>
        <v>1.0442234184055022E-3</v>
      </c>
      <c r="G15" s="318"/>
      <c r="H15" s="122"/>
      <c r="I15" s="318"/>
      <c r="J15" s="122"/>
      <c r="K15" s="318"/>
      <c r="L15" s="123"/>
      <c r="M15" s="320">
        <f>C.w0R*Molweight</f>
        <v>3.8294814415763221E-7</v>
      </c>
      <c r="N15" s="320">
        <f>C.w0C*Molweight</f>
        <v>2.3095432403609546E-9</v>
      </c>
      <c r="O15" s="320"/>
      <c r="P15" s="320"/>
      <c r="Q15" s="320"/>
      <c r="R15" s="120" t="s">
        <v>1489</v>
      </c>
      <c r="S15" s="325">
        <f>F.w0R</f>
        <v>1.9893930057320941E-10</v>
      </c>
      <c r="T15" s="325">
        <f>F.w0C</f>
        <v>1.1997940814980573E-12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0.15005309200589118</v>
      </c>
      <c r="AE15" s="325">
        <f>k.w2R.w2C*M.w2R*Molweight</f>
        <v>0.14149589381794872</v>
      </c>
      <c r="AF15" s="330"/>
      <c r="AG15" s="326">
        <f>KDEG.w2R*M.w2R*Molweight</f>
        <v>8.9676864383119465E-3</v>
      </c>
      <c r="AH15" s="325">
        <f>k.aR.w2R*M.aR*Molweight</f>
        <v>5.2335842174677902E-4</v>
      </c>
      <c r="AI15" s="325">
        <f>k.w2R.aR*M.w2R*Molweight</f>
        <v>1.8972862358540622E-6</v>
      </c>
      <c r="AJ15" s="325"/>
      <c r="AK15" s="325"/>
      <c r="AL15" s="325"/>
      <c r="AM15" s="325">
        <f>k.w2R.sd2R*M.w2R*Molweight</f>
        <v>5.112196409456307E-4</v>
      </c>
      <c r="AN15" s="326">
        <f>k.sd2R.w2R*M.sd2R*Molweight</f>
        <v>4.0024675580422123E-4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3">
      <c r="A16" s="29"/>
      <c r="B16" s="121" t="s">
        <v>715</v>
      </c>
      <c r="C16" s="318">
        <f>FRw.w0R*C15</f>
        <v>21875.721052454865</v>
      </c>
      <c r="D16" s="122">
        <f>C16/$C$51</f>
        <v>1.8712211460354131E-3</v>
      </c>
      <c r="E16" s="318">
        <f>FRw.w0C*E15</f>
        <v>2012.0405366235761</v>
      </c>
      <c r="F16" s="122">
        <f>E16/$E$51</f>
        <v>1.0438944760244586E-3</v>
      </c>
      <c r="G16" s="318"/>
      <c r="H16" s="122"/>
      <c r="I16" s="318"/>
      <c r="J16" s="122"/>
      <c r="K16" s="318"/>
      <c r="L16" s="123"/>
      <c r="M16" s="320">
        <f>M15*FRw.w0R</f>
        <v>3.8282751108990452E-7</v>
      </c>
      <c r="N16" s="320">
        <f>N15*FRw.w0C</f>
        <v>2.3088157076900564E-9</v>
      </c>
      <c r="O16" s="320"/>
      <c r="P16" s="320"/>
      <c r="Q16" s="320"/>
      <c r="R16" s="120" t="s">
        <v>1489</v>
      </c>
      <c r="S16" s="325">
        <f>S15*FRw.w0R</f>
        <v>1.9887663240655062E-10</v>
      </c>
      <c r="T16" s="325">
        <f>T15*FRw.w0C</f>
        <v>1.1994161325697212E-12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2.1574916675842406E-3</v>
      </c>
      <c r="AG16" s="326">
        <f>KDEG.sd1R*M.sd1R*Molweight</f>
        <v>7.2025002352198381E-3</v>
      </c>
      <c r="AH16" s="325"/>
      <c r="AI16" s="325"/>
      <c r="AJ16" s="325"/>
      <c r="AK16" s="325"/>
      <c r="AL16" s="325"/>
      <c r="AM16" s="325">
        <f>k.w1R.sd1R*M.w1R*Molweight</f>
        <v>5.4632347394921676E-2</v>
      </c>
      <c r="AN16" s="326">
        <f>k.sd1R.w1R*M.sd1R*Molweight</f>
        <v>4.5272355492117569E-2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3">
      <c r="A17" s="29"/>
      <c r="B17" s="121" t="s">
        <v>492</v>
      </c>
      <c r="C17" s="318">
        <f>(1-FRw.w0R)*C15</f>
        <v>6.8932750726296668</v>
      </c>
      <c r="D17" s="122">
        <f>C17/$C$51</f>
        <v>5.8964191627850088E-7</v>
      </c>
      <c r="E17" s="318">
        <f>(1-FRw.w0C)*E15</f>
        <v>0.63401562138091416</v>
      </c>
      <c r="F17" s="122">
        <f>E17/$E$51</f>
        <v>3.2894238104337596E-7</v>
      </c>
      <c r="G17" s="318"/>
      <c r="H17" s="122"/>
      <c r="I17" s="318"/>
      <c r="J17" s="122"/>
      <c r="K17" s="318"/>
      <c r="L17" s="123"/>
      <c r="M17" s="320">
        <f>M16*Kp.susp1R</f>
        <v>3.912509629136149E-5</v>
      </c>
      <c r="N17" s="320">
        <f>N16*Kp.susp1C</f>
        <v>2.3596171713262099E-7</v>
      </c>
      <c r="O17" s="320"/>
      <c r="P17" s="320"/>
      <c r="Q17" s="320"/>
      <c r="R17" s="120" t="s">
        <v>1494</v>
      </c>
      <c r="S17" s="325">
        <f>S15*(1-FRw.w0R)</f>
        <v>6.2668166658797598E-14</v>
      </c>
      <c r="T17" s="325">
        <f>T15*(1-FRw.w0C)</f>
        <v>3.7794892833600679E-16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1.9910007010917696E-5</v>
      </c>
      <c r="AG17" s="326">
        <f>KDEG.sd2R*M.sd2R*Molweight</f>
        <v>9.1062878130491855E-5</v>
      </c>
      <c r="AH17" s="325"/>
      <c r="AI17" s="325"/>
      <c r="AJ17" s="325"/>
      <c r="AK17" s="325"/>
      <c r="AL17" s="325"/>
      <c r="AM17" s="325">
        <f>k.w2R.sd2R*M.w2R*Molweight</f>
        <v>5.112196409456307E-4</v>
      </c>
      <c r="AN17" s="326">
        <f>k.sd2R.w2R*M.sd2R*Molweight</f>
        <v>4.0024675580422123E-4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3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1.4664817285171708E-5</v>
      </c>
      <c r="AG18" s="326">
        <f>KDEG.s1R*M.s1R*Molweight</f>
        <v>2.0758990545115888E-2</v>
      </c>
      <c r="AH18" s="325"/>
      <c r="AI18" s="325"/>
      <c r="AJ18" s="325">
        <f>k.aR.s1R*M.aR*Molweight</f>
        <v>2.2981849637418877E-2</v>
      </c>
      <c r="AK18" s="325">
        <f>k.s1R.aR*M.s1R*Molweight</f>
        <v>2.0192860471156383E-5</v>
      </c>
      <c r="AL18" s="325">
        <f>(k.s1R.w1R+k.s1R.w0R)*M.s1R*Molweight</f>
        <v>2.1880014145466641E-3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3">
      <c r="A19" s="29"/>
      <c r="B19" s="66" t="s">
        <v>447</v>
      </c>
      <c r="C19" s="318">
        <f>M.w1R*Molweight</f>
        <v>2065252.6991640604</v>
      </c>
      <c r="D19" s="122">
        <f>C19/$C$51</f>
        <v>0.17665906935437126</v>
      </c>
      <c r="E19" s="318">
        <f>M.w1C*Molweight</f>
        <v>12081.608075889797</v>
      </c>
      <c r="F19" s="122">
        <f>E19/$E$51</f>
        <v>6.2682255662095329E-3</v>
      </c>
      <c r="G19" s="318"/>
      <c r="H19" s="122"/>
      <c r="I19" s="318"/>
      <c r="J19" s="122"/>
      <c r="K19" s="318"/>
      <c r="L19" s="123"/>
      <c r="M19" s="320">
        <f>C.w1R*Molweight</f>
        <v>1.0952166098120252E-4</v>
      </c>
      <c r="N19" s="320">
        <f>C.w1C*Molweight</f>
        <v>4.2011031560028477E-8</v>
      </c>
      <c r="O19" s="320"/>
      <c r="P19" s="320"/>
      <c r="Q19" s="320"/>
      <c r="R19" s="120" t="s">
        <v>1489</v>
      </c>
      <c r="S19" s="325">
        <f>F.w1R</f>
        <v>5.6895856438066378E-8</v>
      </c>
      <c r="T19" s="325">
        <f>F.w1C</f>
        <v>2.1824482929132175E-11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0.31709791983764585</v>
      </c>
      <c r="AD19" s="330"/>
      <c r="AE19" s="330"/>
      <c r="AF19" s="325">
        <f>(FRACinf.s2R*RAINrate.R/Ks2w.R*SYSTEMAREA.R*AREAFRAC.s2R*CORRleach.s2R)*C.s2R*Molweight</f>
        <v>1.1293710860184383E-4</v>
      </c>
      <c r="AG19" s="326">
        <f>KDEG.s2R*M.s2R*Molweight</f>
        <v>0.35105053906542322</v>
      </c>
      <c r="AH19" s="325"/>
      <c r="AI19" s="325"/>
      <c r="AJ19" s="325">
        <f>k.aR.s2R*M.aR*Molweight</f>
        <v>5.1070776972041938E-2</v>
      </c>
      <c r="AK19" s="325">
        <f>k.s2R.aR*M.s2R*Molweight</f>
        <v>1.5499008021305663E-4</v>
      </c>
      <c r="AL19" s="325">
        <f>(k.s2R.w1R+k.s2R.w0R)*M.s2R*Molweight</f>
        <v>1.6850230555449743E-2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3">
      <c r="A20" s="29"/>
      <c r="B20" s="121" t="s">
        <v>715</v>
      </c>
      <c r="C20" s="318">
        <f>FRw.w1R*C19</f>
        <v>2061548.0653759097</v>
      </c>
      <c r="D20" s="122">
        <f>C20/$C$51</f>
        <v>0.17634217972746102</v>
      </c>
      <c r="E20" s="318">
        <f>FRw.w1C*E19</f>
        <v>12059.936183868422</v>
      </c>
      <c r="F20" s="122">
        <f>E20/$E$51</f>
        <v>6.2569816732787895E-3</v>
      </c>
      <c r="G20" s="318"/>
      <c r="H20" s="122"/>
      <c r="I20" s="318"/>
      <c r="J20" s="122"/>
      <c r="K20" s="318"/>
      <c r="L20" s="123"/>
      <c r="M20" s="320">
        <f>M19*FRw.w1R</f>
        <v>1.0932520190093133E-4</v>
      </c>
      <c r="N20" s="320">
        <f>N19*FRw.w1C</f>
        <v>4.1935672507329822E-8</v>
      </c>
      <c r="O20" s="320"/>
      <c r="P20" s="320"/>
      <c r="Q20" s="320"/>
      <c r="R20" s="120" t="s">
        <v>1489</v>
      </c>
      <c r="S20" s="325">
        <f>S19*FRw.w1R</f>
        <v>5.6793797105447393E-8</v>
      </c>
      <c r="T20" s="325">
        <f>T19*FRw.w1C</f>
        <v>2.1785334346055195E-11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5.4351997552338083E-6</v>
      </c>
      <c r="AG20" s="326">
        <f>KDEG.s3R*M.s3R*Molweight</f>
        <v>7.6879694505432462E-3</v>
      </c>
      <c r="AH20" s="325"/>
      <c r="AI20" s="325"/>
      <c r="AJ20" s="325">
        <f>k.aR.s3R*M.aR*Molweight</f>
        <v>8.5117961620069914E-3</v>
      </c>
      <c r="AK20" s="325">
        <f>k.s3R.aR*M.s3R*Molweight</f>
        <v>7.4590367724707335E-6</v>
      </c>
      <c r="AL20" s="325">
        <f>(k.s3R.w1R+k.s3R.w0R)*M.s3R*Molweight</f>
        <v>8.1093247493604144E-4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2.0192860471156383E-5</v>
      </c>
      <c r="BE20" s="2"/>
      <c r="BF20" s="296">
        <f>IF(output!AK20&lt;0,"",output!AK20)</f>
        <v>7.4590367724707335E-6</v>
      </c>
      <c r="BG20" s="75"/>
      <c r="BH20" s="296">
        <f>IF(output!AK19&lt;0,"",output!AK19)</f>
        <v>1.5499008021305663E-4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3">
      <c r="A21" s="29"/>
      <c r="B21" s="121" t="s">
        <v>492</v>
      </c>
      <c r="C21" s="318">
        <f>(1-FRw.w1R)*C19</f>
        <v>3704.6337881507329</v>
      </c>
      <c r="D21" s="122">
        <f>C21/$C$51</f>
        <v>3.1688962691024105E-4</v>
      </c>
      <c r="E21" s="318">
        <f>(1-FRw.w1C)*E19</f>
        <v>21.671892021374671</v>
      </c>
      <c r="F21" s="122">
        <f>E21/$E$51</f>
        <v>1.1243892930743686E-5</v>
      </c>
      <c r="G21" s="318"/>
      <c r="H21" s="122"/>
      <c r="I21" s="318"/>
      <c r="J21" s="122"/>
      <c r="K21" s="318"/>
      <c r="L21" s="123"/>
      <c r="M21" s="320">
        <f>M20*Kp.susp1R</f>
        <v>1.1173071233226927E-2</v>
      </c>
      <c r="N21" s="320">
        <f>N20*Kp.susp1C</f>
        <v>4.2858393855267195E-6</v>
      </c>
      <c r="O21" s="320"/>
      <c r="P21" s="320"/>
      <c r="Q21" s="320"/>
      <c r="R21" s="120" t="s">
        <v>1494</v>
      </c>
      <c r="S21" s="325">
        <f>S19*(1-FRw.w1R)</f>
        <v>1.0205933261898146E-10</v>
      </c>
      <c r="T21" s="325">
        <f>T19*(1-FRw.w1C)</f>
        <v>3.9148583076980258E-14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325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1.8972862358540622E-6</v>
      </c>
      <c r="AV21" s="75"/>
      <c r="AW21" s="75"/>
      <c r="AX21" s="288">
        <f>IF(output!AI14&lt;0,"",output!AI14)</f>
        <v>1.3015728591625871E-4</v>
      </c>
      <c r="AY21" s="75"/>
      <c r="AZ21" s="75"/>
      <c r="BA21" s="296">
        <f>IF(output!AI13&lt;0,"",output!AI13)</f>
        <v>4.1434170672069749E-8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3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0.11872524242850346</v>
      </c>
      <c r="AE22" s="325">
        <f>(k.aC.aM+k.aC.aR)*M.aC*Molweight</f>
        <v>1.0528936818710624E-2</v>
      </c>
      <c r="AF22" s="325">
        <f>kesc.aC*M.aC*Molweight</f>
        <v>2.2928766955578601E-6</v>
      </c>
      <c r="AG22" s="326">
        <f>KDEG.aC*M.aC*Molweight</f>
        <v>5.6617567231440971E-2</v>
      </c>
      <c r="AH22" s="325">
        <f>SUM(AH23:AH25)</f>
        <v>3.1649228965254649E-2</v>
      </c>
      <c r="AI22" s="325">
        <f>SUM(AI23:AI25)</f>
        <v>2.1127746083441907E-6</v>
      </c>
      <c r="AJ22" s="325">
        <f>SUM(AJ28:AJ30)</f>
        <v>1.9941200513742242E-2</v>
      </c>
      <c r="AK22" s="325">
        <f>SUM(AK28:AK30)</f>
        <v>1.1871202732224006E-5</v>
      </c>
      <c r="AL22" s="325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2.2981849637418877E-2</v>
      </c>
      <c r="BE22" s="2"/>
      <c r="BF22" s="296">
        <f>IF(output!AJ20&lt;0,"",output!AJ20)</f>
        <v>8.5117961620069914E-3</v>
      </c>
      <c r="BG22" s="75"/>
      <c r="BH22" s="296">
        <f>IF(output!AJ19&lt;0,"",output!AJ19)</f>
        <v>5.1070776972041938E-2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3">
      <c r="A23" s="29"/>
      <c r="B23" s="66" t="s">
        <v>448</v>
      </c>
      <c r="C23" s="318">
        <f>M.sd1R*Molweight</f>
        <v>745152.76695011347</v>
      </c>
      <c r="D23" s="122">
        <f>C23/$C$51</f>
        <v>6.373941280382979E-2</v>
      </c>
      <c r="E23" s="318">
        <f>M.sd1C*Molweight</f>
        <v>4359.1003128092125</v>
      </c>
      <c r="F23" s="122">
        <f>E23/$E$51</f>
        <v>2.2616049001747073E-3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3.0396864622891043E-3</v>
      </c>
      <c r="N23" s="320">
        <f>C.sd1C*(Molweight*1000)/(FRACw.sdC*1000+FRACs.sdC*RHOsolid)</f>
        <v>1.1659827175350864E-6</v>
      </c>
      <c r="O23" s="320"/>
      <c r="P23" s="320"/>
      <c r="Q23" s="320"/>
      <c r="R23" s="120" t="s">
        <v>1495</v>
      </c>
      <c r="S23" s="325">
        <f>F.sd1R</f>
        <v>7.773071539446529E-8</v>
      </c>
      <c r="T23" s="325">
        <f>F.sd1C</f>
        <v>2.9816453734946092E-11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4.8249047485324314E-6</v>
      </c>
      <c r="AF23" s="330"/>
      <c r="AG23" s="326">
        <f>KDEG.w0C*M.w0C*Molweight</f>
        <v>1.7481479396898756E-4</v>
      </c>
      <c r="AH23" s="325">
        <f>k.aC.w0C*M.aC*Molweight</f>
        <v>7.2239769483812617E-5</v>
      </c>
      <c r="AI23" s="325">
        <f>k.w0C.aC*M.w0C*Molweight</f>
        <v>3.8109477988716943E-9</v>
      </c>
      <c r="AJ23" s="325"/>
      <c r="AK23" s="325"/>
      <c r="AL23" s="325">
        <f>SUM(AL28:AL30)*AREAFRAC.w0C/(AREAFRAC.w1C+AREAFRAC.w0C)</f>
        <v>1.0740374018150626E-4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5.2335842174677902E-4</v>
      </c>
      <c r="AV23" s="75"/>
      <c r="AW23" s="75"/>
      <c r="AX23" s="288">
        <f>IF(output!AH14&lt;0,"",output!AH14)</f>
        <v>3.2896609476131813E-3</v>
      </c>
      <c r="AY23" s="291">
        <f>output!AL14</f>
        <v>1.8195067407854745E-2</v>
      </c>
      <c r="AZ23" s="87"/>
      <c r="BA23" s="296">
        <f>IF(output!AH13&lt;0,"",output!AH13)</f>
        <v>2.9906008614665277E-4</v>
      </c>
      <c r="BB23" s="291">
        <f>output!AL13</f>
        <v>1.6540970370777037E-3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3">
      <c r="A24" s="29"/>
      <c r="B24" s="121" t="s">
        <v>717</v>
      </c>
      <c r="C24" s="318">
        <f>C23*FRACw.sdR</f>
        <v>596122.21356009075</v>
      </c>
      <c r="D24" s="122">
        <f>C24/$C$51</f>
        <v>5.0991530243063826E-2</v>
      </c>
      <c r="E24" s="318">
        <f>E23*FRACw.sdC</f>
        <v>3487.2802502473701</v>
      </c>
      <c r="F24" s="122">
        <f>E24/$E$51</f>
        <v>1.8092839201397657E-3</v>
      </c>
      <c r="G24" s="318"/>
      <c r="H24" s="122"/>
      <c r="I24" s="318"/>
      <c r="J24" s="122"/>
      <c r="K24" s="318"/>
      <c r="L24" s="123"/>
      <c r="M24" s="320">
        <f>M25/Kp.sd1R</f>
        <v>1.4962771618572883E-4</v>
      </c>
      <c r="N24" s="320">
        <f>N25/Kp.sd1C</f>
        <v>5.739517325264568E-8</v>
      </c>
      <c r="O24" s="320"/>
      <c r="P24" s="320"/>
      <c r="Q24" s="320"/>
      <c r="R24" s="120" t="s">
        <v>1489</v>
      </c>
      <c r="S24" s="325">
        <f>S23*FRACw.sdR</f>
        <v>6.2184572315572229E-8</v>
      </c>
      <c r="T24" s="325">
        <f>T23*FRACw.sdC</f>
        <v>2.3853162987956875E-11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4.8249047485324314E-6</v>
      </c>
      <c r="AE24" s="325">
        <f>(k.w1C.w0C+k.w1C.w1R+k.w1C.w2C)*M.w1C*Molweight</f>
        <v>8.7765936624355125E-4</v>
      </c>
      <c r="AF24" s="330"/>
      <c r="AG24" s="326">
        <f>KDEG.w1C*M.w1C*Molweight</f>
        <v>1.0478194752477398E-3</v>
      </c>
      <c r="AH24" s="325">
        <f>k.aC.w1C*M.aC*Molweight</f>
        <v>7.9463746432193859E-4</v>
      </c>
      <c r="AI24" s="325">
        <f>k.w1C.aC*M.w1C*Molweight</f>
        <v>7.6141254641539196E-7</v>
      </c>
      <c r="AJ24" s="518"/>
      <c r="AK24" s="518"/>
      <c r="AL24" s="325">
        <f>SUM(AL28:AL30)*AREAFRAC.w1C/(AREAFRAC.w1C+AREAFRAC.w0C)</f>
        <v>1.1814411419965687E-3</v>
      </c>
      <c r="AM24" s="325">
        <f>k.w1C.sd1C*M.w1C*Molweight</f>
        <v>3.1959605222085693E-4</v>
      </c>
      <c r="AN24" s="326">
        <f>k.sd1C.w1C*M.sd1C*Molweight</f>
        <v>2.6493279519152363E-4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5.2458322018045365E-5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3">
      <c r="A25" s="29"/>
      <c r="B25" s="121" t="s">
        <v>718</v>
      </c>
      <c r="C25" s="318">
        <f>C23*FRACs.sdR</f>
        <v>149030.55339002266</v>
      </c>
      <c r="D25" s="122">
        <f>C25/$C$51</f>
        <v>1.2747882560765955E-2</v>
      </c>
      <c r="E25" s="318">
        <f>E23*FRACs.sdC</f>
        <v>871.82006256184229</v>
      </c>
      <c r="F25" s="122">
        <f>E25/$E$51</f>
        <v>4.5232098003494131E-4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7.663780456054506E-3</v>
      </c>
      <c r="N25" s="320">
        <f>C.sd1C*FRACs.sdC/(FRACw.sdC/(Kp.sd1C*RHOsolid/1000)+FRACs.sdC)*(Molweight*1000)/(FRACs.sdC*RHOsolid)</f>
        <v>2.9397227883869925E-6</v>
      </c>
      <c r="O25" s="320"/>
      <c r="P25" s="320"/>
      <c r="Q25" s="320"/>
      <c r="R25" s="120" t="s">
        <v>1494</v>
      </c>
      <c r="S25" s="325">
        <f>S23*(1-FRACw.sdR)</f>
        <v>1.5546143078893054E-8</v>
      </c>
      <c r="T25" s="325">
        <f>T23*(1-FRACw.sdC)</f>
        <v>5.963290746989217E-12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0.14320042289406754</v>
      </c>
      <c r="AE25" s="325">
        <f>(k.w2C.w2M+k.w2C.w2R)*M.w2C*Molweight</f>
        <v>4.6524308736446182E-2</v>
      </c>
      <c r="AF25" s="330"/>
      <c r="AG25" s="326">
        <f>KDEG.w2C*M.w2C*Molweight</f>
        <v>0.12738632287262983</v>
      </c>
      <c r="AH25" s="325">
        <f>k.aC.w2C*M.aC*Molweight</f>
        <v>3.0782351731448894E-2</v>
      </c>
      <c r="AI25" s="325">
        <f>k.w2C.aC*M.w2C*Molweight</f>
        <v>1.3475511141299272E-6</v>
      </c>
      <c r="AJ25" s="325"/>
      <c r="AK25" s="325"/>
      <c r="AL25" s="325"/>
      <c r="AM25" s="325">
        <f>k.w2C.sd2C*M.w2C*Molweight</f>
        <v>3.6309471059398719E-4</v>
      </c>
      <c r="AN25" s="326">
        <f>k.sd2C.w2C*M.sd2C*Molweight</f>
        <v>2.9229924526773666E-4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0.15002873489153612</v>
      </c>
      <c r="AT25" s="75"/>
      <c r="AU25" s="75"/>
      <c r="AV25" s="87"/>
      <c r="AW25" s="75"/>
      <c r="AX25" s="289">
        <f>output!AD14</f>
        <v>5.2458322018045365E-5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3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1.2529049896398999E-5</v>
      </c>
      <c r="AG26" s="326">
        <f>KDEG.sd1C*M.sd1C*Molweight</f>
        <v>4.2134207132934326E-5</v>
      </c>
      <c r="AH26" s="325"/>
      <c r="AI26" s="325"/>
      <c r="AJ26" s="325"/>
      <c r="AK26" s="325"/>
      <c r="AL26" s="325"/>
      <c r="AM26" s="325">
        <f>k.w1C.sd1C*M.w1C*Molweight</f>
        <v>3.1959605222085693E-4</v>
      </c>
      <c r="AN26" s="326">
        <f>k.sd1C.w1C*M.sd1C*Molweight</f>
        <v>2.6493279519152363E-4</v>
      </c>
      <c r="AO26" s="329">
        <f>SUM(AC26,AD26,AM26)-SUM(AE26,AF26,AG26,AN26)</f>
        <v>0</v>
      </c>
      <c r="AP26" s="29"/>
      <c r="AQ26" s="438"/>
      <c r="AR26" s="2"/>
      <c r="AS26" s="313">
        <f>output!AE15</f>
        <v>0.14149589381794872</v>
      </c>
      <c r="AT26" s="75"/>
      <c r="AU26" s="285">
        <f>output!AD15</f>
        <v>0.15005309200589118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3">
      <c r="A27" s="29"/>
      <c r="B27" s="66" t="s">
        <v>1463</v>
      </c>
      <c r="C27" s="318">
        <f>M.w2R*Molweight</f>
        <v>103292.64806615309</v>
      </c>
      <c r="D27" s="122">
        <f>C27/$C$51</f>
        <v>8.8355207505121103E-3</v>
      </c>
      <c r="E27" s="318">
        <f>M.w2C*Molweight</f>
        <v>1467275.947641267</v>
      </c>
      <c r="F27" s="122">
        <f>E27/$E$51</f>
        <v>0.76125765294798686</v>
      </c>
      <c r="G27" s="318">
        <f>M.w2M*Molweight</f>
        <v>136258.58805389446</v>
      </c>
      <c r="H27" s="122">
        <f>G27/$G$51</f>
        <v>0.25859055580178109</v>
      </c>
      <c r="I27" s="318">
        <f>M.w2A*Molweight</f>
        <v>25758.913555090476</v>
      </c>
      <c r="J27" s="122">
        <f>I27/$I$51</f>
        <v>9.8691073864350387E-2</v>
      </c>
      <c r="K27" s="318">
        <f>M.w2T*Molweight</f>
        <v>279.11992639162708</v>
      </c>
      <c r="L27" s="123">
        <f>K27/$K$51</f>
        <v>9.4855381212005319E-2</v>
      </c>
      <c r="M27" s="320">
        <f>C.w2R*Molweight</f>
        <v>1.0329264806615297E-5</v>
      </c>
      <c r="N27" s="320">
        <f>C.w2C*Molweight</f>
        <v>1.9756449565780065E-9</v>
      </c>
      <c r="O27" s="320">
        <f>C.w2M*Molweight</f>
        <v>3.5131240250282246E-11</v>
      </c>
      <c r="P27" s="320">
        <f>C.w2A*Molweight</f>
        <v>1.0101534727486462E-11</v>
      </c>
      <c r="Q27" s="320">
        <f>C.w2T*Molweight</f>
        <v>3.1273941332395194E-14</v>
      </c>
      <c r="R27" s="120" t="s">
        <v>1489</v>
      </c>
      <c r="S27" s="325">
        <f>F.w2R</f>
        <v>5.3659920994881794E-9</v>
      </c>
      <c r="T27" s="325">
        <f>F.w2C</f>
        <v>1.0263358938771454E-12</v>
      </c>
      <c r="U27" s="325">
        <f>F.w2M</f>
        <v>1.8250471951063094E-14</v>
      </c>
      <c r="V27" s="325">
        <f>F.w2A</f>
        <v>1.5338690211807692E-16</v>
      </c>
      <c r="W27" s="326">
        <f>F.w2T</f>
        <v>1.0252947038174952E-16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6.1178850214615153E-6</v>
      </c>
      <c r="AG27" s="326">
        <f>KDEG.sd2C*M.sd2C*Molweight</f>
        <v>6.4677580304789089E-5</v>
      </c>
      <c r="AH27" s="325"/>
      <c r="AI27" s="325"/>
      <c r="AJ27" s="325"/>
      <c r="AK27" s="325"/>
      <c r="AL27" s="325"/>
      <c r="AM27" s="325">
        <f>k.w2C.sd2C*M.w2C*Molweight</f>
        <v>3.6309471059398719E-4</v>
      </c>
      <c r="AN27" s="326">
        <f>k.sd2C.w2C*M.sd2C*Molweight</f>
        <v>2.9229924526773666E-4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1.9006573670356391E-3</v>
      </c>
      <c r="BB27" s="264">
        <f>IF(ISERROR(output!D15),0,output!D15)</f>
        <v>1.8718107879516918E-3</v>
      </c>
      <c r="BC27" s="86"/>
      <c r="BD27" s="295">
        <f>output!AG18</f>
        <v>2.0758990545115888E-2</v>
      </c>
      <c r="BE27" s="75"/>
      <c r="BF27" s="295">
        <f>output!AG19</f>
        <v>0.35105053906542322</v>
      </c>
      <c r="BG27" s="75"/>
      <c r="BH27" s="256">
        <f>output!AG20</f>
        <v>7.6879694505432462E-3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3">
      <c r="A28" s="29"/>
      <c r="B28" s="121" t="s">
        <v>715</v>
      </c>
      <c r="C28" s="318">
        <f>FRw.w2R*C27</f>
        <v>103214.08288141825</v>
      </c>
      <c r="D28" s="122">
        <f>C28/$C$51</f>
        <v>8.8288003852877821E-3</v>
      </c>
      <c r="E28" s="318">
        <f>FRw.w2C*E27</f>
        <v>1466159.9262395347</v>
      </c>
      <c r="F28" s="122">
        <f>E28/$E$51</f>
        <v>0.76067863450616735</v>
      </c>
      <c r="G28" s="318">
        <f>FRw.w2M*G27</f>
        <v>136154.94872096434</v>
      </c>
      <c r="H28" s="122">
        <f>G28/$G$51</f>
        <v>0.25839386983073076</v>
      </c>
      <c r="I28" s="318">
        <f>FRw.w2A*I27</f>
        <v>25739.321126782041</v>
      </c>
      <c r="J28" s="122">
        <f>I28/$I$51</f>
        <v>9.8616008672441788E-2</v>
      </c>
      <c r="K28" s="318">
        <f>FRw.w2T*K27</f>
        <v>278.90762562297903</v>
      </c>
      <c r="L28" s="123">
        <f>K28/$K$51</f>
        <v>9.4783233477509804E-2</v>
      </c>
      <c r="M28" s="320">
        <f>M27*FRw.w2R</f>
        <v>1.0321408288141812E-5</v>
      </c>
      <c r="N28" s="320">
        <f>N27*FRw.w2C</f>
        <v>1.9741422657874226E-9</v>
      </c>
      <c r="O28" s="320">
        <f>O27*FRw.w2M</f>
        <v>3.5104519158007994E-11</v>
      </c>
      <c r="P28" s="320">
        <f>P27*FRw.w2A</f>
        <v>1.0093851422267467E-11</v>
      </c>
      <c r="Q28" s="320">
        <f>Q27*FRw.w2T</f>
        <v>3.1250154131426231E-14</v>
      </c>
      <c r="R28" s="120" t="s">
        <v>1489</v>
      </c>
      <c r="S28" s="325">
        <f>S27*FRw.w2R</f>
        <v>5.3619106845135915E-9</v>
      </c>
      <c r="T28" s="325">
        <f>T27*FRw.w2C</f>
        <v>1.0255552548809333E-12</v>
      </c>
      <c r="U28" s="325">
        <f>U27*FRw.w2M</f>
        <v>1.8236590501345442E-14</v>
      </c>
      <c r="V28" s="325">
        <f>V27*FRw.w2A</f>
        <v>1.5327023485737223E-16</v>
      </c>
      <c r="W28" s="326">
        <f>W27*FRw.w2T</f>
        <v>1.0245148567584723E-16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3.5418894987062147E-6</v>
      </c>
      <c r="AG28" s="326">
        <f>KDEG.s1C*M.s1C*Molweight</f>
        <v>5.0137720222285503E-3</v>
      </c>
      <c r="AH28" s="325"/>
      <c r="AI28" s="325"/>
      <c r="AJ28" s="325">
        <f>k.aC.s1C*M.aC*Molweight</f>
        <v>5.5506434419694897E-3</v>
      </c>
      <c r="AK28" s="325">
        <f>k.s1C.aC*M.s1C*Molweight</f>
        <v>4.8770386334064165E-6</v>
      </c>
      <c r="AL28" s="325">
        <f>(k.s1C.w1C+k.s1C.w0C)*M.s1C*Molweight</f>
        <v>5.2845249160882624E-4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3">
      <c r="A29" s="29"/>
      <c r="B29" s="121" t="s">
        <v>492</v>
      </c>
      <c r="C29" s="318">
        <f>(1-FRw.w2R)*C27</f>
        <v>78.56518473484283</v>
      </c>
      <c r="D29" s="122">
        <f>C29/$C$51</f>
        <v>6.7203652243279526E-6</v>
      </c>
      <c r="E29" s="318">
        <f>(1-FRw.w2C)*E27</f>
        <v>1116.0214017322844</v>
      </c>
      <c r="F29" s="122">
        <f>E29/$E$51</f>
        <v>5.790184418194758E-4</v>
      </c>
      <c r="G29" s="318">
        <f>(1-FRw.w2M)*G27</f>
        <v>103.63933293013268</v>
      </c>
      <c r="H29" s="122">
        <f>G29/$G$51</f>
        <v>1.9668597105034258E-4</v>
      </c>
      <c r="I29" s="318">
        <f>(1-FRw.w2A)*I27</f>
        <v>19.592428308435181</v>
      </c>
      <c r="J29" s="122">
        <f>I29/$I$51</f>
        <v>7.506519190859462E-5</v>
      </c>
      <c r="K29" s="318">
        <f>(1-FRw.w2T)*K27</f>
        <v>0.21230076864802189</v>
      </c>
      <c r="L29" s="123">
        <f>K29/$K$51</f>
        <v>7.2147734495511638E-5</v>
      </c>
      <c r="M29" s="320">
        <f>M28*Kp.susp2R</f>
        <v>1.0263114628010401E-3</v>
      </c>
      <c r="N29" s="320">
        <f>N28*Kp.susp2C</f>
        <v>1.9629926266025178E-7</v>
      </c>
      <c r="O29" s="320">
        <f>O28*Kp.susp2M</f>
        <v>3.4906254458875357E-9</v>
      </c>
      <c r="P29" s="320">
        <f>P28*Kp.susp2A</f>
        <v>1.0036842966851297E-9</v>
      </c>
      <c r="Q29" s="320">
        <f>Q28*Kp.susp2T</f>
        <v>3.1073658268348659E-12</v>
      </c>
      <c r="R29" s="120" t="s">
        <v>1494</v>
      </c>
      <c r="S29" s="325">
        <f>S27*(1-FRw.w2R)</f>
        <v>4.0814149745875201E-12</v>
      </c>
      <c r="T29" s="325">
        <f>T27*(1-FRw.w2C)</f>
        <v>7.8063899621216306E-16</v>
      </c>
      <c r="U29" s="325">
        <f>U27*(1-FRw.w2M)</f>
        <v>1.388144971765114E-17</v>
      </c>
      <c r="V29" s="325">
        <f>V27*(1-FRw.w2A)</f>
        <v>1.1666726070469282E-19</v>
      </c>
      <c r="W29" s="326">
        <f>W27*(1-FRw.w2T)</f>
        <v>7.7984705902290533E-20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3.7837342057106032E-6</v>
      </c>
      <c r="AG29" s="326">
        <f>KDEG.s2C*M.s2C*Molweight</f>
        <v>1.1761253223489221E-2</v>
      </c>
      <c r="AH29" s="325"/>
      <c r="AI29" s="325"/>
      <c r="AJ29" s="325">
        <f>k.aC.s2C*M.aC*Molweight</f>
        <v>1.2334763204376644E-2</v>
      </c>
      <c r="AK29" s="325">
        <f>k.s2C.aC*M.s2C*Molweight</f>
        <v>5.1926357537224772E-6</v>
      </c>
      <c r="AL29" s="325">
        <f>(k.s2C.w1C+k.s2C.w0C)*M.s2C*Molweight</f>
        <v>5.6453361092798744E-4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0.31709791983764585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3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1.3127253181598577E-6</v>
      </c>
      <c r="AG30" s="326">
        <f>KDEG.s3C*M.s3C*Molweight</f>
        <v>1.8568208340915906E-3</v>
      </c>
      <c r="AH30" s="325"/>
      <c r="AI30" s="325"/>
      <c r="AJ30" s="325">
        <f>k.aC.s3C*M.aC*Molweight</f>
        <v>2.055793867396107E-3</v>
      </c>
      <c r="AK30" s="325">
        <f>k.s3C.aC*M.s3C*Molweight</f>
        <v>1.8015283450951125E-6</v>
      </c>
      <c r="AL30" s="325">
        <f>(k.s3C.w1C+k.s3C.w0C)*M.s3C*Molweight</f>
        <v>1.9585877964126125E-4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0.17665906935437126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3">
      <c r="A31" s="29"/>
      <c r="B31" s="66" t="s">
        <v>810</v>
      </c>
      <c r="C31" s="318"/>
      <c r="D31" s="122"/>
      <c r="E31" s="318"/>
      <c r="F31" s="122"/>
      <c r="G31" s="318">
        <f>M.w3M*Molweight</f>
        <v>356789.40473345766</v>
      </c>
      <c r="H31" s="122">
        <f>G31/$G$51</f>
        <v>0.6771123331890011</v>
      </c>
      <c r="I31" s="318">
        <f>M.w3A*Molweight</f>
        <v>232499.28406421153</v>
      </c>
      <c r="J31" s="122">
        <f>I31/$I$51</f>
        <v>0.89078306691452724</v>
      </c>
      <c r="K31" s="318">
        <f>M.w3T*Molweight</f>
        <v>2364.4650896695171</v>
      </c>
      <c r="L31" s="123">
        <f>K31/$K$51</f>
        <v>0.80353359340026076</v>
      </c>
      <c r="M31" s="320"/>
      <c r="N31" s="320"/>
      <c r="O31" s="320">
        <f>C.w3M*Molweight</f>
        <v>3.0663398849371436E-12</v>
      </c>
      <c r="P31" s="320">
        <f>C.w3A*Molweight</f>
        <v>3.0392063276367523E-12</v>
      </c>
      <c r="Q31" s="320">
        <f>C.w3T*Molweight</f>
        <v>8.8308686822390934E-15</v>
      </c>
      <c r="R31" s="120" t="s">
        <v>1489</v>
      </c>
      <c r="S31" s="325"/>
      <c r="T31" s="325"/>
      <c r="U31" s="325">
        <f>F.w3M</f>
        <v>1.5929454714318482E-15</v>
      </c>
      <c r="V31" s="325">
        <f>F.w3A</f>
        <v>4.614887302474834E-17</v>
      </c>
      <c r="W31" s="326">
        <f>F.w3T</f>
        <v>2.8951396927475412E-17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325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0.17911622243487541</v>
      </c>
      <c r="AY31" s="75"/>
      <c r="AZ31" s="75"/>
      <c r="BA31" s="87"/>
      <c r="BB31" s="2"/>
      <c r="BC31" s="86"/>
      <c r="BD31" s="277">
        <f>IF(ISERROR(output!D39),0,output!D39)</f>
        <v>4.0862429807804794E-2</v>
      </c>
      <c r="BE31" s="75"/>
      <c r="BF31" s="277">
        <f>IF(ISERROR(output!D43),0,output!D43)</f>
        <v>0.69101520039604658</v>
      </c>
      <c r="BG31" s="75"/>
      <c r="BH31" s="273">
        <f>IF(ISERROR(output!D47),0,output!D47)</f>
        <v>1.5133159358333204E-2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3">
      <c r="A32" s="29"/>
      <c r="B32" s="121" t="s">
        <v>715</v>
      </c>
      <c r="C32" s="318"/>
      <c r="D32" s="122"/>
      <c r="E32" s="318"/>
      <c r="F32" s="122"/>
      <c r="G32" s="318">
        <f>FRw.w3M*G31</f>
        <v>356518.02796057868</v>
      </c>
      <c r="H32" s="122">
        <f>G32/$G$51</f>
        <v>0.67659731632633768</v>
      </c>
      <c r="I32" s="318">
        <f>FRw.w3A*I31</f>
        <v>232322.44331566643</v>
      </c>
      <c r="J32" s="122">
        <f>I32/$I$51</f>
        <v>0.89010553044391616</v>
      </c>
      <c r="K32" s="318">
        <f>FRw.w3T*K31</f>
        <v>2362.666659287037</v>
      </c>
      <c r="L32" s="123">
        <f>K32/$K$51</f>
        <v>0.80292241955209187</v>
      </c>
      <c r="M32" s="320"/>
      <c r="N32" s="320"/>
      <c r="O32" s="320">
        <f>O31*FRw.w3M</f>
        <v>3.0640076031723695E-12</v>
      </c>
      <c r="P32" s="320">
        <f>P31*FRw.w3A</f>
        <v>3.0368946838649212E-12</v>
      </c>
      <c r="Q32" s="320">
        <f>Q31*FRw.w3T</f>
        <v>8.8241518554137718E-15</v>
      </c>
      <c r="R32" s="120" t="s">
        <v>1489</v>
      </c>
      <c r="S32" s="325"/>
      <c r="T32" s="325"/>
      <c r="U32" s="325">
        <f>U31*FRw.w3M</f>
        <v>1.5917338648211298E-15</v>
      </c>
      <c r="V32" s="325">
        <f>V31*FRw.w3A</f>
        <v>4.611377183601541E-17</v>
      </c>
      <c r="W32" s="326">
        <f>W31*FRw.w3T</f>
        <v>2.8929376271692804E-17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8.6626593492403411E-3</v>
      </c>
      <c r="AE32" s="325">
        <f>(k.aM.aA+k.aM.aC+k.aM.aT)*M.aM*Molweight</f>
        <v>5.4883183372610991E-4</v>
      </c>
      <c r="AF32" s="325">
        <f>kesc.aM*M.aM*Molweight</f>
        <v>1.7263983152374806E-7</v>
      </c>
      <c r="AG32" s="326">
        <f>KDEG.aM*M.aM*Molweight</f>
        <v>4.2629624554417272E-3</v>
      </c>
      <c r="AH32" s="325">
        <f>AH33</f>
        <v>2.2503214896821121E-3</v>
      </c>
      <c r="AI32" s="325">
        <f>AI33</f>
        <v>2.5028068160862162E-7</v>
      </c>
      <c r="AJ32" s="325">
        <f>AJ36</f>
        <v>1.6020288239880979E-3</v>
      </c>
      <c r="AK32" s="325">
        <f>AK36</f>
        <v>1.4076127476219808E-6</v>
      </c>
      <c r="AL32" s="325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4.5272355492117569E-2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3">
      <c r="A33" s="29"/>
      <c r="B33" s="121" t="s">
        <v>492</v>
      </c>
      <c r="C33" s="318"/>
      <c r="D33" s="122"/>
      <c r="E33" s="318"/>
      <c r="F33" s="122"/>
      <c r="G33" s="318">
        <f>(1-FRw.w3M)*G31</f>
        <v>271.37677287899805</v>
      </c>
      <c r="H33" s="122">
        <f>G33/$G$51</f>
        <v>5.150168626634914E-4</v>
      </c>
      <c r="I33" s="318">
        <f>(1-FRw.w3A)*I31</f>
        <v>176.8407485450941</v>
      </c>
      <c r="J33" s="122">
        <f>I33/$I$51</f>
        <v>6.7753647061104066E-4</v>
      </c>
      <c r="K33" s="318">
        <f>(1-FRw.w3T)*K31</f>
        <v>1.7984303824798895</v>
      </c>
      <c r="L33" s="123">
        <f>K33/$K$51</f>
        <v>6.1117384816887E-4</v>
      </c>
      <c r="M33" s="320"/>
      <c r="N33" s="320"/>
      <c r="O33" s="320">
        <f>O32*Kp.susp3M</f>
        <v>3.0467025791995655E-10</v>
      </c>
      <c r="P33" s="320">
        <f>P32*Kp.susp3A</f>
        <v>3.0197427893158507E-10</v>
      </c>
      <c r="Q33" s="320">
        <f>Q32*Kp.susp3T</f>
        <v>8.7743144596972943E-13</v>
      </c>
      <c r="R33" s="120" t="s">
        <v>1494</v>
      </c>
      <c r="S33" s="325"/>
      <c r="T33" s="325"/>
      <c r="U33" s="325">
        <f>U31*(1-FRw.w3M)</f>
        <v>1.2116066107185375E-18</v>
      </c>
      <c r="V33" s="325">
        <f>V31*(1-FRw.w3A)</f>
        <v>3.5101188732930013E-20</v>
      </c>
      <c r="W33" s="326">
        <f>W31*(1-FRw.w3T)</f>
        <v>2.2020655782608384E-20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4.9467325210716333E-2</v>
      </c>
      <c r="AE33" s="325">
        <f>(k.w2M.w2C+k.w2M.w2A+k.w2M.w2T+k.w2M.w3M)*M.w2M*Molweight</f>
        <v>4.0040187082496646E-2</v>
      </c>
      <c r="AF33" s="330"/>
      <c r="AG33" s="326">
        <f>KDEG.w2M*M.w2M*Molweight</f>
        <v>1.1829731496590834E-2</v>
      </c>
      <c r="AH33" s="325">
        <f>k.aM.w2M*M.aM*Molweight</f>
        <v>2.2503214896821121E-3</v>
      </c>
      <c r="AI33" s="325">
        <f>k.w2M.aM*M.w2M*Molweight</f>
        <v>2.5028068160862162E-7</v>
      </c>
      <c r="AJ33" s="325"/>
      <c r="AK33" s="325"/>
      <c r="AL33" s="325">
        <f>AL36</f>
        <v>1.5252215937064002E-4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8.9676864383119465E-3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3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3.4399512284224554E-2</v>
      </c>
      <c r="AE34" s="325">
        <f>(k.w3M.w2M+k.w3M.w3A+k.w3M.w3T)*M.w3M*Molweight</f>
        <v>3.422633480165891E-3</v>
      </c>
      <c r="AF34" s="330"/>
      <c r="AG34" s="326">
        <f>KDEG.w3M*M.w3M*Molweight</f>
        <v>3.0975829994332935E-2</v>
      </c>
      <c r="AH34" s="325"/>
      <c r="AI34" s="325"/>
      <c r="AJ34" s="325"/>
      <c r="AK34" s="325"/>
      <c r="AL34" s="325"/>
      <c r="AM34" s="325">
        <f>k.w3M.sdM*M.w3M*Molweight</f>
        <v>5.886115962620048E-6</v>
      </c>
      <c r="AN34" s="326">
        <f>k.sdM.w3M*M.sdM*Molweight</f>
        <v>4.8373062368857589E-6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5.4632347394921676E-2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3">
      <c r="A35" s="29"/>
      <c r="B35" s="66" t="s">
        <v>449</v>
      </c>
      <c r="C35" s="318">
        <f>M.sd2R*Molweight</f>
        <v>9421.1389641566402</v>
      </c>
      <c r="D35" s="122">
        <f>C35/$C$51</f>
        <v>8.0587215421133588E-4</v>
      </c>
      <c r="E35" s="318">
        <f>M.sd2C*Molweight</f>
        <v>6691.381652177166</v>
      </c>
      <c r="F35" s="122">
        <f>E35/$E$51</f>
        <v>3.471647919877854E-3</v>
      </c>
      <c r="G35" s="318">
        <f>M.sdM*Molweight</f>
        <v>108.47375961613677</v>
      </c>
      <c r="H35" s="122">
        <f>G35/$G$51</f>
        <v>2.0586071079755245E-4</v>
      </c>
      <c r="I35" s="318">
        <f>M.sdA*Molweight</f>
        <v>82.132194686534405</v>
      </c>
      <c r="J35" s="122">
        <f>I35/$I$51</f>
        <v>3.1467610134698875E-4</v>
      </c>
      <c r="K35" s="318">
        <f>M.sdT*Molweight</f>
        <v>0.57031030096053015</v>
      </c>
      <c r="L35" s="123">
        <f>K35/$K$51</f>
        <v>1.9381275176621484E-4</v>
      </c>
      <c r="M35" s="320">
        <f>C.sd2R*(Molweight*1000)/(FRACw.sdR*1000+FRACs.sdR*RHOsolid)</f>
        <v>2.4156766574760596E-4</v>
      </c>
      <c r="N35" s="320">
        <f>C.sd2C*(Molweight*1000)/(FRACw.sdC*1000+FRACs.sdC*RHOsolid)</f>
        <v>4.620386343478454E-8</v>
      </c>
      <c r="O35" s="320">
        <f>C.sdM*(Molweight*1000)/(FRACw.sdM*1000+FRACs.sdM*RHOsolid)</f>
        <v>7.1711644755070493E-11</v>
      </c>
      <c r="P35" s="320">
        <f>C.sdA*(Molweight*1000)/(FRACw.sdA*1000+FRACs.sdA*RHOsolid)</f>
        <v>8.2586419996515241E-11</v>
      </c>
      <c r="Q35" s="320">
        <f>C.sdT*(Molweight*1000)/(FRACw.sdT*1000+FRACs.sdT*RHOsolid)</f>
        <v>1.6384695854644262E-13</v>
      </c>
      <c r="R35" s="120" t="s">
        <v>1495</v>
      </c>
      <c r="S35" s="325">
        <f>F.sd2R</f>
        <v>6.2193838770488342E-9</v>
      </c>
      <c r="T35" s="325">
        <f>F.sd2C</f>
        <v>1.1895613695414988E-12</v>
      </c>
      <c r="U35" s="325">
        <f>F.sdM</f>
        <v>1.8462828864370036E-15</v>
      </c>
      <c r="V35" s="325">
        <f>F.sdA</f>
        <v>6.2149479918756427E-17</v>
      </c>
      <c r="W35" s="326">
        <f>F.sdT</f>
        <v>2.6621493980404051E-17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3.2367857355835393E-10</v>
      </c>
      <c r="AG35" s="326">
        <f>KDEG.sdM*M.sdM*Molweight</f>
        <v>1.0484860471607303E-6</v>
      </c>
      <c r="AH35" s="325"/>
      <c r="AI35" s="325"/>
      <c r="AJ35" s="325"/>
      <c r="AK35" s="325"/>
      <c r="AL35" s="325"/>
      <c r="AM35" s="325">
        <f>k.w3M.sdM*M.w3M*Molweight</f>
        <v>5.886115962620048E-6</v>
      </c>
      <c r="AN35" s="326">
        <f>k.sdM.w3M*M.sdM*Molweight</f>
        <v>4.8373062368857589E-6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7.2025002352198381E-3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0.31709791983764585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3">
      <c r="A36" s="29"/>
      <c r="B36" s="121" t="s">
        <v>717</v>
      </c>
      <c r="C36" s="318">
        <f>C35*FRACw.sdR</f>
        <v>7536.9111713253124</v>
      </c>
      <c r="D36" s="122">
        <f>C36/$C$51</f>
        <v>6.446977233690687E-4</v>
      </c>
      <c r="E36" s="318">
        <f>E35*FRACw.sdC</f>
        <v>5353.105321741733</v>
      </c>
      <c r="F36" s="122">
        <f>E36/$E$51</f>
        <v>2.7773183359022834E-3</v>
      </c>
      <c r="G36" s="318">
        <f>G35*FRACw.sdM</f>
        <v>86.779007692909431</v>
      </c>
      <c r="H36" s="122">
        <f>G36/$G$51</f>
        <v>1.6468856863804197E-4</v>
      </c>
      <c r="I36" s="318">
        <f>I35*FRACw.sdA</f>
        <v>65.705755749227521</v>
      </c>
      <c r="J36" s="122">
        <f>I36/$I$51</f>
        <v>2.5174088107759101E-4</v>
      </c>
      <c r="K36" s="318">
        <f>K35*FRACw.sdT</f>
        <v>0.45624824076842413</v>
      </c>
      <c r="L36" s="123">
        <f>K36/$K$51</f>
        <v>1.5505020141297186E-4</v>
      </c>
      <c r="M36" s="320">
        <f>M37/Kp.sd2R</f>
        <v>1.197200104080635E-5</v>
      </c>
      <c r="N36" s="320">
        <f>N37/Kp.sd2C</f>
        <v>2.2898457846939602E-9</v>
      </c>
      <c r="O36" s="320">
        <f>O37/Kp.sdM</f>
        <v>3.5540016623857608E-12</v>
      </c>
      <c r="P36" s="320">
        <f>P37/Kp.sdA</f>
        <v>4.0929513604183582E-12</v>
      </c>
      <c r="Q36" s="320">
        <f>Q37/Kp.sdT</f>
        <v>8.1201925438997065E-15</v>
      </c>
      <c r="R36" s="120" t="s">
        <v>1489</v>
      </c>
      <c r="S36" s="325">
        <f>S35*FRACw.sdR</f>
        <v>4.9755071016390677E-9</v>
      </c>
      <c r="T36" s="325">
        <f>T35*FRACw.sdC</f>
        <v>9.5164909563319902E-13</v>
      </c>
      <c r="U36" s="325">
        <f>U35*FRACw.sdM</f>
        <v>1.477026309149603E-15</v>
      </c>
      <c r="V36" s="325">
        <f>V35*FRACw.sdA</f>
        <v>4.9719583935005143E-17</v>
      </c>
      <c r="W36" s="326">
        <f>W35*FRACw.sdT</f>
        <v>2.1297195184323241E-17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1.0222614959203323E-6</v>
      </c>
      <c r="AG36" s="326">
        <f>KDEG.sM*M.sM*Molweight</f>
        <v>1.4470767903739157E-3</v>
      </c>
      <c r="AH36" s="325"/>
      <c r="AI36" s="325"/>
      <c r="AJ36" s="325">
        <f>k.aM.sM*M.aM*Molweight</f>
        <v>1.6020288239880979E-3</v>
      </c>
      <c r="AK36" s="325">
        <f>k.sM.aM*M.sM*Molweight</f>
        <v>1.4076127476219808E-6</v>
      </c>
      <c r="AL36" s="325">
        <f>k.sM.w2M*M.sM*Molweight</f>
        <v>1.5252215937064002E-4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3">
      <c r="A37" s="29"/>
      <c r="B37" s="121" t="s">
        <v>718</v>
      </c>
      <c r="C37" s="318">
        <f>C35*FRACs.sdR</f>
        <v>1884.2277928313276</v>
      </c>
      <c r="D37" s="122">
        <f>C37/$C$51</f>
        <v>1.6117443084226715E-4</v>
      </c>
      <c r="E37" s="318">
        <f>E35*FRACs.sdC</f>
        <v>1338.2763304354328</v>
      </c>
      <c r="F37" s="122">
        <f>E37/$E$51</f>
        <v>6.9432958397557063E-4</v>
      </c>
      <c r="G37" s="318">
        <f>G35*FRACs.sdM</f>
        <v>21.694751923227351</v>
      </c>
      <c r="H37" s="122">
        <f>G37/$G$51</f>
        <v>4.117214215951048E-5</v>
      </c>
      <c r="I37" s="318">
        <f>I35*FRACs.sdA</f>
        <v>16.426438937306877</v>
      </c>
      <c r="J37" s="122">
        <f>I37/$I$51</f>
        <v>6.2935220269397739E-5</v>
      </c>
      <c r="K37" s="318">
        <f>K35*FRACs.sdT</f>
        <v>0.114062060192106</v>
      </c>
      <c r="L37" s="123">
        <f>K37/$K$51</f>
        <v>3.8762550353242958E-5</v>
      </c>
      <c r="M37" s="320">
        <f>C.sd2R*FRACs.sdR/(FRACw.sdR/(Kp.sd2R*RHOsolid/1000)+FRACs.sdR)*(Molweight*1000)/(FRACs.sdR*RHOsolid)</f>
        <v>6.0892072927848536E-4</v>
      </c>
      <c r="N37" s="320">
        <f>C.sd2C*FRACs.sdC/(FRACw.sdC/(Kp.sd2C*RHOsolid/1000)+FRACs.sdC)*(Molweight*1000)/(FRACs.sdC*RHOsolid)</f>
        <v>1.1646629167492949E-7</v>
      </c>
      <c r="O37" s="320">
        <f>C.sdM*FRACs.sdM/(FRACw.sdM/(Kp.sdM*RHOsolid/1000)+FRACs.sdM)*(Molweight*1000)/(FRACs.sdM*RHOsolid)</f>
        <v>1.8076387370336611E-10</v>
      </c>
      <c r="P37" s="320">
        <f>C.sdA*FRACs.sdA/(FRACw.sdA/(Kp.sdA*RHOsolid/1000)+FRACs.sdA)*(Molweight*1000)/(FRACs.sdA*RHOsolid)</f>
        <v>2.0817596981427031E-10</v>
      </c>
      <c r="Q37" s="320">
        <f>C.sdT*FRACs.sdT/(FRACw.sdT/(Kp.sdT*RHOsolid/1000)+FRACs.sdT)*(Molweight*1000)/(FRACs.sdT*RHOsolid)</f>
        <v>4.1300978415051139E-13</v>
      </c>
      <c r="R37" s="120" t="s">
        <v>1494</v>
      </c>
      <c r="S37" s="325">
        <f>S35*(1-FRACw.sdR)</f>
        <v>1.2438767754097665E-9</v>
      </c>
      <c r="T37" s="325">
        <f>T35*(1-FRACw.sdC)</f>
        <v>2.379122739082997E-13</v>
      </c>
      <c r="U37" s="325">
        <f>U35*(1-FRACw.sdM)</f>
        <v>3.6925657728740064E-16</v>
      </c>
      <c r="V37" s="325">
        <f>V35*(1-FRACw.sdA)</f>
        <v>1.2429895983751283E-17</v>
      </c>
      <c r="W37" s="326">
        <f>W35*(1-FRACw.sdT)</f>
        <v>5.3242987960808087E-18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8.8355207505121103E-3</v>
      </c>
      <c r="AW37" s="75"/>
      <c r="AX37" s="75"/>
      <c r="AY37" s="300">
        <f>IF(ISERROR(output!D23),0,output!D23)</f>
        <v>6.373941280382979E-2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3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1.7876501000885315E-4</v>
      </c>
      <c r="AE38" s="325">
        <f>k.aA.aM*M.aA*Molweight</f>
        <v>7.4175757134905077E-6</v>
      </c>
      <c r="AF38" s="325">
        <f>kesc.aA*M.aA*Molweight</f>
        <v>3.9247229608582045E-9</v>
      </c>
      <c r="AG38" s="326">
        <f>KDEG.aA*M.aA*Molweight</f>
        <v>8.0074357254092431E-5</v>
      </c>
      <c r="AH38" s="325">
        <f>AH39</f>
        <v>6.1753436153166212E-5</v>
      </c>
      <c r="AI38" s="325">
        <f>AI39</f>
        <v>1.4987077204747608E-9</v>
      </c>
      <c r="AJ38" s="325">
        <f>AJ42</f>
        <v>2.9520770074605478E-5</v>
      </c>
      <c r="AK38" s="325">
        <f>AK42</f>
        <v>3.5552017418655464E-9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3">
      <c r="A39" s="29"/>
      <c r="B39" s="66" t="s">
        <v>450</v>
      </c>
      <c r="C39" s="318">
        <f>M.s1R*Molweight</f>
        <v>477706.82684671704</v>
      </c>
      <c r="D39" s="122">
        <f>C39/$C$51</f>
        <v>4.0862429807804794E-2</v>
      </c>
      <c r="E39" s="318">
        <f>M.s1C*Molweight</f>
        <v>115377.14794302285</v>
      </c>
      <c r="F39" s="122">
        <f>E39/$E$51</f>
        <v>5.9860407981288687E-2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9.1066685395733006E-5</v>
      </c>
      <c r="N39" s="320">
        <f>C.s1C*(Molweight*1000)/(FRACw.s1C*1000+(1-FRACa.s1C-FRACw.s1C)*RHOsolid)</f>
        <v>1.4422138445129394E-6</v>
      </c>
      <c r="O39" s="320"/>
      <c r="P39" s="320"/>
      <c r="Q39" s="320"/>
      <c r="R39" s="120" t="s">
        <v>1495</v>
      </c>
      <c r="S39" s="325">
        <f>F.s1R</f>
        <v>2.5981016693921072E-9</v>
      </c>
      <c r="T39" s="325">
        <f>F.s1C</f>
        <v>4.1145872178905999E-11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7.3564542205838352E-3</v>
      </c>
      <c r="AE39" s="325">
        <f>(k.w2A.w2M+k.w2A.w3A)*M.w2A*Molweight</f>
        <v>6.9358770010191128E-3</v>
      </c>
      <c r="AF39" s="330"/>
      <c r="AG39" s="326">
        <f>KDEG.w2A*M.w2A*Molweight</f>
        <v>4.8671256060725537E-4</v>
      </c>
      <c r="AH39" s="325">
        <f>k.aA.w2A*M.aA*Molweight</f>
        <v>6.1753436153166212E-5</v>
      </c>
      <c r="AI39" s="325">
        <f>k.w2A.aA*M.w2A*Molweight</f>
        <v>1.4987077204747608E-9</v>
      </c>
      <c r="AJ39" s="325"/>
      <c r="AK39" s="325"/>
      <c r="AL39" s="325">
        <f>AL42</f>
        <v>4.3834035970855305E-6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3">
      <c r="A40" s="29"/>
      <c r="B40" s="121" t="s">
        <v>435</v>
      </c>
      <c r="C40" s="318">
        <f>C39*FRw.s1R</f>
        <v>3086.4448192637628</v>
      </c>
      <c r="D40" s="122">
        <f>C40/$C$51</f>
        <v>2.6401053469410975E-4</v>
      </c>
      <c r="E40" s="318">
        <f>E39*FRw.s1C</f>
        <v>745.44716658285461</v>
      </c>
      <c r="F40" s="122">
        <f>E40/$E$51</f>
        <v>3.8675571649753022E-4</v>
      </c>
      <c r="G40" s="318"/>
      <c r="H40" s="122"/>
      <c r="I40" s="318"/>
      <c r="J40" s="122"/>
      <c r="K40" s="318"/>
      <c r="L40" s="123"/>
      <c r="M40" s="320">
        <f>M41/Kp.s1R</f>
        <v>5.0012149925118347E-6</v>
      </c>
      <c r="N40" s="320">
        <f>N41/Kp.s1C</f>
        <v>7.9203733728121456E-8</v>
      </c>
      <c r="O40" s="320"/>
      <c r="P40" s="320"/>
      <c r="Q40" s="320"/>
      <c r="R40" s="120" t="s">
        <v>1489</v>
      </c>
      <c r="S40" s="325">
        <f>S39*FRACw.s1R</f>
        <v>5.1962033387842142E-10</v>
      </c>
      <c r="T40" s="325">
        <f>T39*FRACw.s1C</f>
        <v>8.2291744357812002E-12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6.9358770010191128E-3</v>
      </c>
      <c r="AE40" s="325">
        <f>(k.w3A.w2A+k.w3A.w3M)*M.w3A*Molweight</f>
        <v>2.5426491321870102E-3</v>
      </c>
      <c r="AF40" s="330"/>
      <c r="AG40" s="326">
        <f>KDEG.w3A*M.w3A*Molweight</f>
        <v>4.3930549184161257E-3</v>
      </c>
      <c r="AH40" s="325"/>
      <c r="AI40" s="325"/>
      <c r="AJ40" s="325"/>
      <c r="AK40" s="325"/>
      <c r="AL40" s="325"/>
      <c r="AM40" s="325">
        <f>k.w3A.sdA*M.w3A*Molweight</f>
        <v>3.8356457032418055E-6</v>
      </c>
      <c r="AN40" s="326">
        <f>k.sdA.w3A*M.sdA*Molweight</f>
        <v>3.6626952872668946E-6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4.0024675580422123E-4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3">
      <c r="A41" s="29"/>
      <c r="B41" s="121" t="s">
        <v>718</v>
      </c>
      <c r="C41" s="318">
        <f>C39*FRs.s1R</f>
        <v>474620.38187573286</v>
      </c>
      <c r="D41" s="122">
        <f>C41/$C$51</f>
        <v>4.0598419260132711E-2</v>
      </c>
      <c r="E41" s="318">
        <f>E39*FRs.s1C</f>
        <v>114631.70073979604</v>
      </c>
      <c r="F41" s="122">
        <f>E41/$E$51</f>
        <v>5.9473652245779406E-2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1.0254208141671652E-4</v>
      </c>
      <c r="N41" s="320">
        <f>C.s1C*FRs.s1C*(Molweight*1000)/(FRACs.s1C*RHOsolid)</f>
        <v>1.6239485254317926E-6</v>
      </c>
      <c r="O41" s="320"/>
      <c r="P41" s="320"/>
      <c r="Q41" s="320"/>
      <c r="R41" s="120" t="s">
        <v>1494</v>
      </c>
      <c r="S41" s="325">
        <f>S39*(1-FRACw.s1R)</f>
        <v>2.0784813355136857E-9</v>
      </c>
      <c r="T41" s="325">
        <f>T39*(1-FRACw.s1C)</f>
        <v>3.2916697743124801E-11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1.736263205786689E-10</v>
      </c>
      <c r="AG41" s="326">
        <f>KDEG.sdA*M.sdA*Molweight</f>
        <v>1.7277678965433209E-7</v>
      </c>
      <c r="AH41" s="325"/>
      <c r="AI41" s="325"/>
      <c r="AJ41" s="325"/>
      <c r="AK41" s="325"/>
      <c r="AL41" s="325"/>
      <c r="AM41" s="325">
        <f>k.w3A.sdA*M.w3A*Molweight</f>
        <v>3.8356457032418055E-6</v>
      </c>
      <c r="AN41" s="326">
        <f>k.sdA.w3A*M.sdA*Molweight</f>
        <v>3.6626952872668946E-6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3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2.9102719161432842E-8</v>
      </c>
      <c r="AG42" s="326">
        <f>KDEG.sA*M.sA*Molweight</f>
        <v>2.5104708556616651E-5</v>
      </c>
      <c r="AH42" s="325"/>
      <c r="AI42" s="325"/>
      <c r="AJ42" s="325">
        <f>k.aA.sA*M.aA*Molweight</f>
        <v>2.9520770074605478E-5</v>
      </c>
      <c r="AK42" s="325">
        <f>k.sA.aA*M.sA*Molweight</f>
        <v>3.5552017418655464E-9</v>
      </c>
      <c r="AL42" s="325">
        <f>k.sA.w2A*M.sA*Molweight</f>
        <v>4.3834035970855305E-6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5.112196409456307E-4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3">
      <c r="A43" s="29"/>
      <c r="B43" s="66" t="s">
        <v>451</v>
      </c>
      <c r="C43" s="318">
        <f>M.s2R*Molweight</f>
        <v>8078390.8406003192</v>
      </c>
      <c r="D43" s="122">
        <f>C43/$C$51</f>
        <v>0.69101520039604658</v>
      </c>
      <c r="E43" s="318">
        <f>M.s2C*Molweight</f>
        <v>270650.48972025502</v>
      </c>
      <c r="F43" s="122">
        <f>E43/$E$51</f>
        <v>0.14041991004137813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1.7325088638483593E-4</v>
      </c>
      <c r="N43" s="320">
        <f>C.s2C*(Molweight*1000)/(FRACw.s2C*1000+(1-FRACa.s2C-FRACw.s2C)*RHOsolid)</f>
        <v>3.8060211795836723E-7</v>
      </c>
      <c r="O43" s="320"/>
      <c r="P43" s="320"/>
      <c r="Q43" s="320"/>
      <c r="R43" s="120" t="s">
        <v>1495</v>
      </c>
      <c r="S43" s="325">
        <f>F.s2R</f>
        <v>4.9465854238236509E-9</v>
      </c>
      <c r="T43" s="325">
        <f>F.s2C</f>
        <v>1.0866789361108019E-11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8.0587215421133588E-4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3">
      <c r="A44" s="29"/>
      <c r="B44" s="121" t="s">
        <v>435</v>
      </c>
      <c r="C44" s="318">
        <f>C43*FRw.s2R</f>
        <v>52234.250309306612</v>
      </c>
      <c r="D44" s="122">
        <f>C44/$C$51</f>
        <v>4.4680508355226488E-3</v>
      </c>
      <c r="E44" s="318">
        <f>E43*FRw.s2C</f>
        <v>1750.0051316325835</v>
      </c>
      <c r="F44" s="122">
        <f>E44/$E$51</f>
        <v>9.0794427680434035E-4</v>
      </c>
      <c r="G44" s="318"/>
      <c r="H44" s="122"/>
      <c r="I44" s="318"/>
      <c r="J44" s="122"/>
      <c r="K44" s="318"/>
      <c r="L44" s="123"/>
      <c r="M44" s="320">
        <f>M45/Kp.s2R</f>
        <v>9.5219280580177125E-6</v>
      </c>
      <c r="N44" s="320">
        <f>N45/Kp.s2C</f>
        <v>2.0918022767737746E-8</v>
      </c>
      <c r="O44" s="320"/>
      <c r="P44" s="320"/>
      <c r="Q44" s="320"/>
      <c r="R44" s="120" t="s">
        <v>1489</v>
      </c>
      <c r="S44" s="325">
        <f>S43*FRACw.s2R</f>
        <v>9.8931708476473018E-10</v>
      </c>
      <c r="T44" s="325">
        <f>T43*FRACw.s2C</f>
        <v>2.173357872221604E-12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3.0963007995089245E-4</v>
      </c>
      <c r="AE44" s="325">
        <f>k.aT.aM*M.aT*Molweight</f>
        <v>6.4807577189502651E-6</v>
      </c>
      <c r="AF44" s="325">
        <f>kesc.aT*M.aT*Molweight</f>
        <v>5.9392749567842858E-9</v>
      </c>
      <c r="AG44" s="326">
        <f>KDEG.aT*M.aT*Molweight</f>
        <v>1.6305315876464723E-4</v>
      </c>
      <c r="AH44" s="325">
        <f>AH45</f>
        <v>1.0748545101099272E-4</v>
      </c>
      <c r="AI44" s="325">
        <f>AI45</f>
        <v>3.0937293168778048E-9</v>
      </c>
      <c r="AJ44" s="325">
        <f>AJ48</f>
        <v>3.2679826768983092E-5</v>
      </c>
      <c r="AK44" s="325">
        <f>AK48</f>
        <v>7.1959858320632204E-8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9.1062878130491855E-5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3">
      <c r="A45" s="29"/>
      <c r="B45" s="121" t="s">
        <v>718</v>
      </c>
      <c r="C45" s="318">
        <f>C43*FRs.s2R</f>
        <v>8026156.5877319174</v>
      </c>
      <c r="D45" s="122">
        <f>C45/$C$51</f>
        <v>0.6865471493416222</v>
      </c>
      <c r="E45" s="318">
        <f>E43*FRs.s2C</f>
        <v>268900.48450288502</v>
      </c>
      <c r="F45" s="122">
        <f>E45/$E$51</f>
        <v>0.1395119657200912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1.9508141409954439E-4</v>
      </c>
      <c r="N45" s="320">
        <f>C.s2C*FRs.s2C*(Molweight*1000)/(FRACs.s2C*RHOsolid)</f>
        <v>4.2855999718047377E-7</v>
      </c>
      <c r="O45" s="320"/>
      <c r="P45" s="320"/>
      <c r="Q45" s="320"/>
      <c r="R45" s="120" t="s">
        <v>1494</v>
      </c>
      <c r="S45" s="325">
        <f>S43*(1-FRACw.s2R)</f>
        <v>3.9572683390589207E-9</v>
      </c>
      <c r="T45" s="325">
        <f>T43*(1-FRACw.s2C)</f>
        <v>8.6934314888864162E-12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1.7910384298334159E-5</v>
      </c>
      <c r="AE45" s="325">
        <f>(k.w2T.w2M+k.w2T.w3T)*M.w2T*Molweight</f>
        <v>6.8119540647114822E-5</v>
      </c>
      <c r="AF45" s="330"/>
      <c r="AG45" s="326">
        <f>KDEG.w2T*M.w2T*Molweight</f>
        <v>5.9667911832480449E-5</v>
      </c>
      <c r="AH45" s="325">
        <f>k.aT.w2T*M.aT*Molweight</f>
        <v>1.0748545101099272E-4</v>
      </c>
      <c r="AI45" s="325">
        <f>k.w2T.aT*M.w2T*Molweight</f>
        <v>3.0937293168778048E-9</v>
      </c>
      <c r="AJ45" s="325"/>
      <c r="AK45" s="325"/>
      <c r="AL45" s="325">
        <f>AL48</f>
        <v>2.3947108995853065E-6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3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5.2337943218782712E-4</v>
      </c>
      <c r="AE46" s="325">
        <f>(k.w3T.w2T+k.w3T.w3M)*M.w3T*Molweight</f>
        <v>1.7910384298334159E-5</v>
      </c>
      <c r="AF46" s="330"/>
      <c r="AG46" s="326">
        <f>KDEG.w3T*M.w3T*Molweight</f>
        <v>5.0545547329870202E-4</v>
      </c>
      <c r="AH46" s="325"/>
      <c r="AI46" s="325"/>
      <c r="AJ46" s="325"/>
      <c r="AK46" s="325"/>
      <c r="AL46" s="325"/>
      <c r="AM46" s="325">
        <f>k.w3T.sdT*M.w3T*Molweight</f>
        <v>3.9007648553237658E-8</v>
      </c>
      <c r="AN46" s="326">
        <f>k.sdT.w3T*M.sdT*Molweight</f>
        <v>2.5433057762309729E-8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3">
      <c r="A47" s="29"/>
      <c r="B47" s="66" t="s">
        <v>452</v>
      </c>
      <c r="C47" s="318">
        <f>M.s3R*Molweight</f>
        <v>176915.89979444304</v>
      </c>
      <c r="D47" s="122">
        <f>C47/$C$51</f>
        <v>1.5133159358333204E-2</v>
      </c>
      <c r="E47" s="318">
        <f>M.s3C*Molweight</f>
        <v>42729.244793912323</v>
      </c>
      <c r="F47" s="122">
        <f>E47/$E$51</f>
        <v>2.2168948285661134E-2</v>
      </c>
      <c r="G47" s="318">
        <f>M.sM*Molweight</f>
        <v>33300.196376634369</v>
      </c>
      <c r="H47" s="122">
        <f>G47/$G$51</f>
        <v>6.3196870100667532E-2</v>
      </c>
      <c r="I47" s="318">
        <f>M.sA*Molweight</f>
        <v>2654.4612575843853</v>
      </c>
      <c r="J47" s="122">
        <f>I47/$I$51</f>
        <v>1.017013514494854E-2</v>
      </c>
      <c r="K47" s="318">
        <f>M.sT*Molweight</f>
        <v>282.21557523327641</v>
      </c>
      <c r="L47" s="123">
        <f>K47/$K$51</f>
        <v>9.5907398367388028E-2</v>
      </c>
      <c r="M47" s="320">
        <f>C.s3R*(Molweight*1000)/(FRACw.s3R*1000+(1-FRACa.s3R-FRACw.s3R)*RHOsolid)</f>
        <v>9.1060223432359757E-5</v>
      </c>
      <c r="N47" s="320">
        <f>C.s3C*(Molweight*1000)/(FRACw.s3C*1000+(1-FRACa.s3C-FRACw.s3C)*RHOsolid)</f>
        <v>1.4421115070555133E-6</v>
      </c>
      <c r="O47" s="320">
        <f>C.sM*(Molweight*1000)/(FRACw.sM*1000+(1-FRACa.sM-FRACw.sM)*RHOsolid)</f>
        <v>1.0100839414733628E-8</v>
      </c>
      <c r="P47" s="320">
        <f>C.sA*(Molweight*1000)/(FRACw.sA*1000+(1-FRACa.sA-FRACw.sA)*RHOsolid)</f>
        <v>1.8369974100929999E-9</v>
      </c>
      <c r="Q47" s="320">
        <f>C.sT*(Molweight*1000)/(FRACw.sT*1000+(1-FRACa.sT-FRACw.sT)*RHOsolid)</f>
        <v>8.6802176157870447E-11</v>
      </c>
      <c r="R47" s="120" t="s">
        <v>1495</v>
      </c>
      <c r="S47" s="325">
        <f>F.s3R</f>
        <v>2.599912666074885E-9</v>
      </c>
      <c r="T47" s="325">
        <f>F.s3C</f>
        <v>4.1174552749379386E-11</v>
      </c>
      <c r="U47" s="325">
        <f>F.sM</f>
        <v>2.8817352505629527E-13</v>
      </c>
      <c r="V47" s="325">
        <f>F.sA</f>
        <v>1.5318824970604718E-15</v>
      </c>
      <c r="W47" s="326">
        <f>F.sT</f>
        <v>1.5628334722600255E-14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1.2056280673104451E-12</v>
      </c>
      <c r="AG47" s="326">
        <f>KDEG.sdT*M.sdT*Molweight</f>
        <v>1.3573385162860617E-8</v>
      </c>
      <c r="AH47" s="325"/>
      <c r="AI47" s="325"/>
      <c r="AJ47" s="325"/>
      <c r="AK47" s="325"/>
      <c r="AL47" s="325"/>
      <c r="AM47" s="325">
        <f>k.w3T.sdT*M.w3T*Molweight</f>
        <v>3.9007648553237658E-8</v>
      </c>
      <c r="AN47" s="326">
        <f>k.sdT.w3T*M.sdT*Molweight</f>
        <v>2.5433057762309729E-8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1.9910007010917696E-5</v>
      </c>
      <c r="AW47" s="75"/>
      <c r="AX47" s="290">
        <f>output!AF16</f>
        <v>2.1574916675842406E-3</v>
      </c>
      <c r="AY47" s="75"/>
      <c r="AZ47" s="75"/>
      <c r="BA47" s="75"/>
      <c r="BB47" s="75"/>
      <c r="BC47" s="2"/>
      <c r="BD47" s="295">
        <f>output!AF18</f>
        <v>1.4664817285171708E-5</v>
      </c>
      <c r="BE47" s="75"/>
      <c r="BF47" s="295">
        <f>output!AF20</f>
        <v>5.4351997552338083E-6</v>
      </c>
      <c r="BG47" s="75"/>
      <c r="BH47" s="299">
        <f>output!AF19</f>
        <v>1.1293710860184383E-4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3">
      <c r="A48" s="29"/>
      <c r="B48" s="121" t="s">
        <v>435</v>
      </c>
      <c r="C48" s="318">
        <f>C47*FRw.s3R</f>
        <v>1143.9245235716305</v>
      </c>
      <c r="D48" s="122">
        <f>C48/$C$51</f>
        <v>9.784983785645375E-5</v>
      </c>
      <c r="E48" s="318">
        <f>E47*FRw.s3C</f>
        <v>276.28399171721605</v>
      </c>
      <c r="F48" s="122">
        <f>E48/$E$51</f>
        <v>1.4334270484011962E-4</v>
      </c>
      <c r="G48" s="318">
        <f>G47*FRw.sM</f>
        <v>215.15124509641578</v>
      </c>
      <c r="H48" s="122">
        <f>G48/$G$51</f>
        <v>4.0831246562544448E-4</v>
      </c>
      <c r="I48" s="318">
        <f>I47*FRw.sA</f>
        <v>17.150368674878074</v>
      </c>
      <c r="J48" s="122">
        <f>I48/$I$51</f>
        <v>6.57088389257296E-5</v>
      </c>
      <c r="K48" s="318">
        <f>K47*FRw.sT</f>
        <v>1.8233836105104189</v>
      </c>
      <c r="L48" s="123">
        <f>K48/$K$51</f>
        <v>6.1965388751219141E-4</v>
      </c>
      <c r="M48" s="320">
        <f>M49/Kp.s3R</f>
        <v>5.0047010700075703E-6</v>
      </c>
      <c r="N48" s="320">
        <f>N49/Kp.s3C</f>
        <v>7.9258942383246512E-8</v>
      </c>
      <c r="O48" s="320">
        <f>O49/Kp.sM</f>
        <v>5.5471953655059971E-10</v>
      </c>
      <c r="P48" s="320">
        <f>P49/Kp.sA</f>
        <v>1.0088452161692983E-10</v>
      </c>
      <c r="Q48" s="320">
        <f>Q49/Kp.sT</f>
        <v>4.767015975190635E-12</v>
      </c>
      <c r="R48" s="120" t="s">
        <v>1489</v>
      </c>
      <c r="S48" s="325">
        <f>S47*FRACw.s3R</f>
        <v>5.1998253321497703E-10</v>
      </c>
      <c r="T48" s="325">
        <f>T47*FRACw.s3C</f>
        <v>8.2349105498758773E-12</v>
      </c>
      <c r="U48" s="325">
        <f>U47*FRACw.sM</f>
        <v>5.763470501125906E-14</v>
      </c>
      <c r="V48" s="325">
        <f>V47*FRACw.sA</f>
        <v>3.0637649941209441E-16</v>
      </c>
      <c r="W48" s="326">
        <f>W47*FRACw.sT</f>
        <v>3.125666944520051E-15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1.6089461116568764E-8</v>
      </c>
      <c r="AG48" s="326">
        <f>KDEG.sT*M.sT*Molweight</f>
        <v>3.0197066549960579E-5</v>
      </c>
      <c r="AH48" s="325"/>
      <c r="AI48" s="325"/>
      <c r="AJ48" s="325">
        <f>k.aT.sT*M.aT*Molweight</f>
        <v>3.2679826768983092E-5</v>
      </c>
      <c r="AK48" s="325">
        <f>k.sT.aT*M.sT*Molweight</f>
        <v>7.1959858320632204E-8</v>
      </c>
      <c r="AL48" s="333">
        <f>k.sT.w2T*M.sT*Molweight</f>
        <v>2.3947108995853065E-6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35">
      <c r="A49" s="29"/>
      <c r="B49" s="121" t="s">
        <v>718</v>
      </c>
      <c r="C49" s="318">
        <f>C47*FRs.s3R</f>
        <v>175771.97521482749</v>
      </c>
      <c r="D49" s="122">
        <f>C49/$C$51</f>
        <v>1.5035309515682825E-2</v>
      </c>
      <c r="E49" s="318">
        <f>E47*FRs.s3C</f>
        <v>42452.960788659213</v>
      </c>
      <c r="F49" s="122">
        <f>E49/$E$51</f>
        <v>2.2025605573798269E-2</v>
      </c>
      <c r="G49" s="318">
        <f>G47*FRs.sM</f>
        <v>33085.04512096176</v>
      </c>
      <c r="H49" s="122">
        <f>G49/$G$51</f>
        <v>6.2788557614970666E-2</v>
      </c>
      <c r="I49" s="318">
        <f>I47*FRs.sA</f>
        <v>2637.3108888828037</v>
      </c>
      <c r="J49" s="122">
        <f>I49/$I$51</f>
        <v>1.01044263059205E-2</v>
      </c>
      <c r="K49" s="318">
        <f>K47*FRs.sT</f>
        <v>280.3921910817906</v>
      </c>
      <c r="L49" s="123">
        <f>K49/$K$51</f>
        <v>9.5287744296032192E-2</v>
      </c>
      <c r="M49" s="320">
        <f>C.s3R*FRs.s3R*(Molweight*1000)/(FRACs.s3R*RHOsolid)</f>
        <v>1.0253429304798089E-4</v>
      </c>
      <c r="N49" s="320">
        <f>C.s3C*FRs.s3C*(Molweight*1000)/(FRACs.s3C*RHOsolid)</f>
        <v>1.623825181827401E-6</v>
      </c>
      <c r="O49" s="320">
        <f>C.sM*FRs.sM*(Molweight*1000)/(FRACs.sM*RHOsolid)</f>
        <v>1.1373655394855583E-8</v>
      </c>
      <c r="P49" s="320">
        <f>C.sA*FRs.sA*(Molweight*1000)/(FRACs.sA*RHOsolid)</f>
        <v>2.0684791285355321E-9</v>
      </c>
      <c r="Q49" s="320">
        <f>C.sT*FRs.sT*(Molweight*1000)/(FRACs.sT*RHOsolid)</f>
        <v>9.7740197326985783E-11</v>
      </c>
      <c r="R49" s="120" t="s">
        <v>1494</v>
      </c>
      <c r="S49" s="325">
        <f>S47*(1-FRACw.s3R)</f>
        <v>2.0799301328599081E-9</v>
      </c>
      <c r="T49" s="325">
        <f>T47*(1-FRACw.s3C)</f>
        <v>3.2939642199503509E-11</v>
      </c>
      <c r="U49" s="325">
        <f>U47*(1-FRACw.sM)</f>
        <v>2.3053882004503624E-13</v>
      </c>
      <c r="V49" s="325">
        <f>V47*(1-FRACw.sA)</f>
        <v>1.2255059976483776E-15</v>
      </c>
      <c r="W49" s="326">
        <f>W47*(1-FRACw.sT)</f>
        <v>1.2502667778080204E-14</v>
      </c>
      <c r="X49" s="29"/>
      <c r="Y49" s="437"/>
      <c r="Z49" s="29"/>
      <c r="AA49" s="124"/>
      <c r="AB49" s="125"/>
      <c r="AC49" s="334">
        <f>SUM(AC11:AC48)</f>
        <v>0.9512937595129376</v>
      </c>
      <c r="AD49" s="335"/>
      <c r="AE49" s="335"/>
      <c r="AF49" s="335">
        <f>SUM(AF11:AF48)</f>
        <v>2.3458819955414845E-3</v>
      </c>
      <c r="AG49" s="336">
        <f>SUM(AG11:AG48)</f>
        <v>0.9489478775173964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3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35">
      <c r="A51" s="29"/>
      <c r="B51" s="129" t="s">
        <v>23</v>
      </c>
      <c r="C51" s="317">
        <f>SUM(C11,C15,C19,C23,C27,C31,C35,C39,C43,C47)</f>
        <v>11690612.356964495</v>
      </c>
      <c r="D51" s="130">
        <f>C51/SUM($C$51,$E$51,$G$51,$I$51,$K$51)</f>
        <v>0.81134521000970405</v>
      </c>
      <c r="E51" s="317">
        <f>SUM(E11,E15,E19,E23,E27,E31,E35,E39,E43,E47)</f>
        <v>1927436.7120766654</v>
      </c>
      <c r="F51" s="130">
        <f>E51/SUM($C$51,$E$51,$G$51,$I$51,$K$51)</f>
        <v>0.13376686320529968</v>
      </c>
      <c r="G51" s="317">
        <f>SUM(G11,G15,G19,G23,G27,G31,G35,G39,G43,G47)</f>
        <v>526927.9368359514</v>
      </c>
      <c r="H51" s="130">
        <f>G51/SUM($C$51,$E$51,$G$51,$I$51,$K$51)</f>
        <v>3.656955209172226E-2</v>
      </c>
      <c r="I51" s="317">
        <f>SUM(I11,I15,I19,I23,I27,I31,I35,I39,I43,I47)</f>
        <v>261005.5048189644</v>
      </c>
      <c r="J51" s="130">
        <f>I51/SUM($C$51,$E$51,$G$51,$I$51,$K$51)</f>
        <v>1.8114155157567563E-2</v>
      </c>
      <c r="K51" s="317">
        <f>SUM(K11,K15,K19,K23,K27,K31,K35,K39,K43,K47)</f>
        <v>2942.583992865767</v>
      </c>
      <c r="L51" s="130">
        <f>K51/SUM($C$51,$E$51,$G$51,$I$51,$K$51)</f>
        <v>2.0421953570640662E-4</v>
      </c>
      <c r="M51" s="199"/>
      <c r="N51" s="199"/>
      <c r="O51" s="199"/>
      <c r="P51" s="199"/>
      <c r="Q51" s="199"/>
      <c r="R51" s="199"/>
      <c r="S51" s="328">
        <f>SUM(S11,S15,S19,S23,S27,S35,S39,S43,S47)</f>
        <v>7.3642442646629009E-7</v>
      </c>
      <c r="T51" s="328">
        <f>SUM(T11,T15,T19,T23,T27,T35,T39,T43,T47)</f>
        <v>9.3359346895943416E-9</v>
      </c>
      <c r="U51" s="328">
        <f>SUM(U11,U15,U19,U23,U27,U35,U39,U43,U47)</f>
        <v>6.4511005969744012E-11</v>
      </c>
      <c r="V51" s="328">
        <f>SUM(V11,V15,V19,V23,V27,V35,V39,V43,V47)</f>
        <v>2.4600984290423475E-12</v>
      </c>
      <c r="W51" s="328">
        <f>SUM(W11,W15,W19,W23,W27,W35,W39,W43,W47)</f>
        <v>1.4208586018859406E-12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5.4871813612431138E-8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3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3.8294814415763221E-7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3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1.0952166098120252E-4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3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1.0329264806615297E-5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3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3.0396864622891043E-3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3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2.4156766574760596E-4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3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9.1066685395733006E-5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3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1.7325088638483593E-4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3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9.1060223432359757E-5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3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3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3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3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3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3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3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3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1-HYDROXYANTHRAQUINONE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R verification acid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3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3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3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3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3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5.6617567231440971E-2</v>
      </c>
      <c r="AY72" s="75"/>
      <c r="AZ72" s="256">
        <f>output!AF22</f>
        <v>2.2928766955578601E-6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3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0.11872524242850346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3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1.0528936818710624E-2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3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3.2473789390175286E-3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3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3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3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3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3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3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3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3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3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4.8770386334064165E-6</v>
      </c>
      <c r="BE84" s="2"/>
      <c r="BF84" s="304">
        <f>IF(output!AK30&lt;0,"",output!AK30)</f>
        <v>1.8015283450951125E-6</v>
      </c>
      <c r="BG84" s="75"/>
      <c r="BH84" s="311">
        <f>IF(output!AK29&lt;0,"",output!AK29)</f>
        <v>5.1926357537224772E-6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3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1.3475511141299272E-6</v>
      </c>
      <c r="AV85" s="87"/>
      <c r="AW85" s="75"/>
      <c r="AX85" s="304">
        <f>output!AL24</f>
        <v>1.1814411419965687E-3</v>
      </c>
      <c r="AY85" s="87"/>
      <c r="AZ85" s="201"/>
      <c r="BA85" s="311">
        <f>IF(output!AI23&lt;0,"",output!AI23)</f>
        <v>3.8109477988716943E-9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3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5.5506434419694897E-3</v>
      </c>
      <c r="BE86" s="87"/>
      <c r="BF86" s="304">
        <f>IF(output!AJ30&lt;0,"",output!AJ30)</f>
        <v>2.055793867396107E-3</v>
      </c>
      <c r="BG86" s="75"/>
      <c r="BH86" s="311">
        <f>IF(output!AJ29&lt;0,"",output!AJ29)</f>
        <v>1.2334763204376644E-2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3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3.0782351731448894E-2</v>
      </c>
      <c r="AV87" s="200"/>
      <c r="AW87" s="84"/>
      <c r="AX87" s="304">
        <f>IF(output!AH24&lt;0,"",output!AH24)</f>
        <v>7.9463746432193859E-4</v>
      </c>
      <c r="AY87" s="291">
        <f>output!AL24</f>
        <v>1.1814411419965687E-3</v>
      </c>
      <c r="AZ87" s="75"/>
      <c r="BA87" s="311">
        <f>IF(output!AH23&lt;0,"",output!AH23)</f>
        <v>7.2239769483812617E-5</v>
      </c>
      <c r="BB87" s="291">
        <f>output!AL23</f>
        <v>1.0740374018150626E-4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3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4.8249047485324314E-6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3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8.7765936624355125E-4</v>
      </c>
      <c r="AT89" s="83"/>
      <c r="AU89" s="302"/>
      <c r="AV89" s="75"/>
      <c r="AW89" s="81"/>
      <c r="AX89" s="265">
        <f>output!AD24</f>
        <v>4.8249047485324314E-6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3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4.6524308736446182E-2</v>
      </c>
      <c r="AT90" s="81"/>
      <c r="AU90" s="278">
        <f>output!AD25</f>
        <v>0.14320042289406754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3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1.7481479396898756E-4</v>
      </c>
      <c r="BB91" s="309">
        <f>IF(ISERROR(output!F15),0,output!F15)</f>
        <v>1.0442234184055022E-3</v>
      </c>
      <c r="BC91" s="2"/>
      <c r="BD91" s="295">
        <f>output!AG28</f>
        <v>5.0137720222285503E-3</v>
      </c>
      <c r="BE91" s="2"/>
      <c r="BF91" s="312">
        <f>output!AG30</f>
        <v>1.8568208340915906E-3</v>
      </c>
      <c r="BG91" s="75"/>
      <c r="BH91" s="295">
        <f>output!AG29</f>
        <v>1.1761253223489221E-2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3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3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3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6.2682255662095329E-3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3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1.0478194752477398E-3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3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2.6493279519152363E-4</v>
      </c>
      <c r="AZ96" s="75"/>
      <c r="BA96" s="75"/>
      <c r="BB96" s="43"/>
      <c r="BC96" s="2"/>
      <c r="BD96" s="277">
        <f>IF(ISERROR(output!F39),0,output!F39)</f>
        <v>5.9860407981288687E-2</v>
      </c>
      <c r="BE96" s="43"/>
      <c r="BF96" s="277">
        <f>IF(ISERROR(output!F47),0,output!F47)</f>
        <v>2.2168948285661134E-2</v>
      </c>
      <c r="BG96" s="43"/>
      <c r="BH96" s="277">
        <f>IF(ISERROR(output!F43),0,output!F43)</f>
        <v>0.14041991004137813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3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0.12738632287262983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3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3.1959605222085693E-4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3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4.2134207132934326E-5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3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3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0.76125765294798686</v>
      </c>
      <c r="AW101" s="56"/>
      <c r="AX101" s="307"/>
      <c r="AY101" s="276">
        <f>IF(ISERROR(output!F23),0,output!F23)</f>
        <v>2.2616049001747073E-3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3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3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3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2.9229924526773666E-4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3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3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3.6309471059398719E-4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3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3.471647919877854E-3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3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6.4677580304789089E-5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3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3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3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6.1178850214615153E-6</v>
      </c>
      <c r="AW111" s="75"/>
      <c r="AX111" s="290">
        <f>output!AF26</f>
        <v>1.2529049896398999E-5</v>
      </c>
      <c r="AY111" s="75"/>
      <c r="AZ111" s="75"/>
      <c r="BA111" s="75"/>
      <c r="BB111" s="76"/>
      <c r="BC111" s="2"/>
      <c r="BD111" s="295">
        <f>output!AF28</f>
        <v>3.5418894987062147E-6</v>
      </c>
      <c r="BE111" s="76"/>
      <c r="BF111" s="295">
        <f>output!AF30</f>
        <v>1.3127253181598577E-6</v>
      </c>
      <c r="BG111" s="43"/>
      <c r="BH111" s="294">
        <f>output!AF29</f>
        <v>3.7837342057106032E-6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3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3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3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3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3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8.6941242283390013E-10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3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2.3095432403609546E-9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3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4.2011031560028477E-8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3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1.9756449565780065E-9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3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1.1659827175350864E-6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3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4.620386343478454E-8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3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1.4422138445129394E-6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3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3.8060211795836723E-7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3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1.4421115070555133E-6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3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3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3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3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3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3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3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3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1-HYDROXYANTHRAQUINONE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R verification acid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3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3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3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3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5.4883183372610991E-4</v>
      </c>
      <c r="AT136" s="81">
        <f>output!AD32</f>
        <v>8.6626593492403411E-3</v>
      </c>
      <c r="AU136" s="268">
        <f>output!AF32</f>
        <v>1.7263983152374806E-7</v>
      </c>
      <c r="AV136" s="221"/>
      <c r="AW136" s="221"/>
      <c r="AX136" s="221"/>
      <c r="AY136" s="279">
        <f>output!AE38</f>
        <v>7.4175757134905077E-6</v>
      </c>
      <c r="AZ136" s="266">
        <f>output!AD38</f>
        <v>1.7876501000885315E-4</v>
      </c>
      <c r="BA136" s="268">
        <f>output!AF38</f>
        <v>3.9247229608582045E-9</v>
      </c>
      <c r="BB136" s="75"/>
      <c r="BC136" s="75"/>
      <c r="BD136" s="75"/>
      <c r="BE136" s="279">
        <f>output!AE44</f>
        <v>6.4807577189502651E-6</v>
      </c>
      <c r="BF136" s="266">
        <f>output!AD44</f>
        <v>3.0963007995089245E-4</v>
      </c>
      <c r="BG136" s="268">
        <f>output!AF44</f>
        <v>5.9392749567842858E-9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3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3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3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3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3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4.2629624554417272E-3</v>
      </c>
      <c r="AV141" s="223" t="s">
        <v>446</v>
      </c>
      <c r="AW141" s="221"/>
      <c r="AX141" s="221"/>
      <c r="AY141" s="2"/>
      <c r="AZ141" s="202"/>
      <c r="BA141" s="269">
        <f>output!AG38</f>
        <v>8.0074357254092431E-5</v>
      </c>
      <c r="BB141" s="47" t="s">
        <v>446</v>
      </c>
      <c r="BC141" s="75"/>
      <c r="BD141" s="75"/>
      <c r="BE141" s="2"/>
      <c r="BF141" s="202"/>
      <c r="BG141" s="269">
        <f>output!AG44</f>
        <v>1.6305315876464723E-4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3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8.9438019775263714E-4</v>
      </c>
      <c r="AW142" s="221"/>
      <c r="AX142" s="221"/>
      <c r="AY142" s="203"/>
      <c r="AZ142" s="202"/>
      <c r="BA142" s="75"/>
      <c r="BB142" s="277">
        <f>IF(ISERROR(output!J11),0,output!J11)</f>
        <v>4.1047974826755635E-5</v>
      </c>
      <c r="BC142" s="75"/>
      <c r="BD142" s="75"/>
      <c r="BE142" s="203"/>
      <c r="BF142" s="75"/>
      <c r="BG142" s="75"/>
      <c r="BH142" s="277">
        <f>IF(ISERROR(output!L11),0,output!L11)</f>
        <v>5.50981426857961E-3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3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3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1.4076127476219808E-6</v>
      </c>
      <c r="AY144" s="2"/>
      <c r="AZ144" s="75"/>
      <c r="BA144" s="75"/>
      <c r="BB144" s="75"/>
      <c r="BC144" s="75"/>
      <c r="BD144" s="270">
        <f>k.sA.aA*M.sA*Molweight</f>
        <v>3.5552017418655464E-9</v>
      </c>
      <c r="BE144" s="2"/>
      <c r="BF144" s="75"/>
      <c r="BG144" s="75"/>
      <c r="BH144" s="75"/>
      <c r="BI144" s="75"/>
      <c r="BJ144" s="270">
        <f>k.sT.aT*M.sT*Molweight</f>
        <v>7.1959858320632204E-8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3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2.5028068160862162E-7</v>
      </c>
      <c r="AV145" s="221"/>
      <c r="AW145" s="221"/>
      <c r="AX145" s="221"/>
      <c r="AY145" s="2"/>
      <c r="AZ145" s="75"/>
      <c r="BA145" s="270">
        <f>k.w2A.aA*M.w2A*Molweight</f>
        <v>1.4987077204747608E-9</v>
      </c>
      <c r="BB145" s="75"/>
      <c r="BC145" s="75"/>
      <c r="BD145" s="221"/>
      <c r="BE145" s="2"/>
      <c r="BF145" s="75"/>
      <c r="BG145" s="270">
        <f>k.w2T.aT*M.w2T*Molweight</f>
        <v>3.0937293168778048E-9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3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1.6020288239880979E-3</v>
      </c>
      <c r="AY146" s="2"/>
      <c r="AZ146" s="75"/>
      <c r="BA146" s="221"/>
      <c r="BB146" s="75"/>
      <c r="BC146" s="75"/>
      <c r="BD146" s="270">
        <f>IF(output!AJ42&lt;0,"",output!AJ42)</f>
        <v>2.9520770074605478E-5</v>
      </c>
      <c r="BE146" s="2"/>
      <c r="BF146" s="75"/>
      <c r="BG146" s="221"/>
      <c r="BH146" s="75"/>
      <c r="BI146" s="75"/>
      <c r="BJ146" s="270">
        <f>IF(output!AJ48&lt;0,"",output!AJ48)</f>
        <v>3.2679826768983092E-5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3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4.0040187082496646E-2</v>
      </c>
      <c r="AT147" s="81">
        <f>output!AD33</f>
        <v>4.9467325210716333E-2</v>
      </c>
      <c r="AU147" s="270">
        <f>IF(output!AH33&lt;0,"",output!AH33)</f>
        <v>2.2503214896821121E-3</v>
      </c>
      <c r="AV147" s="272">
        <f>output!AL33</f>
        <v>1.5252215937064002E-4</v>
      </c>
      <c r="AW147" s="221"/>
      <c r="AX147" s="221"/>
      <c r="AY147" s="279">
        <f>output!AE39</f>
        <v>6.9358770010191128E-3</v>
      </c>
      <c r="AZ147" s="266">
        <f>output!AD39</f>
        <v>7.3564542205838352E-3</v>
      </c>
      <c r="BA147" s="270">
        <f>IF(output!AH39&lt;0,"",output!AH39)</f>
        <v>6.1753436153166212E-5</v>
      </c>
      <c r="BB147" s="272">
        <f>output!AL39</f>
        <v>4.3834035970855305E-6</v>
      </c>
      <c r="BC147" s="75"/>
      <c r="BD147" s="75"/>
      <c r="BE147" s="279">
        <f>output!AE45</f>
        <v>6.8119540647114822E-5</v>
      </c>
      <c r="BF147" s="266">
        <f>output!AD45</f>
        <v>1.7910384298334159E-5</v>
      </c>
      <c r="BG147" s="270">
        <f>IF(output!AH45&lt;0,"",output!AH45)</f>
        <v>1.0748545101099272E-4</v>
      </c>
      <c r="BH147" s="272">
        <f>output!AL45</f>
        <v>2.3947108995853065E-6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3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3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3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0.25859055580178109</v>
      </c>
      <c r="AW150" s="221"/>
      <c r="AX150" s="221"/>
      <c r="AY150" s="2"/>
      <c r="AZ150" s="75"/>
      <c r="BA150" s="59"/>
      <c r="BB150" s="273">
        <f>IF(ISERROR(output!J27),0,output!J27)</f>
        <v>9.8691073864350387E-2</v>
      </c>
      <c r="BC150" s="78"/>
      <c r="BD150" s="75"/>
      <c r="BE150" s="2"/>
      <c r="BF150" s="75"/>
      <c r="BG150" s="59"/>
      <c r="BH150" s="273">
        <f>IF(ISERROR(output!L27),0,output!L27)</f>
        <v>9.4855381212005319E-2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3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1.4470767903739157E-3</v>
      </c>
      <c r="AY151" s="2"/>
      <c r="AZ151" s="75"/>
      <c r="BA151" s="59"/>
      <c r="BB151" s="49"/>
      <c r="BC151" s="75"/>
      <c r="BD151" s="274">
        <f>output!AJ42</f>
        <v>2.9520770074605478E-5</v>
      </c>
      <c r="BE151" s="2"/>
      <c r="BF151" s="75"/>
      <c r="BG151" s="59"/>
      <c r="BH151" s="59"/>
      <c r="BI151" s="75"/>
      <c r="BJ151" s="274">
        <f>output!AG48</f>
        <v>3.0197066549960579E-5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3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1.1829731496590834E-2</v>
      </c>
      <c r="AW152" s="221"/>
      <c r="AX152" s="221"/>
      <c r="AY152" s="2"/>
      <c r="AZ152" s="75"/>
      <c r="BA152" s="59"/>
      <c r="BB152" s="257">
        <f>output!AG39</f>
        <v>4.8671256060725537E-4</v>
      </c>
      <c r="BC152" s="2"/>
      <c r="BD152" s="75"/>
      <c r="BE152" s="2"/>
      <c r="BF152" s="75"/>
      <c r="BG152" s="59"/>
      <c r="BH152" s="257">
        <f>output!AG45</f>
        <v>5.9667911832480449E-5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3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2.9626824974253196E-3</v>
      </c>
      <c r="AU153" s="224"/>
      <c r="AV153" s="225"/>
      <c r="AW153" s="221"/>
      <c r="AX153" s="221"/>
      <c r="AY153" s="2"/>
      <c r="AZ153" s="275">
        <f>k.w3A.w2A*M.w3A*Molweight</f>
        <v>2.0867681830414975E-3</v>
      </c>
      <c r="BA153" s="59"/>
      <c r="BB153" s="49"/>
      <c r="BC153" s="2"/>
      <c r="BD153" s="75"/>
      <c r="BE153" s="2"/>
      <c r="BF153" s="275">
        <f>k.w3T.w2T*M.w3T*Molweight</f>
        <v>1.7910384298334159E-5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3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3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3.3943631335079043E-2</v>
      </c>
      <c r="AU155" s="221"/>
      <c r="AV155" s="223" t="s">
        <v>2166</v>
      </c>
      <c r="AW155" s="221"/>
      <c r="AX155" s="271">
        <f>IF(ISERROR(output!H47),0,output!H47)</f>
        <v>6.3196870100667532E-2</v>
      </c>
      <c r="AY155" s="2"/>
      <c r="AZ155" s="275">
        <f>k.w2A.w3A*M.w2A*Molweight</f>
        <v>6.9358770010191128E-3</v>
      </c>
      <c r="BA155" s="75"/>
      <c r="BB155" s="223" t="s">
        <v>2166</v>
      </c>
      <c r="BC155" s="47"/>
      <c r="BD155" s="271">
        <f>IF(ISERROR(output!J47),0,output!J47)</f>
        <v>1.017013514494854E-2</v>
      </c>
      <c r="BE155" s="2"/>
      <c r="BF155" s="275">
        <f>k.w2T.w3T*M.w2T*Molweight</f>
        <v>6.3428449447255553E-5</v>
      </c>
      <c r="BG155" s="75"/>
      <c r="BH155" s="223" t="s">
        <v>2166</v>
      </c>
      <c r="BI155" s="47"/>
      <c r="BJ155" s="271">
        <f>IF(ISERROR(output!L47),0,output!L47)</f>
        <v>9.5907398367388028E-2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3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0.6771123331890011</v>
      </c>
      <c r="AW156" s="221"/>
      <c r="AX156" s="221"/>
      <c r="AY156" s="203"/>
      <c r="AZ156" s="2"/>
      <c r="BA156" s="75"/>
      <c r="BB156" s="273">
        <f>IF(ISERROR(output!J31),0,output!J31)</f>
        <v>0.89078306691452724</v>
      </c>
      <c r="BC156" s="75"/>
      <c r="BD156" s="75"/>
      <c r="BE156" s="203"/>
      <c r="BF156" s="2"/>
      <c r="BG156" s="75"/>
      <c r="BH156" s="273">
        <f>IF(ISERROR(output!L31),0,output!L31)</f>
        <v>0.80353359340026076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3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3.422633480165891E-3</v>
      </c>
      <c r="AT157" s="266">
        <f>output!AD34</f>
        <v>3.4399512284224554E-2</v>
      </c>
      <c r="AU157" s="221"/>
      <c r="AV157" s="225"/>
      <c r="AW157" s="226"/>
      <c r="AX157" s="221"/>
      <c r="AY157" s="279">
        <f>output!AE40</f>
        <v>2.5426491321870102E-3</v>
      </c>
      <c r="AZ157" s="266">
        <f>output!AD40</f>
        <v>6.9358770010191128E-3</v>
      </c>
      <c r="BA157" s="75"/>
      <c r="BB157" s="2"/>
      <c r="BC157" s="76"/>
      <c r="BD157" s="75"/>
      <c r="BE157" s="279">
        <f>output!AE46</f>
        <v>1.7910384298334159E-5</v>
      </c>
      <c r="BF157" s="266">
        <f>output!AD46</f>
        <v>5.2337943218782712E-4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3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3.0975829994332935E-2</v>
      </c>
      <c r="AW158" s="226"/>
      <c r="AX158" s="221"/>
      <c r="AY158" s="2"/>
      <c r="AZ158" s="75"/>
      <c r="BA158" s="75"/>
      <c r="BB158" s="274">
        <f>output!AG40</f>
        <v>4.3930549184161257E-3</v>
      </c>
      <c r="BC158" s="2"/>
      <c r="BD158" s="75"/>
      <c r="BE158" s="2"/>
      <c r="BF158" s="75"/>
      <c r="BG158" s="75"/>
      <c r="BH158" s="274">
        <f>output!AG46</f>
        <v>5.0545547329870202E-4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3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4.8373062368857589E-6</v>
      </c>
      <c r="AU159" s="221"/>
      <c r="AV159" s="221"/>
      <c r="AW159" s="226"/>
      <c r="AX159" s="221"/>
      <c r="AY159" s="2"/>
      <c r="AZ159" s="272">
        <f>k.sdA.w3A*M.sdA*Molweight</f>
        <v>3.6626952872668946E-6</v>
      </c>
      <c r="BA159" s="2"/>
      <c r="BB159" s="75"/>
      <c r="BC159" s="2"/>
      <c r="BD159" s="75"/>
      <c r="BE159" s="2"/>
      <c r="BF159" s="275">
        <f>k.sdT.w3T*M.sdT*Molweight</f>
        <v>2.5433057762309729E-8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3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3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5.886115962620048E-6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3.8356457032418055E-6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3.9007648553237658E-8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3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2.0586071079755245E-4</v>
      </c>
      <c r="AW162" s="221"/>
      <c r="AX162" s="221"/>
      <c r="AY162" s="2"/>
      <c r="AZ162" s="75"/>
      <c r="BA162" s="47"/>
      <c r="BB162" s="276">
        <f>IF(ISERROR(output!J35),0,output!J35)</f>
        <v>3.1467610134698875E-4</v>
      </c>
      <c r="BC162" s="75"/>
      <c r="BD162" s="75"/>
      <c r="BE162" s="2"/>
      <c r="BF162" s="75"/>
      <c r="BG162" s="47"/>
      <c r="BH162" s="276">
        <f>IF(ISERROR(output!L35),0,output!L35)</f>
        <v>1.9381275176621484E-4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3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3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1.0484860471607303E-6</v>
      </c>
      <c r="AV164" s="269">
        <f>output!AF35</f>
        <v>3.2367857355835393E-10</v>
      </c>
      <c r="AW164" s="221"/>
      <c r="AX164" s="274">
        <f>output!AF36</f>
        <v>1.0222614959203323E-6</v>
      </c>
      <c r="AY164" s="2"/>
      <c r="AZ164" s="2"/>
      <c r="BA164" s="269">
        <f>output!AG41</f>
        <v>1.7277678965433209E-7</v>
      </c>
      <c r="BB164" s="269">
        <f>output!AF41</f>
        <v>1.736263205786689E-10</v>
      </c>
      <c r="BC164" s="75"/>
      <c r="BD164" s="274">
        <f>output!AF42</f>
        <v>2.9102719161432842E-8</v>
      </c>
      <c r="BE164" s="2"/>
      <c r="BF164" s="2"/>
      <c r="BG164" s="269">
        <f>output!AG47</f>
        <v>1.3573385162860617E-8</v>
      </c>
      <c r="BH164" s="269">
        <f>output!AF47</f>
        <v>1.2056280673104451E-12</v>
      </c>
      <c r="BI164" s="75"/>
      <c r="BJ164" s="274">
        <f>output!AF48</f>
        <v>1.6089461116568764E-8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3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3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3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3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3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3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3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3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471.27391234872732</v>
      </c>
      <c r="BA172" s="128">
        <f>output!I11</f>
        <v>10.713747391453497</v>
      </c>
      <c r="BB172" s="128">
        <f>output!K11</f>
        <v>16.213091270385764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3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136258.58805389446</v>
      </c>
      <c r="BA173" s="128">
        <f>output!I27</f>
        <v>25758.913555090476</v>
      </c>
      <c r="BB173" s="128">
        <f>output!K27</f>
        <v>279.11992639162708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3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356789.40473345766</v>
      </c>
      <c r="BA174" s="128">
        <f>output!I31</f>
        <v>232499.28406421153</v>
      </c>
      <c r="BB174" s="128">
        <f>output!K31</f>
        <v>2364.4650896695171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3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108.47375961613677</v>
      </c>
      <c r="BA175" s="128">
        <f>output!I35</f>
        <v>82.132194686534405</v>
      </c>
      <c r="BB175" s="128">
        <f>output!K35</f>
        <v>0.57031030096053015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3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33300.196376634369</v>
      </c>
      <c r="BA176" s="128">
        <f>output!I47</f>
        <v>2654.4612575843853</v>
      </c>
      <c r="BB176" s="128">
        <f>output!K47</f>
        <v>282.21557523327641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3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3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3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3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3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3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3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3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3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3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3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3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3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3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3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3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3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3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3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3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3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3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3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3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3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3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3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3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3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3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3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3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3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3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3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3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3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3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3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3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3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3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3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3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3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3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3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3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3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3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3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3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3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3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3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3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3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3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3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3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3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3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3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3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3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3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3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3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3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3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3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3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3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3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3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3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3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3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3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3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3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3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3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3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3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3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3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3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3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3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3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3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3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3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3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3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3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3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3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3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3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3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3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3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3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3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3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3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3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3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3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3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3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3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3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3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3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3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3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3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3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3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3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3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3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3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3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3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3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3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3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3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3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3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3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3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3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3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3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3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3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3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3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3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3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3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3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3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3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3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3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3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3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3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3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3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3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3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3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3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3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3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3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3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3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3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3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3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3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3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3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3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3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3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3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3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3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3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3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3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3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3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3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3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3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3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3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3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3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3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3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3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3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3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3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3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3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3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3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3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3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3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3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3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3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3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3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3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3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3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3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3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3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3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3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3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3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3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3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3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3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3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3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3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3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3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3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3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3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3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3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3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3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3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3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3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3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3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3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3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3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3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3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3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3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3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3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3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3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3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3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3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3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3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3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3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3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3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3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3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3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3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3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3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3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3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3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3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3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3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3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3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3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3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3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3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3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3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3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3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3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3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3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3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3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3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3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3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3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3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3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3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3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3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3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3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3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3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3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3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3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3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3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3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3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3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3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3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3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3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3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3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3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3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3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3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3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3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3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3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3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3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3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3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3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3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3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3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3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3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3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3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3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3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3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3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3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3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3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3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3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3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3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3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3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3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3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3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3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3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3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3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3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3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3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3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3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3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3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3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3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3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3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3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3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3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3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3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3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3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3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3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3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3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3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3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3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3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3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3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3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3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3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3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3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3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3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3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3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3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3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3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3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3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3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3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3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3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3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3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3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3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3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3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3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3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3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3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3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3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3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3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3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3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3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3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3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3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3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3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3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3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3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3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3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3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3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3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3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3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3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3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3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3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3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3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3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3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3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3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3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3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3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3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3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3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3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3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3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3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3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3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3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3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3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3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3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3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3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3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3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3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3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3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3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3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3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3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3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3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3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3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3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3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3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3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3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3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3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3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3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3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3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3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3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3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3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3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3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3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3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3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3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3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3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3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3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3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3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3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3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3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3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3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3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3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3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3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3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3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3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3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3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3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3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3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3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3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3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3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3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3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3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3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3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3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3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3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3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3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3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3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3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3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3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3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3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3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3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3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3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3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3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3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3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3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3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3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3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3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3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3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3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3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3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3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3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3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3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3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3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3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3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3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3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3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3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3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3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3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3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3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3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3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3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3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3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3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3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3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3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3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3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3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3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3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3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3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3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3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3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3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3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3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3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3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3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3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3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3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3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3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3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3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3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3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3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3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3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3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3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3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3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3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3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3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3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3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3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3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3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3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3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3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3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3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3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3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3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3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3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3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3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3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3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3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3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3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3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3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3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3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3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3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3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3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3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3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3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3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3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3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3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3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3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3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3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3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3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3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3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3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3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3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3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3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3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3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3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3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3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3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3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3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3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3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3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3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3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3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3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3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3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3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3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3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3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3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3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3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3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3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3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3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3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3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3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3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3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3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3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3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3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3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3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3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3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3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3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3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3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3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3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3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3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3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3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3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3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3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3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3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3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3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3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3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3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3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3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3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3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3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3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3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3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3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3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3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3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3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3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3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3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3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3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3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3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3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3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3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3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3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3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3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3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3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3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3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3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3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3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3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3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3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3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3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3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3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3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3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3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3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3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3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3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3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3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3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3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3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3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3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3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3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3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3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3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3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3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3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3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3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3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3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3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3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3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3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3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3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3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3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3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3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3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3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3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3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3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3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3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3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3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3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3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3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3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3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3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3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3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3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3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3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3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3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3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3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3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3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3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3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3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3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3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3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3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3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3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3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3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3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3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3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3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3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3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3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3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3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3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3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3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3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3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3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3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3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3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3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3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3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3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3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3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3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3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3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3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3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3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09375" defaultRowHeight="12.75" customHeight="1" x14ac:dyDescent="0.3"/>
  <cols>
    <col min="1" max="1" width="3.109375" customWidth="1"/>
    <col min="2" max="2" width="64.5546875" customWidth="1"/>
    <col min="3" max="3" width="4.33203125" customWidth="1"/>
    <col min="4" max="4" width="3.109375" style="10" customWidth="1"/>
    <col min="5" max="5" width="10.33203125" style="10" customWidth="1"/>
    <col min="6" max="39" width="8.6640625" style="9" customWidth="1"/>
    <col min="40" max="16384" width="9.109375" style="7"/>
  </cols>
  <sheetData>
    <row r="1" spans="1:39" ht="12.75" customHeight="1" thickBot="1" x14ac:dyDescent="0.3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3">
      <c r="A2" s="174"/>
      <c r="B2" s="174"/>
      <c r="C2" s="174"/>
      <c r="E2" s="79" t="s">
        <v>2334</v>
      </c>
      <c r="I2" s="10"/>
      <c r="J2" s="10"/>
    </row>
    <row r="3" spans="1:39" ht="12.75" customHeight="1" x14ac:dyDescent="0.3">
      <c r="A3" s="174"/>
      <c r="B3" s="174"/>
      <c r="C3" s="174"/>
      <c r="E3" s="9"/>
      <c r="I3" s="10"/>
      <c r="J3" s="10"/>
    </row>
    <row r="4" spans="1:39" ht="12.75" customHeight="1" x14ac:dyDescent="0.3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3">
      <c r="A5" s="174"/>
      <c r="B5" s="174"/>
      <c r="C5" s="174"/>
      <c r="E5" s="491" t="s">
        <v>1360</v>
      </c>
      <c r="F5" s="492" t="str">
        <f>ChemName</f>
        <v>1-HYDROXYANTHRAQUINONE</v>
      </c>
      <c r="I5" s="10"/>
      <c r="J5" s="10"/>
    </row>
    <row r="6" spans="1:39" ht="12.75" customHeight="1" x14ac:dyDescent="0.3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3">
      <c r="A7" s="174"/>
      <c r="B7" s="174"/>
      <c r="C7" s="192"/>
      <c r="E7" s="491" t="s">
        <v>1213</v>
      </c>
      <c r="F7" s="493" t="str">
        <f>CaseName</f>
        <v>R verification acid</v>
      </c>
      <c r="I7" s="10"/>
      <c r="J7" s="10"/>
    </row>
    <row r="8" spans="1:39" ht="12.75" customHeight="1" x14ac:dyDescent="0.3">
      <c r="A8" s="174"/>
      <c r="B8" s="174"/>
      <c r="C8" s="174"/>
      <c r="E8" s="494" t="s">
        <v>2327</v>
      </c>
      <c r="G8" s="196">
        <f>(M.tot/Emis.tot)/(3600*24*365)</f>
        <v>0.48029750315629793</v>
      </c>
      <c r="H8" s="218" t="s">
        <v>2326</v>
      </c>
      <c r="I8" s="10"/>
      <c r="J8" s="10"/>
    </row>
    <row r="9" spans="1:39" ht="12.75" customHeight="1" x14ac:dyDescent="0.3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3">
      <c r="A10" s="174"/>
      <c r="B10" s="174"/>
      <c r="C10" s="174"/>
      <c r="E10" s="495" t="s">
        <v>743</v>
      </c>
      <c r="F10" s="508">
        <v>0</v>
      </c>
      <c r="G10" s="508">
        <f>F11</f>
        <v>1.440892509468894</v>
      </c>
      <c r="H10" s="218" t="s">
        <v>2326</v>
      </c>
      <c r="I10" s="10"/>
      <c r="J10" s="22" t="s">
        <v>3925</v>
      </c>
    </row>
    <row r="11" spans="1:39" ht="12.75" customHeight="1" x14ac:dyDescent="0.3">
      <c r="A11" s="174"/>
      <c r="B11" s="174"/>
      <c r="C11" s="174"/>
      <c r="D11" s="14"/>
      <c r="E11" s="495" t="s">
        <v>1015</v>
      </c>
      <c r="F11" s="508">
        <f>Scale*(M.tot/Emis.tot)/(3600*24*365)</f>
        <v>1.440892509468894</v>
      </c>
      <c r="G11" s="508">
        <f>2*Scale*(M.tot/Emis.tot)/(3600*24*365)</f>
        <v>2.881785018937788</v>
      </c>
      <c r="H11" s="218" t="s">
        <v>2326</v>
      </c>
      <c r="I11" s="10"/>
      <c r="J11" s="616" t="s">
        <v>3926</v>
      </c>
    </row>
    <row r="12" spans="1:39" ht="12.75" customHeight="1" x14ac:dyDescent="0.3">
      <c r="A12" s="174"/>
      <c r="B12" s="174"/>
      <c r="C12" s="174"/>
      <c r="D12" s="15"/>
    </row>
    <row r="13" spans="1:39" ht="12.75" customHeight="1" x14ac:dyDescent="0.3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3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3">
      <c r="A15" s="174"/>
      <c r="B15" s="174"/>
      <c r="C15" s="174"/>
      <c r="E15" s="218" t="s">
        <v>2332</v>
      </c>
      <c r="G15" s="481">
        <f t="array" ref="G15:AM15">emis</f>
        <v>1.4142267408689941</v>
      </c>
      <c r="H15" s="482">
        <v>0</v>
      </c>
      <c r="I15" s="482">
        <v>1.4142267408689941</v>
      </c>
      <c r="J15" s="482">
        <v>0</v>
      </c>
      <c r="K15" s="482">
        <v>0</v>
      </c>
      <c r="L15" s="482">
        <v>0</v>
      </c>
      <c r="M15" s="482">
        <v>0</v>
      </c>
      <c r="N15" s="482">
        <v>1.4142267408689941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3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3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3">
      <c r="A18" s="174"/>
      <c r="B18" s="174"/>
      <c r="C18" s="174"/>
      <c r="D18" s="15"/>
    </row>
    <row r="19" spans="1:39" ht="12.75" customHeight="1" x14ac:dyDescent="0.3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3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3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3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3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3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3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3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3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3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3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3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3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3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3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3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3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3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3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3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3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3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3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3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3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3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3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3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3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3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3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3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3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3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3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3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3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3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3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3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3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3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3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3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3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3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3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3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3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3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3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3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3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3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3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3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3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3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3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3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3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3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3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3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3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3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3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3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3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3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3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3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3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3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3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3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3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3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3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3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3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3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3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3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3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3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3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3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3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3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3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3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3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3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3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3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3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3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3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3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3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5" activePane="bottomLeft" state="frozen"/>
      <selection pane="bottomLeft"/>
    </sheetView>
  </sheetViews>
  <sheetFormatPr defaultColWidth="9.109375" defaultRowHeight="12.75" customHeight="1" x14ac:dyDescent="0.3"/>
  <cols>
    <col min="1" max="1" width="5.88671875" style="23" customWidth="1"/>
    <col min="2" max="2" width="31.44140625" style="7" customWidth="1"/>
    <col min="3" max="3" width="11.33203125" style="22" bestFit="1" customWidth="1"/>
    <col min="4" max="4" width="10.33203125" style="18" customWidth="1"/>
    <col min="5" max="5" width="8.109375" style="540" customWidth="1"/>
    <col min="6" max="6" width="6.6640625" style="23" customWidth="1"/>
    <col min="7" max="7" width="7.88671875" style="23" bestFit="1" customWidth="1"/>
    <col min="8" max="11" width="8.109375" style="8" customWidth="1"/>
    <col min="12" max="16" width="8" style="8" customWidth="1"/>
    <col min="17" max="17" width="8.88671875" style="8" customWidth="1"/>
    <col min="18" max="18" width="12" style="8" customWidth="1"/>
    <col min="19" max="19" width="10" style="8" customWidth="1"/>
    <col min="20" max="20" width="9.5546875" style="8" customWidth="1"/>
    <col min="21" max="21" width="10.88671875" style="182" bestFit="1" customWidth="1"/>
    <col min="22" max="22" width="11.6640625" style="183" customWidth="1"/>
    <col min="23" max="23" width="11.6640625" style="179" customWidth="1"/>
    <col min="24" max="24" width="9.6640625" style="187" customWidth="1"/>
    <col min="25" max="25" width="12" style="188" customWidth="1"/>
    <col min="26" max="26" width="9.33203125" style="188" customWidth="1"/>
    <col min="27" max="27" width="5.109375" style="196" hidden="1" customWidth="1"/>
    <col min="28" max="28" width="3.6640625" style="7" customWidth="1"/>
    <col min="29" max="16384" width="9.109375" style="7"/>
  </cols>
  <sheetData>
    <row r="1" spans="1:28" ht="12.75" customHeight="1" x14ac:dyDescent="0.3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3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3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3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3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3">
      <c r="A6" s="544">
        <f>ChemRowNr</f>
        <v>708</v>
      </c>
      <c r="B6" s="439" t="str">
        <f t="shared" ref="B6:Z6" si="0">IF(ISBLANK(VLOOKUP($A6,$A$8:$Z$1041,COLUMN(),0)),"",VLOOKUP($A6,$A$8:$Z$1041,COLUMN(),0))</f>
        <v>1-HYDROXYANTHRAQUINONE</v>
      </c>
      <c r="C6" s="439" t="str">
        <f t="shared" si="0"/>
        <v>129-43-1</v>
      </c>
      <c r="D6" s="439" t="str">
        <f t="shared" si="0"/>
        <v>Acid</v>
      </c>
      <c r="E6" s="544">
        <f t="shared" si="0"/>
        <v>9.4700000000000006</v>
      </c>
      <c r="F6" s="544">
        <f t="shared" si="0"/>
        <v>224.22</v>
      </c>
      <c r="G6" s="544" t="str">
        <f t="shared" si="0"/>
        <v/>
      </c>
      <c r="H6" s="545">
        <f t="shared" si="0"/>
        <v>2.7866666659699999E-5</v>
      </c>
      <c r="I6" s="545">
        <f t="shared" si="0"/>
        <v>8.5</v>
      </c>
      <c r="J6" s="545" t="str">
        <f t="shared" si="0"/>
        <v/>
      </c>
      <c r="K6" s="545">
        <f t="shared" si="0"/>
        <v>3311.3112148259115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1.0271107499999999E-5</v>
      </c>
      <c r="R6" s="545">
        <f t="shared" si="0"/>
        <v>2.1393431498763744E-7</v>
      </c>
      <c r="S6" s="545">
        <f t="shared" si="0"/>
        <v>2.3770479443070826E-8</v>
      </c>
      <c r="T6" s="545">
        <f t="shared" si="0"/>
        <v>1.0696715749381872E-7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3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3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3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3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3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3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3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3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3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3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3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3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3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3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3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3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3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3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3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3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3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3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3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3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3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3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3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3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3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3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3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3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3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3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3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3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3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3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3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3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3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3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3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3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3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3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3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3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3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3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3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3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3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3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3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3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3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3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3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3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3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3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3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3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3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3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3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3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3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3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3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3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3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3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3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3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3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3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3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3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3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3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3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3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3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3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3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3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3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3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3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3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3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3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3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3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3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3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3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3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3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3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3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3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3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3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3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3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3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3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3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3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3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3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3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3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3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3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3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3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3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3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3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3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3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3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3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3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3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3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3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3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3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3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3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3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3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3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3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3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3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3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3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3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3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3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3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3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3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3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3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3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3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3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3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3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3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3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3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3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3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3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3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3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3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3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3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3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3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3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3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3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3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3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3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3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3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3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3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3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3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3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3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3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3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3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3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3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3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3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3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3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3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3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3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3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3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3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3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3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3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3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3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3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3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3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3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3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3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3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3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3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3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3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3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3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3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3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3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3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3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3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3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3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3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3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3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3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3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3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3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3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3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3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3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3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3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3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3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3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3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3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3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3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3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3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3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3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3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3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3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3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3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3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3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3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3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3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3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3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3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3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3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3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3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3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3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3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3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3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3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3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3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3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3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3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3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3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3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3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3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3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3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3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3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3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3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3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3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3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3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3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3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3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3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3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3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3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3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3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3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3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3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3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3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3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3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3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3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3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3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3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3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3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3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3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3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3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3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3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3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3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3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3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3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3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3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3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3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3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3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3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3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3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3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3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3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3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3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3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3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3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3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3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3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3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3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3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3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3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3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3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3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3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3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3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3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3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3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3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3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3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3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3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3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3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3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3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3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3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3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3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3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3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3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3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3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3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3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3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3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3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3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3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3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3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3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3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3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3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3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3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3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3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3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3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3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3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3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3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3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3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3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3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3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3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3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3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3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3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3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3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3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3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3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3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3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3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3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3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3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3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3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3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3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3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3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3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3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3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3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3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3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3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3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3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3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3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3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3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3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3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3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3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3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3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3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3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3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3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3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3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3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3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3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3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3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3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3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3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3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3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3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3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3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3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3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3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3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3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3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3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3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3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3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3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3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3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3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3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3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3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3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3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3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3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3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3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3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3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3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3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3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3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3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3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3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3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3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3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3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3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3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3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3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3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3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3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3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3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3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3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3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3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3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3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3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3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3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3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3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3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3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3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3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3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3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3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3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3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3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3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3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3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3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3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3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3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3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3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3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3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3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3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3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3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3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3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3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3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3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3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3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3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3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3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3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3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3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3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3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3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3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3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3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3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3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3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3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3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3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3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3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3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3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3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3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3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3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3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3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3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3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3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3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3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3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3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3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3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3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3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3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3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3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3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3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3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3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3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3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3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3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3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3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3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3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3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3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3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3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3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3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3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3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3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3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3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3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3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3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3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3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3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3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3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3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3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3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3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3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3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3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3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3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3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3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3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3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3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3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3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3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3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3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3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3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3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3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3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3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3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3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3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3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3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3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3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3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3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3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3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3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3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3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3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3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3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3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3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3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3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3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3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3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3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3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3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3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3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3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3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3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3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3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3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3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3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3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3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3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3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3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3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3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3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3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3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3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3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3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3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3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3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3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3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3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3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3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3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3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3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3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3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3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3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3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3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3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3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3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3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3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3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3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3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3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3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3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3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3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3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3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3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3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3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3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3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3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3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3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3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3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3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3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3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3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3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3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3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3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3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3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3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3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3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3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3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3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3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3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3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3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3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3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3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3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3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3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3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3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3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3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3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3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3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3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3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3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3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3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3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3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3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3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3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3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3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3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3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3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3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3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3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3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3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3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3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3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3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3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3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3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3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3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3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3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3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3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3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3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3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3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3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3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3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3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3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3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3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3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3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3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3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3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3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3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3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3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3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3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3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3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3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3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3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3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3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3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3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3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3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3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3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3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3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3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3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3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3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3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3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3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3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3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3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3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3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3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3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3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3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3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3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3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3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3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3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3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3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3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3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3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3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3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3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3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3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3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3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3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3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3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3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3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3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3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3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3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3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3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3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3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3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3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3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3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3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3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3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3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3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3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3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3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3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3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3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3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3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3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3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3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3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3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3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3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3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3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3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3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3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3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3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3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3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3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3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3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3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3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3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3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3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3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3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3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3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3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3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3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3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3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3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3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3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3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3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3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3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3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3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3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3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3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3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3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3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3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3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3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3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3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3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3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3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3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3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3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3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3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3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3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3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3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3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3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3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3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3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3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3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3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3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3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3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3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3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3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3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3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3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3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3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3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3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3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3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3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3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3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3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3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3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3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3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3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3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3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3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3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3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3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3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3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3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3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3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3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3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3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3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3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3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3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3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3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3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3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3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3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3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3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3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3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09375" defaultRowHeight="13.8" x14ac:dyDescent="0.3"/>
  <cols>
    <col min="1" max="5" width="1.6640625" customWidth="1"/>
    <col min="6" max="6" width="45.109375" customWidth="1"/>
    <col min="7" max="7" width="22.6640625" style="79" customWidth="1"/>
    <col min="8" max="8" width="10.6640625" style="79" customWidth="1"/>
    <col min="9" max="30" width="9.109375" style="179"/>
    <col min="31" max="32" width="9.109375" style="144"/>
    <col min="33" max="33" width="3" customWidth="1"/>
    <col min="34" max="16384" width="9.109375" style="19"/>
  </cols>
  <sheetData>
    <row r="1" spans="1:33" ht="12.75" customHeight="1" x14ac:dyDescent="0.3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3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" customHeight="1" x14ac:dyDescent="0.3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3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3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3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3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3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3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3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3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3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3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3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3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3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3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3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3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3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3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3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3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3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3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3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3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3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3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3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3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3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3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3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3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3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3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3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3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3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3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3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3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3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3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3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3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3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3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3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3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3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3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3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3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3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3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3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3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3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3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3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3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3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3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3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3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3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3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3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4.4" thickBot="1" x14ac:dyDescent="0.3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3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AA1018"/>
  <sheetViews>
    <sheetView zoomScaleNormal="100" workbookViewId="0">
      <pane xSplit="7" ySplit="3" topLeftCell="H45" activePane="bottomRight" state="frozen"/>
      <selection pane="topRight" activeCell="H1" sqref="H1"/>
      <selection pane="bottomLeft" activeCell="A4" sqref="A4"/>
      <selection pane="bottomRight" activeCell="U58" sqref="U58"/>
    </sheetView>
  </sheetViews>
  <sheetFormatPr defaultColWidth="9.109375" defaultRowHeight="12.75" customHeight="1" x14ac:dyDescent="0.3"/>
  <cols>
    <col min="1" max="5" width="1.6640625" customWidth="1"/>
    <col min="6" max="6" width="60.6640625" customWidth="1"/>
    <col min="7" max="7" width="22.6640625" style="79" customWidth="1"/>
    <col min="8" max="8" width="10.6640625" style="79" customWidth="1"/>
    <col min="9" max="9" width="9.109375" style="528" customWidth="1"/>
    <col min="10" max="14" width="9.109375" style="430" customWidth="1"/>
    <col min="15" max="19" width="9.109375" style="179" customWidth="1"/>
    <col min="20" max="20" width="3.109375" customWidth="1"/>
    <col min="21" max="16384" width="9.109375" style="18"/>
  </cols>
  <sheetData>
    <row r="1" spans="1:21" ht="12.75" customHeight="1" x14ac:dyDescent="0.3">
      <c r="A1" s="475" t="s">
        <v>1215</v>
      </c>
      <c r="B1" s="29"/>
      <c r="C1" s="29"/>
      <c r="D1" s="29"/>
      <c r="E1" s="29"/>
      <c r="F1" s="29"/>
      <c r="G1" s="29"/>
      <c r="H1" s="36"/>
      <c r="I1" s="520"/>
      <c r="J1" s="342"/>
      <c r="K1" s="342"/>
      <c r="L1" s="342"/>
      <c r="M1" s="342"/>
      <c r="N1" s="342"/>
      <c r="O1" s="360"/>
      <c r="P1" s="360"/>
      <c r="Q1" s="360"/>
      <c r="R1" s="360"/>
      <c r="S1" s="360"/>
      <c r="T1" s="158"/>
    </row>
    <row r="2" spans="1:21" ht="12.75" customHeight="1" thickBot="1" x14ac:dyDescent="0.35">
      <c r="A2" s="20"/>
      <c r="B2" s="29"/>
      <c r="C2" s="29"/>
      <c r="D2" s="29"/>
      <c r="E2" s="29"/>
      <c r="F2" s="29"/>
      <c r="G2" s="29"/>
      <c r="H2" s="36"/>
      <c r="I2" s="520"/>
      <c r="J2" s="427"/>
      <c r="K2" s="427"/>
      <c r="L2" s="427"/>
      <c r="M2" s="427"/>
      <c r="N2" s="427"/>
      <c r="O2" s="421"/>
      <c r="P2" s="421"/>
      <c r="Q2" s="421"/>
      <c r="R2" s="421"/>
      <c r="S2" s="421"/>
      <c r="T2" s="158"/>
    </row>
    <row r="3" spans="1:21" ht="26.4" customHeight="1" x14ac:dyDescent="0.3">
      <c r="A3" s="132"/>
      <c r="B3" s="132"/>
      <c r="C3" s="132"/>
      <c r="D3" s="132"/>
      <c r="E3" s="132"/>
      <c r="F3" s="132"/>
      <c r="G3" s="628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4059</v>
      </c>
      <c r="M3" s="428" t="s">
        <v>4060</v>
      </c>
      <c r="N3" s="428" t="s">
        <v>2201</v>
      </c>
      <c r="O3" s="423" t="s">
        <v>2203</v>
      </c>
      <c r="P3" s="423" t="s">
        <v>2206</v>
      </c>
      <c r="Q3" s="423" t="s">
        <v>2204</v>
      </c>
      <c r="R3" s="423" t="s">
        <v>2205</v>
      </c>
      <c r="S3" s="423" t="s">
        <v>2207</v>
      </c>
      <c r="T3" s="158"/>
      <c r="U3" s="18" t="s">
        <v>4058</v>
      </c>
    </row>
    <row r="4" spans="1:21" ht="12.75" customHeight="1" x14ac:dyDescent="0.3">
      <c r="A4" s="92"/>
      <c r="B4" s="92"/>
      <c r="C4" s="92"/>
      <c r="D4" s="92"/>
      <c r="E4" s="92"/>
      <c r="F4" s="92"/>
      <c r="G4" s="93"/>
      <c r="H4" s="133"/>
      <c r="I4" s="520"/>
      <c r="J4" s="429"/>
      <c r="K4" s="429"/>
      <c r="L4" s="429"/>
      <c r="M4" s="429"/>
      <c r="N4" s="433"/>
      <c r="O4" s="422"/>
      <c r="P4" s="422"/>
      <c r="Q4" s="422"/>
      <c r="R4" s="422"/>
      <c r="S4" s="422"/>
      <c r="T4" s="158"/>
    </row>
    <row r="5" spans="1:21" ht="26.4" customHeight="1" x14ac:dyDescent="0.3">
      <c r="A5" s="92" t="s">
        <v>1360</v>
      </c>
      <c r="B5" s="92"/>
      <c r="C5" s="92"/>
      <c r="D5" s="92"/>
      <c r="E5" s="92"/>
      <c r="F5" s="92"/>
      <c r="G5" s="93" t="s">
        <v>694</v>
      </c>
      <c r="H5" s="133"/>
      <c r="I5" s="522"/>
      <c r="J5" s="449"/>
      <c r="K5" s="449"/>
      <c r="L5" s="449"/>
      <c r="M5" s="449"/>
      <c r="N5" s="449"/>
      <c r="O5" s="450"/>
      <c r="P5" s="450"/>
      <c r="Q5" s="450"/>
      <c r="R5" s="450"/>
      <c r="S5" s="450"/>
      <c r="T5" s="158"/>
    </row>
    <row r="6" spans="1:21" ht="12.75" customHeight="1" x14ac:dyDescent="0.3">
      <c r="A6" s="36"/>
      <c r="B6" s="36"/>
      <c r="C6" s="174"/>
      <c r="D6" s="174"/>
      <c r="E6" s="174"/>
      <c r="F6" s="174"/>
      <c r="G6" s="36" t="s">
        <v>2014</v>
      </c>
      <c r="H6" s="399"/>
      <c r="I6" s="522"/>
      <c r="J6" s="451"/>
      <c r="K6" s="451"/>
      <c r="L6" s="451"/>
      <c r="M6" s="451"/>
      <c r="N6" s="451"/>
      <c r="O6" s="452"/>
      <c r="P6" s="452"/>
      <c r="Q6" s="452"/>
      <c r="R6" s="452"/>
      <c r="S6" s="452"/>
      <c r="T6" s="158"/>
    </row>
    <row r="7" spans="1:21" ht="12.75" customHeight="1" x14ac:dyDescent="0.3">
      <c r="A7" s="36"/>
      <c r="B7" s="29"/>
      <c r="C7" s="29"/>
      <c r="D7" s="29"/>
      <c r="E7" s="29"/>
      <c r="F7" s="29"/>
      <c r="G7" s="93"/>
      <c r="H7" s="133"/>
      <c r="I7" s="522"/>
      <c r="J7" s="449"/>
      <c r="K7" s="449"/>
      <c r="L7" s="449"/>
      <c r="M7" s="449"/>
      <c r="N7" s="451"/>
      <c r="O7" s="452"/>
      <c r="P7" s="452"/>
      <c r="Q7" s="452"/>
      <c r="R7" s="452"/>
      <c r="S7" s="452"/>
      <c r="T7" s="158"/>
    </row>
    <row r="8" spans="1:21" ht="26.4" customHeight="1" x14ac:dyDescent="0.3">
      <c r="A8" s="92" t="s">
        <v>809</v>
      </c>
      <c r="B8" s="92"/>
      <c r="C8" s="92"/>
      <c r="D8" s="92"/>
      <c r="E8" s="92"/>
      <c r="F8" s="92"/>
      <c r="G8" s="93" t="s">
        <v>1100</v>
      </c>
      <c r="H8" s="133"/>
      <c r="I8" s="522"/>
      <c r="J8" s="449"/>
      <c r="K8" s="449"/>
      <c r="L8" s="449"/>
      <c r="M8" s="449"/>
      <c r="N8" s="449"/>
      <c r="O8" s="450"/>
      <c r="P8" s="450"/>
      <c r="Q8" s="450"/>
      <c r="R8" s="450"/>
      <c r="S8" s="450"/>
      <c r="T8" s="158"/>
    </row>
    <row r="9" spans="1:21" ht="12.75" customHeight="1" x14ac:dyDescent="0.3">
      <c r="A9" s="92"/>
      <c r="B9" s="92"/>
      <c r="C9" s="92"/>
      <c r="D9" s="92"/>
      <c r="E9" s="92"/>
      <c r="F9" s="92"/>
      <c r="G9" s="93"/>
      <c r="H9" s="133"/>
      <c r="I9" s="522"/>
      <c r="J9" s="449"/>
      <c r="K9" s="449"/>
      <c r="L9" s="449"/>
      <c r="M9" s="449"/>
      <c r="N9" s="453"/>
      <c r="O9" s="454"/>
      <c r="P9" s="454"/>
      <c r="Q9" s="454"/>
      <c r="R9" s="454"/>
      <c r="S9" s="454"/>
      <c r="T9" s="158"/>
    </row>
    <row r="10" spans="1:21" ht="26.4" customHeight="1" x14ac:dyDescent="0.3">
      <c r="A10" s="92" t="s">
        <v>1213</v>
      </c>
      <c r="B10" s="92"/>
      <c r="C10" s="92"/>
      <c r="D10" s="92"/>
      <c r="E10" s="92"/>
      <c r="F10" s="92"/>
      <c r="G10" s="93" t="s">
        <v>1214</v>
      </c>
      <c r="H10" s="133"/>
      <c r="I10" s="522"/>
      <c r="J10" s="449"/>
      <c r="K10" s="449"/>
      <c r="L10" s="449"/>
      <c r="M10" s="449"/>
      <c r="N10" s="449"/>
      <c r="O10" s="450"/>
      <c r="P10" s="450"/>
      <c r="Q10" s="450"/>
      <c r="R10" s="450"/>
      <c r="S10" s="450"/>
      <c r="T10" s="158"/>
    </row>
    <row r="11" spans="1:21" ht="13.5" customHeight="1" x14ac:dyDescent="0.3">
      <c r="A11" s="29"/>
      <c r="B11" s="29"/>
      <c r="C11" s="29"/>
      <c r="D11" s="29"/>
      <c r="E11" s="29"/>
      <c r="F11" s="29"/>
      <c r="G11" s="36"/>
      <c r="H11" s="36"/>
      <c r="I11" s="457"/>
      <c r="J11" s="455"/>
      <c r="K11" s="455"/>
      <c r="L11" s="455"/>
      <c r="M11" s="455"/>
      <c r="N11" s="455"/>
      <c r="O11" s="456"/>
      <c r="P11" s="456"/>
      <c r="Q11" s="456"/>
      <c r="R11" s="456"/>
      <c r="S11" s="456"/>
      <c r="T11" s="158"/>
    </row>
    <row r="12" spans="1:21" ht="12.75" customHeight="1" x14ac:dyDescent="0.3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457"/>
      <c r="K12" s="457"/>
      <c r="L12" s="457" t="s">
        <v>754</v>
      </c>
      <c r="M12" s="457" t="s">
        <v>754</v>
      </c>
      <c r="N12" s="457"/>
      <c r="O12" s="458"/>
      <c r="P12" s="458"/>
      <c r="Q12" s="458"/>
      <c r="R12" s="458"/>
      <c r="S12" s="458"/>
      <c r="T12" s="158"/>
    </row>
    <row r="13" spans="1:21" ht="12.75" customHeight="1" x14ac:dyDescent="0.3">
      <c r="A13" s="36"/>
      <c r="B13" s="29"/>
      <c r="C13" s="29"/>
      <c r="D13" s="29"/>
      <c r="E13" s="29"/>
      <c r="F13" s="29"/>
      <c r="G13" s="36"/>
      <c r="H13" s="36"/>
      <c r="I13" s="342"/>
      <c r="J13" s="342"/>
      <c r="K13" s="342"/>
      <c r="L13" s="342"/>
      <c r="M13" s="342"/>
      <c r="N13" s="342"/>
      <c r="O13" s="360"/>
      <c r="P13" s="360"/>
      <c r="Q13" s="360"/>
      <c r="R13" s="360"/>
      <c r="S13" s="360"/>
      <c r="T13" s="158"/>
    </row>
    <row r="14" spans="1:21" ht="12.75" customHeight="1" x14ac:dyDescent="0.3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522">
        <f>input!I14</f>
        <v>0</v>
      </c>
      <c r="J14" s="451"/>
      <c r="K14" s="451"/>
      <c r="L14" s="451"/>
      <c r="M14" s="451"/>
      <c r="N14" s="451"/>
      <c r="O14" s="452"/>
      <c r="P14" s="452"/>
      <c r="Q14" s="452"/>
      <c r="R14" s="452"/>
      <c r="S14" s="452"/>
      <c r="T14" s="158"/>
    </row>
    <row r="15" spans="1:21" ht="12.75" customHeight="1" x14ac:dyDescent="0.3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1"/>
      <c r="N15" s="451"/>
      <c r="O15" s="452"/>
      <c r="P15" s="452"/>
      <c r="Q15" s="452"/>
      <c r="R15" s="452"/>
      <c r="S15" s="452"/>
      <c r="T15" s="158"/>
    </row>
    <row r="16" spans="1:21" ht="12.75" customHeight="1" x14ac:dyDescent="0.3">
      <c r="A16" s="29"/>
      <c r="B16" s="36"/>
      <c r="C16" s="29"/>
      <c r="D16" s="29"/>
      <c r="E16" s="29"/>
      <c r="F16" s="29"/>
      <c r="G16" s="36"/>
      <c r="H16" s="36"/>
      <c r="I16" s="523"/>
      <c r="J16" s="459"/>
      <c r="K16" s="459"/>
      <c r="L16" s="459"/>
      <c r="M16" s="459"/>
      <c r="N16" s="459"/>
      <c r="O16" s="460"/>
      <c r="P16" s="460"/>
      <c r="Q16" s="460"/>
      <c r="R16" s="460"/>
      <c r="S16" s="460"/>
      <c r="T16" s="158"/>
    </row>
    <row r="17" spans="1:20" ht="12.75" customHeight="1" x14ac:dyDescent="0.3">
      <c r="A17" s="36"/>
      <c r="B17" s="36" t="s">
        <v>595</v>
      </c>
      <c r="C17" s="29"/>
      <c r="D17" s="29"/>
      <c r="E17" s="29"/>
      <c r="F17" s="29"/>
      <c r="G17" s="94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1"/>
      <c r="N17" s="451"/>
      <c r="O17" s="452"/>
      <c r="P17" s="452"/>
      <c r="Q17" s="452"/>
      <c r="R17" s="452"/>
      <c r="S17" s="452"/>
      <c r="T17" s="158"/>
    </row>
    <row r="18" spans="1:20" ht="12.75" customHeight="1" x14ac:dyDescent="0.3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1"/>
      <c r="N18" s="451"/>
      <c r="O18" s="452"/>
      <c r="P18" s="452"/>
      <c r="Q18" s="452"/>
      <c r="R18" s="452"/>
      <c r="S18" s="452"/>
      <c r="T18" s="158"/>
    </row>
    <row r="19" spans="1:20" ht="12.75" customHeight="1" x14ac:dyDescent="0.3">
      <c r="A19" s="36"/>
      <c r="B19" s="36" t="s">
        <v>3951</v>
      </c>
      <c r="C19" s="95"/>
      <c r="D19" s="29"/>
      <c r="E19" s="29"/>
      <c r="F19" s="29"/>
      <c r="G19" s="94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1"/>
      <c r="N19" s="451"/>
      <c r="O19" s="452"/>
      <c r="P19" s="452"/>
      <c r="Q19" s="452"/>
      <c r="R19" s="452"/>
      <c r="S19" s="452"/>
      <c r="T19" s="158"/>
    </row>
    <row r="20" spans="1:20" ht="12.75" customHeight="1" x14ac:dyDescent="0.3">
      <c r="A20" s="29"/>
      <c r="B20" s="29"/>
      <c r="C20" s="36" t="s">
        <v>3953</v>
      </c>
      <c r="D20" s="29"/>
      <c r="E20" s="29"/>
      <c r="F20" s="29"/>
      <c r="G20" s="37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1"/>
      <c r="N20" s="451"/>
      <c r="O20" s="452"/>
      <c r="P20" s="452"/>
      <c r="Q20" s="452"/>
      <c r="R20" s="452"/>
      <c r="S20" s="452"/>
      <c r="T20" s="158"/>
    </row>
    <row r="21" spans="1:20" ht="12.75" customHeight="1" x14ac:dyDescent="0.3">
      <c r="A21" s="29"/>
      <c r="B21" s="29"/>
      <c r="C21" s="36" t="s">
        <v>3954</v>
      </c>
      <c r="D21" s="29"/>
      <c r="E21" s="29"/>
      <c r="F21" s="29"/>
      <c r="G21" s="37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1"/>
      <c r="N21" s="451"/>
      <c r="O21" s="452"/>
      <c r="P21" s="452"/>
      <c r="Q21" s="452"/>
      <c r="R21" s="452"/>
      <c r="S21" s="452"/>
      <c r="T21" s="158"/>
    </row>
    <row r="22" spans="1:20" ht="12.75" customHeight="1" x14ac:dyDescent="0.3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522">
        <f>input!I22</f>
        <v>0</v>
      </c>
      <c r="J22" s="451"/>
      <c r="K22" s="451"/>
      <c r="L22" s="451"/>
      <c r="M22" s="451"/>
      <c r="N22" s="451"/>
      <c r="O22" s="452"/>
      <c r="P22" s="452"/>
      <c r="Q22" s="452"/>
      <c r="R22" s="452"/>
      <c r="S22" s="452"/>
      <c r="T22" s="158"/>
    </row>
    <row r="23" spans="1:20" ht="12.75" customHeight="1" x14ac:dyDescent="0.3">
      <c r="A23" s="29"/>
      <c r="B23" s="29"/>
      <c r="C23" s="36" t="s">
        <v>3956</v>
      </c>
      <c r="D23" s="29"/>
      <c r="E23" s="29"/>
      <c r="F23" s="29"/>
      <c r="G23" s="37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1"/>
      <c r="N23" s="451"/>
      <c r="O23" s="452"/>
      <c r="P23" s="452"/>
      <c r="Q23" s="452"/>
      <c r="R23" s="452"/>
      <c r="S23" s="452"/>
      <c r="T23" s="158"/>
    </row>
    <row r="24" spans="1:20" ht="12.75" customHeight="1" x14ac:dyDescent="0.3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522">
        <f>input!I24</f>
        <v>0</v>
      </c>
      <c r="J24" s="451"/>
      <c r="K24" s="451"/>
      <c r="L24" s="451"/>
      <c r="M24" s="451"/>
      <c r="N24" s="451">
        <v>1</v>
      </c>
      <c r="O24" s="452">
        <v>1</v>
      </c>
      <c r="P24" s="452">
        <v>1</v>
      </c>
      <c r="Q24" s="452">
        <v>1</v>
      </c>
      <c r="R24" s="452">
        <v>1</v>
      </c>
      <c r="S24" s="452"/>
      <c r="T24" s="158"/>
    </row>
    <row r="25" spans="1:20" ht="12.75" customHeight="1" x14ac:dyDescent="0.3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522">
        <f>input!I25</f>
        <v>0</v>
      </c>
      <c r="J25" s="451"/>
      <c r="K25" s="451"/>
      <c r="L25" s="451"/>
      <c r="M25" s="451"/>
      <c r="N25" s="451">
        <v>1</v>
      </c>
      <c r="O25" s="452">
        <v>1</v>
      </c>
      <c r="P25" s="452">
        <v>1</v>
      </c>
      <c r="Q25" s="452">
        <v>1</v>
      </c>
      <c r="R25" s="452">
        <v>1</v>
      </c>
      <c r="S25" s="452"/>
      <c r="T25" s="158"/>
    </row>
    <row r="26" spans="1:20" ht="12.75" customHeight="1" x14ac:dyDescent="0.3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522">
        <f>input!I26</f>
        <v>0</v>
      </c>
      <c r="J26" s="451"/>
      <c r="K26" s="451"/>
      <c r="L26" s="451"/>
      <c r="M26" s="451"/>
      <c r="N26" s="451">
        <v>1</v>
      </c>
      <c r="O26" s="452">
        <v>1</v>
      </c>
      <c r="P26" s="452">
        <v>1</v>
      </c>
      <c r="Q26" s="452">
        <v>1</v>
      </c>
      <c r="R26" s="452">
        <v>1</v>
      </c>
      <c r="S26" s="452"/>
      <c r="T26" s="158"/>
    </row>
    <row r="27" spans="1:20" ht="12.75" customHeight="1" x14ac:dyDescent="0.3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522">
        <f>input!I27</f>
        <v>0</v>
      </c>
      <c r="J27" s="451"/>
      <c r="K27" s="451"/>
      <c r="L27" s="451"/>
      <c r="M27" s="451"/>
      <c r="N27" s="451">
        <v>1</v>
      </c>
      <c r="O27" s="452">
        <v>1</v>
      </c>
      <c r="P27" s="452">
        <v>1</v>
      </c>
      <c r="Q27" s="452">
        <v>1</v>
      </c>
      <c r="R27" s="452">
        <v>1</v>
      </c>
      <c r="S27" s="452"/>
      <c r="T27" s="158"/>
    </row>
    <row r="28" spans="1:20" ht="12.75" customHeight="1" x14ac:dyDescent="0.3">
      <c r="A28" s="4"/>
      <c r="B28" s="29"/>
      <c r="C28" s="29" t="s">
        <v>650</v>
      </c>
      <c r="D28" s="29"/>
      <c r="E28" s="29"/>
      <c r="F28" s="29"/>
      <c r="G28" s="36" t="s">
        <v>601</v>
      </c>
      <c r="H28" s="36"/>
      <c r="I28" s="522">
        <f>input!I28</f>
        <v>0</v>
      </c>
      <c r="J28" s="451"/>
      <c r="K28" s="451"/>
      <c r="L28" s="451"/>
      <c r="M28" s="451"/>
      <c r="N28" s="451">
        <v>1</v>
      </c>
      <c r="O28" s="452">
        <v>1</v>
      </c>
      <c r="P28" s="452">
        <v>1</v>
      </c>
      <c r="Q28" s="452">
        <v>1</v>
      </c>
      <c r="R28" s="452">
        <v>1</v>
      </c>
      <c r="S28" s="452"/>
      <c r="T28" s="158"/>
    </row>
    <row r="29" spans="1:20" ht="12.75" customHeight="1" x14ac:dyDescent="0.3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522">
        <f>input!I29</f>
        <v>0</v>
      </c>
      <c r="J29" s="451"/>
      <c r="K29" s="451"/>
      <c r="L29" s="451"/>
      <c r="M29" s="451"/>
      <c r="N29" s="451">
        <v>1</v>
      </c>
      <c r="O29" s="452">
        <v>1</v>
      </c>
      <c r="P29" s="452">
        <v>1</v>
      </c>
      <c r="Q29" s="452">
        <v>1</v>
      </c>
      <c r="R29" s="452">
        <v>1</v>
      </c>
      <c r="S29" s="452"/>
      <c r="T29" s="158"/>
    </row>
    <row r="30" spans="1:20" ht="12.75" customHeight="1" x14ac:dyDescent="0.3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522">
        <f>input!I30</f>
        <v>0</v>
      </c>
      <c r="J30" s="451"/>
      <c r="K30" s="451"/>
      <c r="L30" s="451"/>
      <c r="M30" s="451"/>
      <c r="N30" s="451">
        <v>1</v>
      </c>
      <c r="O30" s="452">
        <v>1</v>
      </c>
      <c r="P30" s="452">
        <v>1</v>
      </c>
      <c r="Q30" s="452">
        <v>1</v>
      </c>
      <c r="R30" s="452">
        <v>1</v>
      </c>
      <c r="S30" s="452"/>
      <c r="T30" s="158"/>
    </row>
    <row r="31" spans="1:20" ht="12.75" customHeight="1" x14ac:dyDescent="0.3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522">
        <f>input!I31</f>
        <v>0</v>
      </c>
      <c r="J31" s="451"/>
      <c r="K31" s="451"/>
      <c r="L31" s="451"/>
      <c r="M31" s="451"/>
      <c r="N31" s="451">
        <v>1</v>
      </c>
      <c r="O31" s="452">
        <v>1</v>
      </c>
      <c r="P31" s="452">
        <v>1</v>
      </c>
      <c r="Q31" s="452">
        <v>1</v>
      </c>
      <c r="R31" s="452">
        <v>1</v>
      </c>
      <c r="S31" s="452"/>
      <c r="T31" s="158"/>
    </row>
    <row r="32" spans="1:20" ht="12.75" customHeight="1" x14ac:dyDescent="0.3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522">
        <f>input!I32</f>
        <v>0</v>
      </c>
      <c r="J32" s="451"/>
      <c r="K32" s="451"/>
      <c r="L32" s="451"/>
      <c r="M32" s="451"/>
      <c r="N32" s="451">
        <v>1</v>
      </c>
      <c r="O32" s="452">
        <v>1</v>
      </c>
      <c r="P32" s="452">
        <v>1</v>
      </c>
      <c r="Q32" s="452">
        <v>1</v>
      </c>
      <c r="R32" s="452">
        <v>1</v>
      </c>
      <c r="S32" s="452"/>
      <c r="T32" s="158"/>
    </row>
    <row r="33" spans="1:20" ht="12.75" customHeight="1" x14ac:dyDescent="0.3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522">
        <f>input!I33</f>
        <v>0</v>
      </c>
      <c r="J33" s="451"/>
      <c r="K33" s="451"/>
      <c r="L33" s="451"/>
      <c r="M33" s="451"/>
      <c r="N33" s="451">
        <v>1</v>
      </c>
      <c r="O33" s="452">
        <v>1</v>
      </c>
      <c r="P33" s="452">
        <v>1</v>
      </c>
      <c r="Q33" s="452">
        <v>1</v>
      </c>
      <c r="R33" s="452">
        <v>1</v>
      </c>
      <c r="S33" s="452"/>
      <c r="T33" s="158"/>
    </row>
    <row r="34" spans="1:20" ht="12.75" customHeight="1" x14ac:dyDescent="0.3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522">
        <f>input!I34</f>
        <v>0</v>
      </c>
      <c r="J34" s="451"/>
      <c r="K34" s="451"/>
      <c r="L34" s="451"/>
      <c r="M34" s="451"/>
      <c r="N34" s="451">
        <v>1</v>
      </c>
      <c r="O34" s="452">
        <v>1</v>
      </c>
      <c r="P34" s="452">
        <v>1</v>
      </c>
      <c r="Q34" s="452">
        <v>1</v>
      </c>
      <c r="R34" s="452">
        <v>1</v>
      </c>
      <c r="S34" s="452"/>
      <c r="T34" s="158"/>
    </row>
    <row r="35" spans="1:20" ht="12.75" customHeight="1" x14ac:dyDescent="0.3">
      <c r="A35" s="29"/>
      <c r="B35" s="29"/>
      <c r="C35" s="29" t="s">
        <v>3957</v>
      </c>
      <c r="D35" s="29"/>
      <c r="E35" s="29"/>
      <c r="F35" s="29"/>
      <c r="G35" s="96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1"/>
      <c r="N35" s="451"/>
      <c r="O35" s="452"/>
      <c r="P35" s="452"/>
      <c r="Q35" s="452"/>
      <c r="R35" s="452"/>
      <c r="S35" s="452"/>
      <c r="T35" s="158"/>
    </row>
    <row r="36" spans="1:20" ht="12.75" customHeight="1" x14ac:dyDescent="0.3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2305</v>
      </c>
      <c r="I36" s="522">
        <f>input!I36</f>
        <v>0</v>
      </c>
      <c r="J36" s="451"/>
      <c r="K36" s="451"/>
      <c r="L36" s="451"/>
      <c r="M36" s="451"/>
      <c r="N36" s="451">
        <v>50</v>
      </c>
      <c r="O36" s="452">
        <v>50</v>
      </c>
      <c r="P36" s="452">
        <v>50</v>
      </c>
      <c r="Q36" s="452"/>
      <c r="R36" s="452">
        <v>50</v>
      </c>
      <c r="S36" s="452">
        <v>50</v>
      </c>
      <c r="T36" s="158"/>
    </row>
    <row r="37" spans="1:20" ht="12.75" customHeight="1" x14ac:dyDescent="0.3">
      <c r="A37" s="29"/>
      <c r="B37" s="36"/>
      <c r="C37" s="36" t="s">
        <v>3958</v>
      </c>
      <c r="D37" s="29"/>
      <c r="E37" s="29"/>
      <c r="F37" s="29"/>
      <c r="G37" s="37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1"/>
      <c r="N37" s="451"/>
      <c r="O37" s="452"/>
      <c r="P37" s="452"/>
      <c r="Q37" s="452"/>
      <c r="R37" s="452"/>
      <c r="S37" s="452"/>
      <c r="T37" s="158"/>
    </row>
    <row r="38" spans="1:20" ht="12.75" customHeight="1" x14ac:dyDescent="0.3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1"/>
      <c r="N38" s="451"/>
      <c r="O38" s="452"/>
      <c r="P38" s="452"/>
      <c r="Q38" s="452"/>
      <c r="R38" s="452"/>
      <c r="S38" s="452"/>
      <c r="T38" s="158"/>
    </row>
    <row r="39" spans="1:20" ht="12.75" customHeight="1" x14ac:dyDescent="0.3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1"/>
      <c r="N39" s="451"/>
      <c r="O39" s="452"/>
      <c r="P39" s="452"/>
      <c r="Q39" s="452"/>
      <c r="R39" s="452"/>
      <c r="S39" s="452"/>
      <c r="T39" s="158"/>
    </row>
    <row r="40" spans="1:20" ht="12.75" customHeight="1" x14ac:dyDescent="0.3">
      <c r="A40" s="29"/>
      <c r="B40" s="29"/>
      <c r="C40" s="29"/>
      <c r="D40" s="29"/>
      <c r="E40" s="29"/>
      <c r="F40" s="29"/>
      <c r="G40" s="96"/>
      <c r="H40" s="29"/>
      <c r="I40" s="524"/>
      <c r="J40" s="342"/>
      <c r="K40" s="342"/>
      <c r="L40" s="342"/>
      <c r="M40" s="342"/>
      <c r="N40" s="342"/>
      <c r="O40" s="360"/>
      <c r="P40" s="360"/>
      <c r="Q40" s="360"/>
      <c r="R40" s="360"/>
      <c r="S40" s="360"/>
      <c r="T40" s="158"/>
    </row>
    <row r="41" spans="1:20" ht="12.75" customHeight="1" x14ac:dyDescent="0.3">
      <c r="A41" s="29"/>
      <c r="B41" s="435" t="s">
        <v>2148</v>
      </c>
      <c r="C41" s="629"/>
      <c r="D41" s="629"/>
      <c r="E41" s="629"/>
      <c r="F41" s="629"/>
      <c r="G41" s="630"/>
      <c r="H41" s="436"/>
      <c r="I41" s="524"/>
      <c r="J41" s="459"/>
      <c r="K41" s="459"/>
      <c r="L41" s="459"/>
      <c r="M41" s="459"/>
      <c r="N41" s="459"/>
      <c r="O41" s="460"/>
      <c r="P41" s="460"/>
      <c r="Q41" s="460"/>
      <c r="R41" s="460"/>
      <c r="S41" s="460"/>
      <c r="T41" s="158"/>
    </row>
    <row r="42" spans="1:20" ht="12.75" customHeight="1" x14ac:dyDescent="0.3">
      <c r="A42" s="29"/>
      <c r="B42" s="36"/>
      <c r="C42" s="36" t="s">
        <v>620</v>
      </c>
      <c r="D42" s="36"/>
      <c r="E42" s="36"/>
      <c r="F42" s="36"/>
      <c r="G42" s="36"/>
      <c r="H42" s="36"/>
      <c r="I42" s="524"/>
      <c r="J42" s="459"/>
      <c r="K42" s="459"/>
      <c r="L42" s="459"/>
      <c r="M42" s="459"/>
      <c r="N42" s="459"/>
      <c r="O42" s="460"/>
      <c r="P42" s="460"/>
      <c r="Q42" s="460"/>
      <c r="R42" s="460"/>
      <c r="S42" s="460"/>
      <c r="T42" s="158"/>
    </row>
    <row r="43" spans="1:20" ht="12.75" customHeight="1" x14ac:dyDescent="0.3">
      <c r="A43" s="29"/>
      <c r="B43" s="36"/>
      <c r="C43" s="36" t="s">
        <v>618</v>
      </c>
      <c r="D43" s="36"/>
      <c r="E43" s="36"/>
      <c r="F43" s="36"/>
      <c r="G43" s="36"/>
      <c r="H43" s="36"/>
      <c r="I43" s="524"/>
      <c r="J43" s="459"/>
      <c r="K43" s="459"/>
      <c r="L43" s="459"/>
      <c r="M43" s="459"/>
      <c r="N43" s="459"/>
      <c r="O43" s="460"/>
      <c r="P43" s="460"/>
      <c r="Q43" s="460"/>
      <c r="R43" s="460"/>
      <c r="S43" s="460"/>
      <c r="T43" s="158"/>
    </row>
    <row r="44" spans="1:20" ht="12.75" customHeight="1" x14ac:dyDescent="0.3">
      <c r="A44" s="29"/>
      <c r="B44" s="36"/>
      <c r="C44" s="36" t="s">
        <v>619</v>
      </c>
      <c r="D44" s="36"/>
      <c r="E44" s="36"/>
      <c r="F44" s="36"/>
      <c r="G44" s="36"/>
      <c r="H44" s="36"/>
      <c r="I44" s="524"/>
      <c r="J44" s="459"/>
      <c r="K44" s="459"/>
      <c r="L44" s="459"/>
      <c r="M44" s="459"/>
      <c r="N44" s="459"/>
      <c r="O44" s="460"/>
      <c r="P44" s="460"/>
      <c r="Q44" s="460"/>
      <c r="R44" s="460"/>
      <c r="S44" s="460"/>
      <c r="T44" s="158"/>
    </row>
    <row r="45" spans="1:20" ht="12.75" customHeight="1" x14ac:dyDescent="0.3">
      <c r="A45" s="29"/>
      <c r="B45" s="36"/>
      <c r="C45" s="36" t="s">
        <v>1747</v>
      </c>
      <c r="D45" s="36"/>
      <c r="E45" s="36"/>
      <c r="F45" s="36"/>
      <c r="G45" s="36"/>
      <c r="H45" s="36"/>
      <c r="I45" s="524"/>
      <c r="J45" s="459"/>
      <c r="K45" s="459"/>
      <c r="L45" s="459"/>
      <c r="M45" s="459"/>
      <c r="N45" s="459"/>
      <c r="O45" s="460"/>
      <c r="P45" s="460"/>
      <c r="Q45" s="460"/>
      <c r="R45" s="460"/>
      <c r="S45" s="460"/>
      <c r="T45" s="158"/>
    </row>
    <row r="46" spans="1:20" ht="12.75" customHeight="1" x14ac:dyDescent="0.3">
      <c r="A46" s="29"/>
      <c r="B46" s="36"/>
      <c r="C46" s="36" t="s">
        <v>657</v>
      </c>
      <c r="D46" s="36"/>
      <c r="E46" s="36"/>
      <c r="F46" s="36"/>
      <c r="G46" s="36"/>
      <c r="H46" s="36"/>
      <c r="I46" s="524"/>
      <c r="J46" s="459"/>
      <c r="K46" s="459"/>
      <c r="L46" s="459"/>
      <c r="M46" s="459"/>
      <c r="N46" s="459"/>
      <c r="O46" s="460"/>
      <c r="P46" s="460"/>
      <c r="Q46" s="460"/>
      <c r="R46" s="460"/>
      <c r="S46" s="460"/>
      <c r="T46" s="158"/>
    </row>
    <row r="47" spans="1:20" ht="12.75" customHeight="1" x14ac:dyDescent="0.3">
      <c r="A47" s="29"/>
      <c r="B47" s="36"/>
      <c r="C47" s="36" t="s">
        <v>386</v>
      </c>
      <c r="D47" s="36"/>
      <c r="E47" s="36"/>
      <c r="F47" s="36"/>
      <c r="G47" s="36"/>
      <c r="H47" s="36"/>
      <c r="I47" s="524"/>
      <c r="J47" s="459"/>
      <c r="K47" s="459"/>
      <c r="L47" s="459"/>
      <c r="M47" s="459"/>
      <c r="N47" s="459"/>
      <c r="O47" s="460"/>
      <c r="P47" s="460"/>
      <c r="Q47" s="460"/>
      <c r="R47" s="460"/>
      <c r="S47" s="460"/>
      <c r="T47" s="158"/>
    </row>
    <row r="48" spans="1:20" ht="12.75" customHeight="1" x14ac:dyDescent="0.3">
      <c r="A48" s="29"/>
      <c r="B48" s="36"/>
      <c r="C48" s="36" t="s">
        <v>387</v>
      </c>
      <c r="D48" s="36"/>
      <c r="E48" s="36"/>
      <c r="F48" s="36"/>
      <c r="G48" s="36"/>
      <c r="H48" s="36"/>
      <c r="I48" s="524"/>
      <c r="J48" s="459"/>
      <c r="K48" s="459"/>
      <c r="L48" s="459"/>
      <c r="M48" s="459"/>
      <c r="N48" s="459"/>
      <c r="O48" s="460"/>
      <c r="P48" s="460"/>
      <c r="Q48" s="460"/>
      <c r="R48" s="460"/>
      <c r="S48" s="460"/>
      <c r="T48" s="158"/>
    </row>
    <row r="49" spans="1:20" ht="12.75" customHeight="1" x14ac:dyDescent="0.3">
      <c r="A49" s="29"/>
      <c r="B49" s="36"/>
      <c r="C49" s="36" t="s">
        <v>388</v>
      </c>
      <c r="D49" s="36"/>
      <c r="E49" s="36"/>
      <c r="F49" s="36"/>
      <c r="G49" s="36"/>
      <c r="H49" s="36"/>
      <c r="I49" s="524"/>
      <c r="J49" s="459"/>
      <c r="K49" s="459"/>
      <c r="L49" s="459"/>
      <c r="M49" s="459"/>
      <c r="N49" s="459"/>
      <c r="O49" s="460"/>
      <c r="P49" s="460"/>
      <c r="Q49" s="460"/>
      <c r="R49" s="460"/>
      <c r="S49" s="460"/>
      <c r="T49" s="158"/>
    </row>
    <row r="50" spans="1:20" ht="12.75" customHeight="1" x14ac:dyDescent="0.3">
      <c r="A50" s="29"/>
      <c r="B50" s="36"/>
      <c r="C50" s="36" t="s">
        <v>389</v>
      </c>
      <c r="D50" s="36"/>
      <c r="E50" s="36"/>
      <c r="F50" s="36"/>
      <c r="G50" s="36"/>
      <c r="H50" s="36"/>
      <c r="I50" s="524"/>
      <c r="J50" s="459"/>
      <c r="K50" s="459"/>
      <c r="L50" s="459"/>
      <c r="M50" s="459"/>
      <c r="N50" s="459"/>
      <c r="O50" s="460"/>
      <c r="P50" s="460"/>
      <c r="Q50" s="460"/>
      <c r="R50" s="460"/>
      <c r="S50" s="460"/>
      <c r="T50" s="158"/>
    </row>
    <row r="51" spans="1:20" ht="12.75" customHeight="1" x14ac:dyDescent="0.3">
      <c r="A51" s="29"/>
      <c r="B51" s="36"/>
      <c r="C51" s="36" t="s">
        <v>390</v>
      </c>
      <c r="D51" s="36"/>
      <c r="E51" s="36"/>
      <c r="F51" s="36"/>
      <c r="G51" s="36"/>
      <c r="H51" s="36"/>
      <c r="I51" s="524"/>
      <c r="J51" s="459"/>
      <c r="K51" s="459"/>
      <c r="L51" s="459"/>
      <c r="M51" s="459"/>
      <c r="N51" s="459"/>
      <c r="O51" s="460"/>
      <c r="P51" s="460"/>
      <c r="Q51" s="460"/>
      <c r="R51" s="460"/>
      <c r="S51" s="460"/>
      <c r="T51" s="158"/>
    </row>
    <row r="52" spans="1:20" ht="12.75" customHeight="1" x14ac:dyDescent="0.3">
      <c r="A52" s="29"/>
      <c r="B52" s="36"/>
      <c r="C52" s="36" t="s">
        <v>391</v>
      </c>
      <c r="D52" s="36"/>
      <c r="E52" s="36"/>
      <c r="F52" s="36"/>
      <c r="G52" s="36"/>
      <c r="H52" s="36"/>
      <c r="I52" s="524"/>
      <c r="J52" s="459"/>
      <c r="K52" s="459"/>
      <c r="L52" s="459"/>
      <c r="M52" s="459"/>
      <c r="N52" s="459"/>
      <c r="O52" s="460"/>
      <c r="P52" s="460"/>
      <c r="Q52" s="460"/>
      <c r="R52" s="460"/>
      <c r="S52" s="460"/>
      <c r="T52" s="158"/>
    </row>
    <row r="53" spans="1:20" ht="12.75" customHeight="1" x14ac:dyDescent="0.3">
      <c r="A53" s="29"/>
      <c r="B53" s="36"/>
      <c r="C53" s="36" t="s">
        <v>392</v>
      </c>
      <c r="D53" s="36"/>
      <c r="E53" s="36"/>
      <c r="F53" s="36"/>
      <c r="G53" s="36"/>
      <c r="H53" s="36"/>
      <c r="I53" s="524"/>
      <c r="J53" s="459"/>
      <c r="K53" s="459"/>
      <c r="L53" s="459"/>
      <c r="M53" s="459"/>
      <c r="N53" s="459"/>
      <c r="O53" s="460"/>
      <c r="P53" s="460"/>
      <c r="Q53" s="460"/>
      <c r="R53" s="460"/>
      <c r="S53" s="460"/>
      <c r="T53" s="158"/>
    </row>
    <row r="54" spans="1:20" ht="12.75" customHeight="1" x14ac:dyDescent="0.3">
      <c r="A54" s="29"/>
      <c r="B54" s="36"/>
      <c r="C54" s="36" t="s">
        <v>393</v>
      </c>
      <c r="D54" s="36"/>
      <c r="E54" s="36"/>
      <c r="F54" s="36"/>
      <c r="G54" s="36"/>
      <c r="H54" s="36"/>
      <c r="I54" s="524"/>
      <c r="J54" s="459"/>
      <c r="K54" s="459"/>
      <c r="L54" s="459"/>
      <c r="M54" s="459"/>
      <c r="N54" s="459"/>
      <c r="O54" s="460"/>
      <c r="P54" s="460"/>
      <c r="Q54" s="460"/>
      <c r="R54" s="460"/>
      <c r="S54" s="460"/>
      <c r="T54" s="158"/>
    </row>
    <row r="55" spans="1:20" ht="12.75" customHeight="1" x14ac:dyDescent="0.3">
      <c r="A55" s="29"/>
      <c r="B55" s="36"/>
      <c r="C55" s="36" t="s">
        <v>394</v>
      </c>
      <c r="D55" s="36"/>
      <c r="E55" s="36"/>
      <c r="F55" s="36"/>
      <c r="G55" s="36"/>
      <c r="H55" s="36"/>
      <c r="I55" s="524"/>
      <c r="J55" s="459"/>
      <c r="K55" s="459"/>
      <c r="L55" s="459"/>
      <c r="M55" s="459"/>
      <c r="N55" s="459"/>
      <c r="O55" s="460"/>
      <c r="P55" s="460"/>
      <c r="Q55" s="460"/>
      <c r="R55" s="460"/>
      <c r="S55" s="460"/>
      <c r="T55" s="158"/>
    </row>
    <row r="56" spans="1:20" ht="12.75" customHeight="1" x14ac:dyDescent="0.3">
      <c r="A56" s="29"/>
      <c r="B56" s="36"/>
      <c r="C56" s="36" t="s">
        <v>395</v>
      </c>
      <c r="D56" s="36"/>
      <c r="E56" s="36"/>
      <c r="F56" s="36"/>
      <c r="G56" s="36"/>
      <c r="H56" s="36"/>
      <c r="I56" s="524"/>
      <c r="J56" s="459"/>
      <c r="K56" s="459"/>
      <c r="L56" s="459"/>
      <c r="M56" s="459"/>
      <c r="N56" s="459"/>
      <c r="O56" s="460"/>
      <c r="P56" s="460"/>
      <c r="Q56" s="460"/>
      <c r="R56" s="460"/>
      <c r="S56" s="460"/>
      <c r="T56" s="158"/>
    </row>
    <row r="57" spans="1:20" ht="12.75" customHeight="1" x14ac:dyDescent="0.3">
      <c r="A57" s="29"/>
      <c r="B57" s="36"/>
      <c r="C57" s="36" t="s">
        <v>396</v>
      </c>
      <c r="D57" s="36"/>
      <c r="E57" s="36"/>
      <c r="F57" s="36"/>
      <c r="G57" s="36"/>
      <c r="H57" s="36"/>
      <c r="I57" s="524"/>
      <c r="J57" s="459"/>
      <c r="K57" s="459"/>
      <c r="L57" s="459"/>
      <c r="M57" s="459"/>
      <c r="N57" s="459"/>
      <c r="O57" s="460"/>
      <c r="P57" s="460"/>
      <c r="Q57" s="460"/>
      <c r="R57" s="460"/>
      <c r="S57" s="460"/>
      <c r="T57" s="158"/>
    </row>
    <row r="58" spans="1:20" ht="12.75" customHeight="1" x14ac:dyDescent="0.3">
      <c r="A58" s="29"/>
      <c r="B58" s="36"/>
      <c r="C58" s="36" t="s">
        <v>397</v>
      </c>
      <c r="D58" s="36"/>
      <c r="E58" s="36"/>
      <c r="F58" s="36"/>
      <c r="G58" s="36"/>
      <c r="H58" s="36"/>
      <c r="I58" s="524"/>
      <c r="J58" s="459"/>
      <c r="K58" s="459"/>
      <c r="L58" s="459"/>
      <c r="M58" s="459"/>
      <c r="N58" s="459"/>
      <c r="O58" s="460"/>
      <c r="P58" s="460"/>
      <c r="Q58" s="460"/>
      <c r="R58" s="460"/>
      <c r="S58" s="460"/>
      <c r="T58" s="158"/>
    </row>
    <row r="59" spans="1:20" ht="12.75" customHeight="1" x14ac:dyDescent="0.3">
      <c r="A59" s="29"/>
      <c r="B59" s="36"/>
      <c r="C59" s="36" t="s">
        <v>398</v>
      </c>
      <c r="D59" s="36"/>
      <c r="E59" s="36"/>
      <c r="F59" s="36"/>
      <c r="G59" s="36"/>
      <c r="H59" s="36"/>
      <c r="I59" s="524"/>
      <c r="J59" s="459"/>
      <c r="K59" s="459"/>
      <c r="L59" s="459"/>
      <c r="M59" s="459"/>
      <c r="N59" s="459"/>
      <c r="O59" s="460"/>
      <c r="P59" s="460"/>
      <c r="Q59" s="460"/>
      <c r="R59" s="460"/>
      <c r="S59" s="460"/>
      <c r="T59" s="158"/>
    </row>
    <row r="60" spans="1:20" ht="12.75" customHeight="1" x14ac:dyDescent="0.3">
      <c r="A60" s="29"/>
      <c r="B60" s="36"/>
      <c r="C60" s="36" t="s">
        <v>399</v>
      </c>
      <c r="D60" s="36"/>
      <c r="E60" s="36"/>
      <c r="F60" s="36"/>
      <c r="G60" s="36"/>
      <c r="H60" s="36"/>
      <c r="I60" s="524"/>
      <c r="J60" s="459"/>
      <c r="K60" s="459"/>
      <c r="L60" s="459"/>
      <c r="M60" s="459"/>
      <c r="N60" s="459"/>
      <c r="O60" s="460"/>
      <c r="P60" s="460"/>
      <c r="Q60" s="460"/>
      <c r="R60" s="460"/>
      <c r="S60" s="460"/>
      <c r="T60" s="158"/>
    </row>
    <row r="61" spans="1:20" ht="12.75" customHeight="1" x14ac:dyDescent="0.3">
      <c r="A61" s="29"/>
      <c r="B61" s="36"/>
      <c r="C61" s="36" t="s">
        <v>400</v>
      </c>
      <c r="D61" s="36"/>
      <c r="E61" s="36"/>
      <c r="F61" s="36"/>
      <c r="G61" s="36"/>
      <c r="H61" s="36"/>
      <c r="I61" s="524"/>
      <c r="J61" s="459"/>
      <c r="K61" s="459"/>
      <c r="L61" s="459"/>
      <c r="M61" s="459"/>
      <c r="N61" s="459"/>
      <c r="O61" s="460"/>
      <c r="P61" s="460"/>
      <c r="Q61" s="460"/>
      <c r="R61" s="460"/>
      <c r="S61" s="460"/>
      <c r="T61" s="158"/>
    </row>
    <row r="62" spans="1:20" ht="12.75" customHeight="1" x14ac:dyDescent="0.3">
      <c r="A62" s="29"/>
      <c r="B62" s="36"/>
      <c r="C62" s="36" t="s">
        <v>401</v>
      </c>
      <c r="D62" s="36"/>
      <c r="E62" s="36"/>
      <c r="F62" s="36"/>
      <c r="G62" s="36"/>
      <c r="H62" s="36"/>
      <c r="I62" s="524"/>
      <c r="J62" s="459"/>
      <c r="K62" s="459"/>
      <c r="L62" s="459"/>
      <c r="M62" s="459"/>
      <c r="N62" s="459"/>
      <c r="O62" s="460"/>
      <c r="P62" s="460"/>
      <c r="Q62" s="460"/>
      <c r="R62" s="460"/>
      <c r="S62" s="460"/>
      <c r="T62" s="158"/>
    </row>
    <row r="63" spans="1:20" ht="12.75" customHeight="1" x14ac:dyDescent="0.3">
      <c r="A63" s="29"/>
      <c r="B63" s="36"/>
      <c r="C63" s="36" t="s">
        <v>402</v>
      </c>
      <c r="D63" s="36"/>
      <c r="E63" s="36"/>
      <c r="F63" s="36"/>
      <c r="G63" s="36"/>
      <c r="H63" s="36"/>
      <c r="I63" s="524"/>
      <c r="J63" s="459"/>
      <c r="K63" s="459"/>
      <c r="L63" s="459"/>
      <c r="M63" s="459"/>
      <c r="N63" s="459"/>
      <c r="O63" s="460"/>
      <c r="P63" s="460"/>
      <c r="Q63" s="460"/>
      <c r="R63" s="460"/>
      <c r="S63" s="460"/>
      <c r="T63" s="158"/>
    </row>
    <row r="64" spans="1:20" ht="12.75" customHeight="1" x14ac:dyDescent="0.3">
      <c r="A64" s="29"/>
      <c r="B64" s="436"/>
      <c r="C64" s="436" t="s">
        <v>403</v>
      </c>
      <c r="D64" s="436"/>
      <c r="E64" s="436"/>
      <c r="F64" s="436"/>
      <c r="G64" s="436"/>
      <c r="H64" s="436"/>
      <c r="I64" s="524"/>
      <c r="J64" s="459"/>
      <c r="K64" s="459"/>
      <c r="L64" s="459"/>
      <c r="M64" s="459"/>
      <c r="N64" s="459"/>
      <c r="O64" s="460"/>
      <c r="P64" s="460"/>
      <c r="Q64" s="460"/>
      <c r="R64" s="460"/>
      <c r="S64" s="460"/>
      <c r="T64" s="158"/>
    </row>
    <row r="65" spans="1:27" ht="12.75" customHeight="1" x14ac:dyDescent="0.3">
      <c r="A65" s="29"/>
      <c r="B65" s="36"/>
      <c r="C65" s="29"/>
      <c r="D65" s="29"/>
      <c r="E65" s="29"/>
      <c r="F65" s="29"/>
      <c r="G65" s="36"/>
      <c r="H65" s="36"/>
      <c r="I65" s="524"/>
      <c r="J65" s="459"/>
      <c r="K65" s="459"/>
      <c r="L65" s="459"/>
      <c r="M65" s="459"/>
      <c r="N65" s="459"/>
      <c r="O65" s="460"/>
      <c r="P65" s="460"/>
      <c r="Q65" s="460"/>
      <c r="R65" s="460"/>
      <c r="S65" s="460"/>
      <c r="T65" s="158"/>
    </row>
    <row r="66" spans="1:27" ht="12.75" customHeight="1" x14ac:dyDescent="0.3">
      <c r="A66" s="29"/>
      <c r="B66" s="36" t="s">
        <v>3959</v>
      </c>
      <c r="C66" s="29"/>
      <c r="D66" s="95"/>
      <c r="E66" s="29"/>
      <c r="F66" s="29"/>
      <c r="G66" s="94" t="s">
        <v>965</v>
      </c>
      <c r="H66" s="36" t="s">
        <v>2308</v>
      </c>
      <c r="I66" s="522">
        <f>input!I66</f>
        <v>0</v>
      </c>
      <c r="J66" s="451"/>
      <c r="K66" s="451"/>
      <c r="L66" s="451">
        <v>0.74199999999999999</v>
      </c>
      <c r="M66" s="451">
        <v>1.0300000000000001E-5</v>
      </c>
      <c r="N66" s="451"/>
      <c r="O66" s="452"/>
      <c r="P66" s="452"/>
      <c r="Q66" s="452"/>
      <c r="R66" s="452"/>
      <c r="S66" s="452"/>
      <c r="T66" s="158"/>
    </row>
    <row r="67" spans="1:27" ht="12.75" customHeight="1" x14ac:dyDescent="0.3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1"/>
      <c r="N67" s="451"/>
      <c r="O67" s="452"/>
      <c r="P67" s="452"/>
      <c r="Q67" s="452"/>
      <c r="R67" s="452"/>
      <c r="S67" s="452"/>
      <c r="T67" s="158"/>
    </row>
    <row r="68" spans="1:27" ht="12.75" customHeight="1" x14ac:dyDescent="0.3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1"/>
      <c r="N68" s="451"/>
      <c r="O68" s="452"/>
      <c r="P68" s="452"/>
      <c r="Q68" s="452"/>
      <c r="R68" s="452"/>
      <c r="S68" s="452"/>
      <c r="T68" s="158"/>
    </row>
    <row r="69" spans="1:27" ht="12.75" customHeight="1" x14ac:dyDescent="0.3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1"/>
      <c r="N69" s="451"/>
      <c r="O69" s="452"/>
      <c r="P69" s="452"/>
      <c r="Q69" s="452"/>
      <c r="R69" s="452"/>
      <c r="S69" s="452"/>
      <c r="T69" s="158"/>
    </row>
    <row r="70" spans="1:27" ht="12.75" customHeight="1" x14ac:dyDescent="0.3">
      <c r="A70" s="29"/>
      <c r="B70" s="36" t="s">
        <v>3960</v>
      </c>
      <c r="C70" s="29"/>
      <c r="D70" s="95"/>
      <c r="E70" s="29"/>
      <c r="F70" s="29"/>
      <c r="G70" s="94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1"/>
      <c r="N70" s="451"/>
      <c r="O70" s="452"/>
      <c r="P70" s="452"/>
      <c r="Q70" s="452"/>
      <c r="R70" s="452"/>
      <c r="S70" s="452"/>
      <c r="T70" s="158"/>
    </row>
    <row r="71" spans="1:27" ht="12.75" customHeight="1" x14ac:dyDescent="0.3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1"/>
      <c r="N71" s="451"/>
      <c r="O71" s="452"/>
      <c r="P71" s="452"/>
      <c r="Q71" s="452"/>
      <c r="R71" s="452"/>
      <c r="S71" s="452"/>
      <c r="T71" s="158"/>
    </row>
    <row r="72" spans="1:27" ht="12.75" customHeight="1" x14ac:dyDescent="0.3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1"/>
      <c r="N72" s="451"/>
      <c r="O72" s="452"/>
      <c r="P72" s="452"/>
      <c r="Q72" s="452"/>
      <c r="R72" s="452"/>
      <c r="S72" s="452"/>
      <c r="T72" s="158"/>
    </row>
    <row r="73" spans="1:27" ht="12.75" customHeight="1" x14ac:dyDescent="0.3">
      <c r="A73" s="29"/>
      <c r="B73" s="29"/>
      <c r="C73" s="29" t="s">
        <v>3961</v>
      </c>
      <c r="D73" s="29"/>
      <c r="E73" s="29"/>
      <c r="F73" s="29"/>
      <c r="G73" s="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1"/>
      <c r="N73" s="451"/>
      <c r="O73" s="452"/>
      <c r="P73" s="452"/>
      <c r="Q73" s="452"/>
      <c r="R73" s="452"/>
      <c r="S73" s="452"/>
      <c r="T73" s="158"/>
    </row>
    <row r="74" spans="1:27" ht="12.75" customHeight="1" x14ac:dyDescent="0.3">
      <c r="A74" s="29"/>
      <c r="B74" s="36" t="s">
        <v>3962</v>
      </c>
      <c r="C74" s="95"/>
      <c r="D74" s="95"/>
      <c r="E74" s="29"/>
      <c r="F74" s="29"/>
      <c r="G74" s="94" t="s">
        <v>966</v>
      </c>
      <c r="H74" s="36" t="s">
        <v>2308</v>
      </c>
      <c r="I74" s="522">
        <f>input!I74</f>
        <v>0</v>
      </c>
      <c r="J74" s="451"/>
      <c r="K74" s="451"/>
      <c r="L74" s="451">
        <v>0.23799999999999999</v>
      </c>
      <c r="M74" s="451">
        <v>2.3799999999999998E-8</v>
      </c>
      <c r="N74" s="451"/>
      <c r="O74" s="452"/>
      <c r="P74" s="452"/>
      <c r="Q74" s="452"/>
      <c r="R74" s="452"/>
      <c r="S74" s="452"/>
      <c r="T74" s="158"/>
    </row>
    <row r="75" spans="1:27" ht="12.75" customHeight="1" x14ac:dyDescent="0.3">
      <c r="A75" s="29"/>
      <c r="B75" s="36" t="s">
        <v>3963</v>
      </c>
      <c r="C75" s="95"/>
      <c r="D75" s="95"/>
      <c r="E75" s="29"/>
      <c r="F75" s="29"/>
      <c r="G75" s="94" t="s">
        <v>967</v>
      </c>
      <c r="H75" s="36" t="s">
        <v>2308</v>
      </c>
      <c r="I75" s="522">
        <f>input!I75</f>
        <v>0</v>
      </c>
      <c r="J75" s="451"/>
      <c r="K75" s="451"/>
      <c r="L75" s="451">
        <v>0.17</v>
      </c>
      <c r="M75" s="451">
        <v>1.0700000000000001E-7</v>
      </c>
      <c r="N75" s="451"/>
      <c r="O75" s="452"/>
      <c r="P75" s="452"/>
      <c r="Q75" s="452"/>
      <c r="R75" s="452"/>
      <c r="S75" s="452"/>
      <c r="T75" s="158"/>
    </row>
    <row r="76" spans="1:27" ht="12.75" customHeight="1" x14ac:dyDescent="0.3">
      <c r="A76" s="29"/>
      <c r="B76" s="29"/>
      <c r="C76" s="29"/>
      <c r="D76" s="29"/>
      <c r="E76" s="29"/>
      <c r="F76" s="29"/>
      <c r="G76" s="36"/>
      <c r="H76" s="36"/>
      <c r="I76" s="457"/>
      <c r="J76" s="342"/>
      <c r="K76" s="342"/>
      <c r="L76" s="342"/>
      <c r="M76" s="342"/>
      <c r="N76" s="342"/>
      <c r="O76" s="360"/>
      <c r="P76" s="360"/>
      <c r="Q76" s="360"/>
      <c r="R76" s="360"/>
      <c r="S76" s="360"/>
      <c r="T76" s="158"/>
    </row>
    <row r="77" spans="1:27" ht="12.75" customHeight="1" x14ac:dyDescent="0.3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613" t="s">
        <v>754</v>
      </c>
      <c r="J77" s="614"/>
      <c r="K77" s="614"/>
      <c r="L77" s="614" t="s">
        <v>754</v>
      </c>
      <c r="M77" s="614" t="s">
        <v>754</v>
      </c>
      <c r="N77" s="614"/>
      <c r="O77" s="614"/>
      <c r="P77" s="614"/>
      <c r="Q77" s="614"/>
      <c r="R77" s="614"/>
      <c r="S77" s="614"/>
      <c r="T77" s="615"/>
      <c r="U77" s="540"/>
      <c r="V77" s="540"/>
      <c r="W77" s="540"/>
      <c r="X77" s="540"/>
      <c r="Y77" s="540"/>
      <c r="Z77" s="540"/>
      <c r="AA77" s="540"/>
    </row>
    <row r="78" spans="1:27" ht="12.75" customHeight="1" x14ac:dyDescent="0.3">
      <c r="A78" s="29"/>
      <c r="B78" s="29"/>
      <c r="C78" s="29"/>
      <c r="D78" s="29"/>
      <c r="E78" s="29"/>
      <c r="F78" s="29"/>
      <c r="G78" s="36"/>
      <c r="H78" s="36"/>
      <c r="I78" s="342"/>
      <c r="J78" s="320"/>
      <c r="K78" s="320"/>
      <c r="L78" s="320"/>
      <c r="M78" s="320"/>
      <c r="N78" s="320"/>
      <c r="O78" s="325"/>
      <c r="P78" s="325"/>
      <c r="Q78" s="325"/>
      <c r="R78" s="325"/>
      <c r="S78" s="325"/>
      <c r="T78" s="158"/>
    </row>
    <row r="79" spans="1:27" ht="12.75" customHeight="1" x14ac:dyDescent="0.3">
      <c r="A79" s="45" t="s">
        <v>1377</v>
      </c>
      <c r="B79" s="29"/>
      <c r="C79" s="29"/>
      <c r="D79" s="29"/>
      <c r="E79" s="29"/>
      <c r="F79" s="29"/>
      <c r="G79" s="36"/>
      <c r="H79" s="36"/>
      <c r="I79" s="342"/>
      <c r="J79" s="320"/>
      <c r="K79" s="320"/>
      <c r="L79" s="320"/>
      <c r="M79" s="320"/>
      <c r="N79" s="320"/>
      <c r="O79" s="325"/>
      <c r="P79" s="325"/>
      <c r="Q79" s="325"/>
      <c r="R79" s="325"/>
      <c r="S79" s="325"/>
      <c r="T79" s="158"/>
    </row>
    <row r="80" spans="1:27" ht="12.75" customHeight="1" x14ac:dyDescent="0.3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1"/>
      <c r="N80" s="451"/>
      <c r="O80" s="452"/>
      <c r="P80" s="452"/>
      <c r="Q80" s="452"/>
      <c r="R80" s="452"/>
      <c r="S80" s="452"/>
      <c r="T80" s="158"/>
    </row>
    <row r="81" spans="1:20" ht="12.75" customHeight="1" x14ac:dyDescent="0.3">
      <c r="A81" s="36"/>
      <c r="B81" s="36" t="s">
        <v>2103</v>
      </c>
      <c r="C81" s="29"/>
      <c r="D81" s="29"/>
      <c r="E81" s="29"/>
      <c r="F81" s="29"/>
      <c r="G81" s="37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1"/>
      <c r="N81" s="451"/>
      <c r="O81" s="452"/>
      <c r="P81" s="452"/>
      <c r="Q81" s="452"/>
      <c r="R81" s="452"/>
      <c r="S81" s="452"/>
      <c r="T81" s="158"/>
    </row>
    <row r="82" spans="1:20" ht="12.75" customHeight="1" x14ac:dyDescent="0.3">
      <c r="A82" s="36"/>
      <c r="B82" s="36" t="s">
        <v>46</v>
      </c>
      <c r="C82" s="29"/>
      <c r="D82" s="29"/>
      <c r="E82" s="29"/>
      <c r="F82" s="29"/>
      <c r="G82" s="37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1"/>
      <c r="N82" s="451"/>
      <c r="O82" s="452"/>
      <c r="P82" s="452"/>
      <c r="Q82" s="452"/>
      <c r="R82" s="452"/>
      <c r="S82" s="452"/>
      <c r="T82" s="158"/>
    </row>
    <row r="83" spans="1:20" ht="12.75" customHeight="1" x14ac:dyDescent="0.3">
      <c r="A83" s="36"/>
      <c r="B83" s="36" t="s">
        <v>47</v>
      </c>
      <c r="C83" s="29"/>
      <c r="D83" s="29"/>
      <c r="E83" s="29"/>
      <c r="F83" s="29"/>
      <c r="G83" s="37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1"/>
      <c r="N83" s="451"/>
      <c r="O83" s="452"/>
      <c r="P83" s="452"/>
      <c r="Q83" s="452"/>
      <c r="R83" s="452"/>
      <c r="S83" s="452"/>
      <c r="T83" s="158"/>
    </row>
    <row r="84" spans="1:20" ht="12.75" customHeight="1" x14ac:dyDescent="0.3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1"/>
      <c r="N84" s="451"/>
      <c r="O84" s="452"/>
      <c r="P84" s="452"/>
      <c r="Q84" s="452"/>
      <c r="R84" s="452"/>
      <c r="S84" s="452"/>
      <c r="T84" s="158"/>
    </row>
    <row r="85" spans="1:20" ht="12.75" customHeight="1" x14ac:dyDescent="0.3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1"/>
      <c r="N85" s="451"/>
      <c r="O85" s="452"/>
      <c r="P85" s="452"/>
      <c r="Q85" s="452"/>
      <c r="R85" s="452"/>
      <c r="S85" s="452"/>
      <c r="T85" s="158"/>
    </row>
    <row r="86" spans="1:20" ht="12.75" customHeight="1" x14ac:dyDescent="0.3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1"/>
      <c r="N86" s="451"/>
      <c r="O86" s="452"/>
      <c r="P86" s="452"/>
      <c r="Q86" s="452"/>
      <c r="R86" s="452"/>
      <c r="S86" s="452"/>
      <c r="T86" s="158"/>
    </row>
    <row r="87" spans="1:20" ht="12.75" customHeight="1" x14ac:dyDescent="0.3">
      <c r="A87" s="45" t="s">
        <v>1327</v>
      </c>
      <c r="B87" s="29"/>
      <c r="C87" s="29"/>
      <c r="D87" s="29"/>
      <c r="E87" s="29"/>
      <c r="F87" s="29"/>
      <c r="G87" s="99"/>
      <c r="H87" s="99"/>
      <c r="I87" s="523"/>
      <c r="J87" s="353"/>
      <c r="K87" s="353"/>
      <c r="L87" s="353"/>
      <c r="M87" s="353"/>
      <c r="N87" s="353"/>
      <c r="O87" s="318"/>
      <c r="P87" s="318"/>
      <c r="Q87" s="318"/>
      <c r="R87" s="318"/>
      <c r="S87" s="318"/>
      <c r="T87" s="158"/>
    </row>
    <row r="88" spans="1:20" ht="12.75" customHeight="1" x14ac:dyDescent="0.3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1"/>
      <c r="N88" s="451"/>
      <c r="O88" s="452"/>
      <c r="P88" s="452"/>
      <c r="Q88" s="452"/>
      <c r="R88" s="452"/>
      <c r="S88" s="452"/>
      <c r="T88" s="158"/>
    </row>
    <row r="89" spans="1:20" ht="12.75" customHeight="1" x14ac:dyDescent="0.3">
      <c r="A89" s="36"/>
      <c r="B89" s="36" t="s">
        <v>2103</v>
      </c>
      <c r="C89" s="29"/>
      <c r="D89" s="29"/>
      <c r="E89" s="29"/>
      <c r="F89" s="29"/>
      <c r="G89" s="37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1"/>
      <c r="N89" s="451"/>
      <c r="O89" s="452"/>
      <c r="P89" s="452"/>
      <c r="Q89" s="452"/>
      <c r="R89" s="452"/>
      <c r="S89" s="452"/>
      <c r="T89" s="158"/>
    </row>
    <row r="90" spans="1:20" ht="12.75" customHeight="1" x14ac:dyDescent="0.3">
      <c r="A90" s="36"/>
      <c r="B90" s="36" t="s">
        <v>46</v>
      </c>
      <c r="C90" s="29"/>
      <c r="D90" s="29"/>
      <c r="E90" s="29"/>
      <c r="F90" s="29"/>
      <c r="G90" s="37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1"/>
      <c r="N90" s="451"/>
      <c r="O90" s="452"/>
      <c r="P90" s="452"/>
      <c r="Q90" s="452"/>
      <c r="R90" s="452"/>
      <c r="S90" s="452"/>
      <c r="T90" s="158"/>
    </row>
    <row r="91" spans="1:20" ht="12.75" customHeight="1" x14ac:dyDescent="0.3">
      <c r="A91" s="36"/>
      <c r="B91" s="36" t="s">
        <v>47</v>
      </c>
      <c r="C91" s="29"/>
      <c r="D91" s="29"/>
      <c r="E91" s="29"/>
      <c r="F91" s="29"/>
      <c r="G91" s="37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1"/>
      <c r="N91" s="451"/>
      <c r="O91" s="452"/>
      <c r="P91" s="452"/>
      <c r="Q91" s="452"/>
      <c r="R91" s="452"/>
      <c r="S91" s="452"/>
      <c r="T91" s="158"/>
    </row>
    <row r="92" spans="1:20" ht="12.75" customHeight="1" x14ac:dyDescent="0.3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1"/>
      <c r="N92" s="451"/>
      <c r="O92" s="452"/>
      <c r="P92" s="452"/>
      <c r="Q92" s="452"/>
      <c r="R92" s="452"/>
      <c r="S92" s="452"/>
      <c r="T92" s="158"/>
    </row>
    <row r="93" spans="1:20" ht="12.75" customHeight="1" x14ac:dyDescent="0.3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1"/>
      <c r="N93" s="451"/>
      <c r="O93" s="452"/>
      <c r="P93" s="452"/>
      <c r="Q93" s="452"/>
      <c r="R93" s="452"/>
      <c r="S93" s="452"/>
      <c r="T93" s="158"/>
    </row>
    <row r="94" spans="1:20" ht="12.75" customHeight="1" x14ac:dyDescent="0.3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1"/>
      <c r="N94" s="451"/>
      <c r="O94" s="452"/>
      <c r="P94" s="452"/>
      <c r="Q94" s="452"/>
      <c r="R94" s="452"/>
      <c r="S94" s="452"/>
      <c r="T94" s="158"/>
    </row>
    <row r="95" spans="1:20" ht="12.75" customHeight="1" x14ac:dyDescent="0.3">
      <c r="A95" s="45" t="s">
        <v>566</v>
      </c>
      <c r="B95" s="29"/>
      <c r="C95" s="29"/>
      <c r="D95" s="29"/>
      <c r="E95" s="29"/>
      <c r="F95" s="29"/>
      <c r="G95" s="99"/>
      <c r="H95" s="36"/>
      <c r="I95" s="523"/>
      <c r="J95" s="320"/>
      <c r="K95" s="320"/>
      <c r="L95" s="320"/>
      <c r="M95" s="320"/>
      <c r="N95" s="320"/>
      <c r="O95" s="325"/>
      <c r="P95" s="325"/>
      <c r="Q95" s="325"/>
      <c r="R95" s="325"/>
      <c r="S95" s="325"/>
      <c r="T95" s="158"/>
    </row>
    <row r="96" spans="1:20" ht="12.75" customHeight="1" x14ac:dyDescent="0.3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1"/>
      <c r="N96" s="451"/>
      <c r="O96" s="452"/>
      <c r="P96" s="452"/>
      <c r="Q96" s="452"/>
      <c r="R96" s="452"/>
      <c r="S96" s="452"/>
      <c r="T96" s="158"/>
    </row>
    <row r="97" spans="1:20" ht="12.75" customHeight="1" x14ac:dyDescent="0.3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1"/>
      <c r="N97" s="451"/>
      <c r="O97" s="452"/>
      <c r="P97" s="452"/>
      <c r="Q97" s="452"/>
      <c r="R97" s="452"/>
      <c r="S97" s="452"/>
      <c r="T97" s="158"/>
    </row>
    <row r="98" spans="1:20" ht="12.75" customHeight="1" x14ac:dyDescent="0.3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1"/>
      <c r="N98" s="451"/>
      <c r="O98" s="452"/>
      <c r="P98" s="452"/>
      <c r="Q98" s="452"/>
      <c r="R98" s="452"/>
      <c r="S98" s="452"/>
      <c r="T98" s="158"/>
    </row>
    <row r="99" spans="1:20" ht="12.75" customHeight="1" x14ac:dyDescent="0.3">
      <c r="A99" s="4" t="s">
        <v>55</v>
      </c>
      <c r="B99" s="36"/>
      <c r="C99" s="29"/>
      <c r="D99" s="29"/>
      <c r="E99" s="29"/>
      <c r="F99" s="29"/>
      <c r="G99" s="99"/>
      <c r="H99" s="36"/>
      <c r="I99" s="523"/>
      <c r="J99" s="320"/>
      <c r="K99" s="320"/>
      <c r="L99" s="320"/>
      <c r="M99" s="320"/>
      <c r="N99" s="320"/>
      <c r="O99" s="325"/>
      <c r="P99" s="325"/>
      <c r="Q99" s="325"/>
      <c r="R99" s="325"/>
      <c r="S99" s="325"/>
      <c r="T99" s="158"/>
    </row>
    <row r="100" spans="1:20" ht="12.75" customHeight="1" x14ac:dyDescent="0.3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1"/>
      <c r="N100" s="451"/>
      <c r="O100" s="452"/>
      <c r="P100" s="452"/>
      <c r="Q100" s="452"/>
      <c r="R100" s="452"/>
      <c r="S100" s="452"/>
      <c r="T100" s="158"/>
    </row>
    <row r="101" spans="1:20" ht="12.75" customHeight="1" x14ac:dyDescent="0.3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1"/>
      <c r="N101" s="451"/>
      <c r="O101" s="452"/>
      <c r="P101" s="452"/>
      <c r="Q101" s="452"/>
      <c r="R101" s="452"/>
      <c r="S101" s="452"/>
      <c r="T101" s="158"/>
    </row>
    <row r="102" spans="1:20" ht="12.75" customHeight="1" x14ac:dyDescent="0.3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1"/>
      <c r="N102" s="451"/>
      <c r="O102" s="452"/>
      <c r="P102" s="452"/>
      <c r="Q102" s="452"/>
      <c r="R102" s="452"/>
      <c r="S102" s="452"/>
      <c r="T102" s="158"/>
    </row>
    <row r="103" spans="1:20" ht="12.75" customHeight="1" x14ac:dyDescent="0.3">
      <c r="A103" s="45" t="s">
        <v>56</v>
      </c>
      <c r="B103" s="29"/>
      <c r="C103" s="29"/>
      <c r="D103" s="29"/>
      <c r="E103" s="29"/>
      <c r="F103" s="29"/>
      <c r="G103" s="99"/>
      <c r="H103" s="36"/>
      <c r="I103" s="523"/>
      <c r="J103" s="320"/>
      <c r="K103" s="320"/>
      <c r="L103" s="320"/>
      <c r="M103" s="320"/>
      <c r="N103" s="320"/>
      <c r="O103" s="325"/>
      <c r="P103" s="325"/>
      <c r="Q103" s="325"/>
      <c r="R103" s="325"/>
      <c r="S103" s="325"/>
      <c r="T103" s="158"/>
    </row>
    <row r="104" spans="1:20" ht="12.75" customHeight="1" x14ac:dyDescent="0.3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1"/>
      <c r="N104" s="451"/>
      <c r="O104" s="452"/>
      <c r="P104" s="452"/>
      <c r="Q104" s="452"/>
      <c r="R104" s="452"/>
      <c r="S104" s="452"/>
      <c r="T104" s="158"/>
    </row>
    <row r="105" spans="1:20" ht="12.75" customHeight="1" x14ac:dyDescent="0.3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1"/>
      <c r="N105" s="451"/>
      <c r="O105" s="452"/>
      <c r="P105" s="452"/>
      <c r="Q105" s="452"/>
      <c r="R105" s="452"/>
      <c r="S105" s="452"/>
      <c r="T105" s="158"/>
    </row>
    <row r="106" spans="1:20" ht="12.75" customHeight="1" x14ac:dyDescent="0.3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1"/>
      <c r="N106" s="451"/>
      <c r="O106" s="452"/>
      <c r="P106" s="452"/>
      <c r="Q106" s="452"/>
      <c r="R106" s="452"/>
      <c r="S106" s="452"/>
      <c r="T106" s="158"/>
    </row>
    <row r="107" spans="1:20" ht="12.75" customHeight="1" x14ac:dyDescent="0.3">
      <c r="A107" s="29"/>
      <c r="B107" s="29"/>
      <c r="C107" s="29"/>
      <c r="D107" s="29"/>
      <c r="E107" s="29"/>
      <c r="F107" s="29"/>
      <c r="G107" s="36"/>
      <c r="H107" s="36"/>
      <c r="I107" s="457"/>
      <c r="J107" s="320"/>
      <c r="K107" s="320"/>
      <c r="L107" s="320"/>
      <c r="M107" s="320"/>
      <c r="N107" s="320"/>
      <c r="O107" s="325"/>
      <c r="P107" s="325"/>
      <c r="Q107" s="325"/>
      <c r="R107" s="325"/>
      <c r="S107" s="325"/>
      <c r="T107" s="158"/>
    </row>
    <row r="108" spans="1:20" ht="12.75" customHeight="1" x14ac:dyDescent="0.3">
      <c r="A108" s="98" t="s">
        <v>2147</v>
      </c>
      <c r="B108" s="97"/>
      <c r="C108" s="97"/>
      <c r="D108" s="97"/>
      <c r="E108" s="97"/>
      <c r="F108" s="97"/>
      <c r="G108" s="97"/>
      <c r="H108" s="97"/>
      <c r="I108" s="340" t="s">
        <v>754</v>
      </c>
      <c r="J108" s="364"/>
      <c r="K108" s="364"/>
      <c r="L108" s="364" t="s">
        <v>754</v>
      </c>
      <c r="M108" s="364" t="s">
        <v>754</v>
      </c>
      <c r="N108" s="461"/>
      <c r="O108" s="462"/>
      <c r="P108" s="462"/>
      <c r="Q108" s="462"/>
      <c r="R108" s="462"/>
      <c r="S108" s="462"/>
      <c r="T108" s="158"/>
    </row>
    <row r="109" spans="1:20" ht="12.75" customHeight="1" x14ac:dyDescent="0.3">
      <c r="A109" s="36"/>
      <c r="B109" s="29"/>
      <c r="C109" s="29"/>
      <c r="D109" s="29"/>
      <c r="E109" s="29"/>
      <c r="F109" s="29"/>
      <c r="G109" s="36"/>
      <c r="H109" s="36"/>
      <c r="I109" s="342"/>
      <c r="J109" s="320"/>
      <c r="K109" s="320"/>
      <c r="L109" s="320"/>
      <c r="M109" s="320"/>
      <c r="N109" s="320"/>
      <c r="O109" s="325"/>
      <c r="P109" s="325"/>
      <c r="Q109" s="325"/>
      <c r="R109" s="325"/>
      <c r="S109" s="325"/>
      <c r="T109" s="158"/>
    </row>
    <row r="110" spans="1:20" ht="12.75" customHeight="1" x14ac:dyDescent="0.3">
      <c r="A110" s="4" t="s">
        <v>1377</v>
      </c>
      <c r="B110" s="29"/>
      <c r="C110" s="29"/>
      <c r="D110" s="29"/>
      <c r="E110" s="29"/>
      <c r="F110" s="29"/>
      <c r="G110" s="29"/>
      <c r="H110" s="29"/>
      <c r="I110" s="342"/>
      <c r="J110" s="339"/>
      <c r="K110" s="339"/>
      <c r="L110" s="339"/>
      <c r="M110" s="339"/>
      <c r="N110" s="339"/>
      <c r="O110" s="282"/>
      <c r="P110" s="282"/>
      <c r="Q110" s="282"/>
      <c r="R110" s="282"/>
      <c r="S110" s="282"/>
      <c r="T110" s="158"/>
    </row>
    <row r="111" spans="1:20" ht="12.75" customHeight="1" x14ac:dyDescent="0.3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1"/>
      <c r="N111" s="451"/>
      <c r="O111" s="452"/>
      <c r="P111" s="452"/>
      <c r="Q111" s="452"/>
      <c r="R111" s="452"/>
      <c r="S111" s="452"/>
      <c r="T111" s="158"/>
    </row>
    <row r="112" spans="1:20" ht="12.75" customHeight="1" x14ac:dyDescent="0.3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1"/>
      <c r="N112" s="451"/>
      <c r="O112" s="452"/>
      <c r="P112" s="452"/>
      <c r="Q112" s="452"/>
      <c r="R112" s="452"/>
      <c r="S112" s="452"/>
      <c r="T112" s="158"/>
    </row>
    <row r="113" spans="1:20" ht="12.75" customHeight="1" x14ac:dyDescent="0.3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522">
        <f>input!I113</f>
        <v>0</v>
      </c>
      <c r="J113" s="451"/>
      <c r="K113" s="451"/>
      <c r="L113" s="451"/>
      <c r="M113" s="451"/>
      <c r="N113" s="451">
        <v>9.9999999999999995E-21</v>
      </c>
      <c r="O113" s="452"/>
      <c r="P113" s="452">
        <v>9.9999999999999995E-21</v>
      </c>
      <c r="Q113" s="452">
        <v>9.9999999999999995E-21</v>
      </c>
      <c r="R113" s="452">
        <v>9.9999999999999995E-21</v>
      </c>
      <c r="S113" s="452">
        <v>9.9999999999999995E-21</v>
      </c>
      <c r="T113" s="158"/>
    </row>
    <row r="114" spans="1:20" ht="12.75" customHeight="1" x14ac:dyDescent="0.3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522">
        <f>input!I114</f>
        <v>0</v>
      </c>
      <c r="J114" s="451"/>
      <c r="K114" s="451"/>
      <c r="L114" s="451"/>
      <c r="M114" s="451"/>
      <c r="N114" s="451">
        <v>0.03</v>
      </c>
      <c r="O114" s="452"/>
      <c r="P114" s="452">
        <v>0.03</v>
      </c>
      <c r="Q114" s="452">
        <v>0.03</v>
      </c>
      <c r="R114" s="452">
        <v>0.03</v>
      </c>
      <c r="S114" s="452">
        <v>0.03</v>
      </c>
      <c r="T114" s="158"/>
    </row>
    <row r="115" spans="1:20" ht="12.75" customHeight="1" x14ac:dyDescent="0.3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1"/>
      <c r="N115" s="451"/>
      <c r="O115" s="452"/>
      <c r="P115" s="452"/>
      <c r="Q115" s="452"/>
      <c r="R115" s="452"/>
      <c r="S115" s="452"/>
      <c r="T115" s="158"/>
    </row>
    <row r="116" spans="1:20" ht="12.75" customHeight="1" x14ac:dyDescent="0.3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1"/>
      <c r="N116" s="451"/>
      <c r="O116" s="452"/>
      <c r="P116" s="452"/>
      <c r="Q116" s="452"/>
      <c r="R116" s="452"/>
      <c r="S116" s="452"/>
      <c r="T116" s="158"/>
    </row>
    <row r="117" spans="1:20" ht="12.75" customHeight="1" x14ac:dyDescent="0.3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1"/>
      <c r="N117" s="451"/>
      <c r="O117" s="452"/>
      <c r="P117" s="452"/>
      <c r="Q117" s="452"/>
      <c r="R117" s="452"/>
      <c r="S117" s="452"/>
      <c r="T117" s="158"/>
    </row>
    <row r="118" spans="1:20" ht="12.75" customHeight="1" x14ac:dyDescent="0.3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1"/>
      <c r="N118" s="451"/>
      <c r="O118" s="452"/>
      <c r="P118" s="452"/>
      <c r="Q118" s="452"/>
      <c r="R118" s="452"/>
      <c r="S118" s="452"/>
      <c r="T118" s="158"/>
    </row>
    <row r="119" spans="1:20" ht="12.75" customHeight="1" x14ac:dyDescent="0.3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1"/>
      <c r="N119" s="451"/>
      <c r="O119" s="452"/>
      <c r="P119" s="452"/>
      <c r="Q119" s="452"/>
      <c r="R119" s="452"/>
      <c r="S119" s="452"/>
      <c r="T119" s="158"/>
    </row>
    <row r="120" spans="1:20" ht="12.75" customHeight="1" x14ac:dyDescent="0.3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1"/>
      <c r="N120" s="451"/>
      <c r="O120" s="452"/>
      <c r="P120" s="452"/>
      <c r="Q120" s="452"/>
      <c r="R120" s="452"/>
      <c r="S120" s="452"/>
      <c r="T120" s="158"/>
    </row>
    <row r="121" spans="1:20" ht="12.75" customHeight="1" x14ac:dyDescent="0.3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1"/>
      <c r="N121" s="451"/>
      <c r="O121" s="452"/>
      <c r="P121" s="452"/>
      <c r="Q121" s="452"/>
      <c r="R121" s="452"/>
      <c r="S121" s="452"/>
      <c r="T121" s="158"/>
    </row>
    <row r="122" spans="1:20" ht="12.75" customHeight="1" x14ac:dyDescent="0.3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1"/>
      <c r="N122" s="451"/>
      <c r="O122" s="452"/>
      <c r="P122" s="452"/>
      <c r="Q122" s="452"/>
      <c r="R122" s="452"/>
      <c r="S122" s="452"/>
      <c r="T122" s="158"/>
    </row>
    <row r="123" spans="1:20" ht="12.75" customHeight="1" x14ac:dyDescent="0.3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1"/>
      <c r="N123" s="451"/>
      <c r="O123" s="452"/>
      <c r="P123" s="452"/>
      <c r="Q123" s="452"/>
      <c r="R123" s="452"/>
      <c r="S123" s="452"/>
      <c r="T123" s="158"/>
    </row>
    <row r="124" spans="1:20" ht="12.75" customHeight="1" x14ac:dyDescent="0.3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1"/>
      <c r="N124" s="451"/>
      <c r="O124" s="452"/>
      <c r="P124" s="452"/>
      <c r="Q124" s="452"/>
      <c r="R124" s="452"/>
      <c r="S124" s="452"/>
      <c r="T124" s="158"/>
    </row>
    <row r="125" spans="1:20" ht="12.75" customHeight="1" x14ac:dyDescent="0.3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1"/>
      <c r="N125" s="451"/>
      <c r="O125" s="452"/>
      <c r="P125" s="452"/>
      <c r="Q125" s="452"/>
      <c r="R125" s="452"/>
      <c r="S125" s="452"/>
      <c r="T125" s="158"/>
    </row>
    <row r="126" spans="1:20" ht="12.75" customHeight="1" x14ac:dyDescent="0.3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1"/>
      <c r="N126" s="451"/>
      <c r="O126" s="452"/>
      <c r="P126" s="452"/>
      <c r="Q126" s="452"/>
      <c r="R126" s="452"/>
      <c r="S126" s="452"/>
      <c r="T126" s="158"/>
    </row>
    <row r="127" spans="1:20" ht="12.75" customHeight="1" x14ac:dyDescent="0.3">
      <c r="A127" s="29"/>
      <c r="B127" s="29"/>
      <c r="C127" s="29"/>
      <c r="D127" s="29"/>
      <c r="E127" s="29"/>
      <c r="F127" s="29"/>
      <c r="G127" s="29"/>
      <c r="H127" s="29"/>
      <c r="I127" s="523"/>
      <c r="J127" s="339"/>
      <c r="K127" s="339"/>
      <c r="L127" s="339"/>
      <c r="M127" s="339"/>
      <c r="N127" s="339"/>
      <c r="O127" s="452"/>
      <c r="P127" s="282"/>
      <c r="Q127" s="282"/>
      <c r="R127" s="282"/>
      <c r="S127" s="282"/>
      <c r="T127" s="158"/>
    </row>
    <row r="128" spans="1:20" ht="12.75" customHeight="1" x14ac:dyDescent="0.3">
      <c r="A128" s="4" t="s">
        <v>1327</v>
      </c>
      <c r="B128" s="29"/>
      <c r="C128" s="29"/>
      <c r="D128" s="29"/>
      <c r="E128" s="29"/>
      <c r="F128" s="29"/>
      <c r="G128" s="29"/>
      <c r="H128" s="29"/>
      <c r="I128" s="342"/>
      <c r="J128" s="29"/>
      <c r="K128" s="29"/>
      <c r="L128" s="29"/>
      <c r="M128" s="29"/>
      <c r="N128" s="29"/>
      <c r="O128" s="452"/>
      <c r="P128" s="282"/>
      <c r="Q128" s="282"/>
      <c r="R128" s="282"/>
      <c r="S128" s="282"/>
      <c r="T128" s="158"/>
    </row>
    <row r="129" spans="1:20" ht="12.75" customHeight="1" x14ac:dyDescent="0.3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1"/>
      <c r="N129" s="451"/>
      <c r="O129" s="452"/>
      <c r="P129" s="452"/>
      <c r="Q129" s="452"/>
      <c r="R129" s="452"/>
      <c r="S129" s="452"/>
      <c r="T129" s="158"/>
    </row>
    <row r="130" spans="1:20" ht="12.75" customHeight="1" x14ac:dyDescent="0.3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1"/>
      <c r="N130" s="451"/>
      <c r="O130" s="452"/>
      <c r="P130" s="452"/>
      <c r="Q130" s="452"/>
      <c r="R130" s="452"/>
      <c r="S130" s="452"/>
      <c r="T130" s="158"/>
    </row>
    <row r="131" spans="1:20" ht="12.75" customHeight="1" x14ac:dyDescent="0.3">
      <c r="A131" s="29"/>
      <c r="B131" s="29" t="s">
        <v>677</v>
      </c>
      <c r="C131" s="29"/>
      <c r="D131" s="29"/>
      <c r="E131" s="29"/>
      <c r="F131" s="29"/>
      <c r="G131" s="29" t="s">
        <v>310</v>
      </c>
      <c r="H131" s="29" t="s">
        <v>486</v>
      </c>
      <c r="I131" s="522">
        <f>input!I133</f>
        <v>0</v>
      </c>
      <c r="J131" s="451"/>
      <c r="K131" s="451"/>
      <c r="L131" s="451"/>
      <c r="M131" s="451"/>
      <c r="N131" s="451">
        <v>9.9999999999999995E-21</v>
      </c>
      <c r="O131" s="452"/>
      <c r="P131" s="452">
        <v>9.9999999999999995E-21</v>
      </c>
      <c r="Q131" s="452">
        <v>9.9999999999999995E-21</v>
      </c>
      <c r="R131" s="452">
        <v>9.9999999999999995E-21</v>
      </c>
      <c r="S131" s="452">
        <v>9.9999999999999995E-21</v>
      </c>
      <c r="T131" s="158"/>
    </row>
    <row r="132" spans="1:20" ht="12.75" customHeight="1" x14ac:dyDescent="0.3">
      <c r="A132" s="29"/>
      <c r="B132" s="29" t="s">
        <v>677</v>
      </c>
      <c r="C132" s="29"/>
      <c r="D132" s="29"/>
      <c r="E132" s="29"/>
      <c r="F132" s="29"/>
      <c r="G132" s="29" t="s">
        <v>1422</v>
      </c>
      <c r="H132" s="29" t="s">
        <v>486</v>
      </c>
      <c r="I132" s="522">
        <f>input!I134</f>
        <v>0</v>
      </c>
      <c r="J132" s="451"/>
      <c r="K132" s="451"/>
      <c r="L132" s="451"/>
      <c r="M132" s="451"/>
      <c r="N132" s="451">
        <v>0.03</v>
      </c>
      <c r="O132" s="452"/>
      <c r="P132" s="452">
        <v>0.03</v>
      </c>
      <c r="Q132" s="452">
        <v>0.03</v>
      </c>
      <c r="R132" s="452">
        <v>0.03</v>
      </c>
      <c r="S132" s="452">
        <v>0.03</v>
      </c>
      <c r="T132" s="158"/>
    </row>
    <row r="133" spans="1:20" ht="12.75" customHeight="1" x14ac:dyDescent="0.3">
      <c r="A133" s="29"/>
      <c r="B133" s="29" t="s">
        <v>678</v>
      </c>
      <c r="C133" s="29"/>
      <c r="D133" s="29"/>
      <c r="E133" s="29"/>
      <c r="F133" s="29"/>
      <c r="G133" s="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1"/>
      <c r="N133" s="451"/>
      <c r="O133" s="452"/>
      <c r="P133" s="452"/>
      <c r="Q133" s="452"/>
      <c r="R133" s="452"/>
      <c r="S133" s="452"/>
      <c r="T133" s="158"/>
    </row>
    <row r="134" spans="1:20" ht="12.75" customHeight="1" x14ac:dyDescent="0.3">
      <c r="A134" s="29"/>
      <c r="B134" s="29" t="s">
        <v>679</v>
      </c>
      <c r="C134" s="29"/>
      <c r="D134" s="29"/>
      <c r="E134" s="29"/>
      <c r="F134" s="29"/>
      <c r="G134" s="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1"/>
      <c r="N134" s="451"/>
      <c r="O134" s="452"/>
      <c r="P134" s="452"/>
      <c r="Q134" s="452"/>
      <c r="R134" s="452"/>
      <c r="S134" s="452"/>
      <c r="T134" s="158"/>
    </row>
    <row r="135" spans="1:20" ht="12.75" customHeight="1" x14ac:dyDescent="0.3">
      <c r="A135" s="29"/>
      <c r="B135" s="29" t="s">
        <v>680</v>
      </c>
      <c r="C135" s="29"/>
      <c r="D135" s="29"/>
      <c r="E135" s="29"/>
      <c r="F135" s="29"/>
      <c r="G135" s="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1"/>
      <c r="N135" s="451"/>
      <c r="O135" s="452"/>
      <c r="P135" s="452"/>
      <c r="Q135" s="452"/>
      <c r="R135" s="452"/>
      <c r="S135" s="452"/>
      <c r="T135" s="158"/>
    </row>
    <row r="136" spans="1:20" ht="12.75" customHeight="1" x14ac:dyDescent="0.3">
      <c r="A136" s="29"/>
      <c r="B136" s="29" t="s">
        <v>988</v>
      </c>
      <c r="C136" s="29"/>
      <c r="D136" s="29"/>
      <c r="E136" s="29"/>
      <c r="F136" s="29"/>
      <c r="G136" s="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1"/>
      <c r="N136" s="451"/>
      <c r="O136" s="452"/>
      <c r="P136" s="452"/>
      <c r="Q136" s="452"/>
      <c r="R136" s="452"/>
      <c r="S136" s="452"/>
      <c r="T136" s="158"/>
    </row>
    <row r="137" spans="1:20" ht="12.75" customHeight="1" x14ac:dyDescent="0.3">
      <c r="A137" s="29"/>
      <c r="B137" s="29" t="s">
        <v>989</v>
      </c>
      <c r="C137" s="29"/>
      <c r="D137" s="29"/>
      <c r="E137" s="29"/>
      <c r="F137" s="29"/>
      <c r="G137" s="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1"/>
      <c r="N137" s="451"/>
      <c r="O137" s="452"/>
      <c r="P137" s="452"/>
      <c r="Q137" s="452"/>
      <c r="R137" s="452"/>
      <c r="S137" s="452"/>
      <c r="T137" s="158"/>
    </row>
    <row r="138" spans="1:20" ht="12.75" customHeight="1" x14ac:dyDescent="0.3">
      <c r="A138" s="29"/>
      <c r="B138" s="29" t="s">
        <v>992</v>
      </c>
      <c r="C138" s="29"/>
      <c r="D138" s="29"/>
      <c r="E138" s="29"/>
      <c r="F138" s="29"/>
      <c r="G138" s="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1"/>
      <c r="N138" s="451"/>
      <c r="O138" s="452"/>
      <c r="P138" s="452"/>
      <c r="Q138" s="452"/>
      <c r="R138" s="452"/>
      <c r="S138" s="452"/>
      <c r="T138" s="158"/>
    </row>
    <row r="139" spans="1:20" ht="12.75" customHeight="1" x14ac:dyDescent="0.3">
      <c r="A139" s="29"/>
      <c r="B139" s="29" t="s">
        <v>993</v>
      </c>
      <c r="C139" s="29"/>
      <c r="D139" s="29"/>
      <c r="E139" s="29"/>
      <c r="F139" s="29"/>
      <c r="G139" s="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1"/>
      <c r="N139" s="451"/>
      <c r="O139" s="452"/>
      <c r="P139" s="452"/>
      <c r="Q139" s="452"/>
      <c r="R139" s="452"/>
      <c r="S139" s="452"/>
      <c r="T139" s="158"/>
    </row>
    <row r="140" spans="1:20" ht="12.75" customHeight="1" x14ac:dyDescent="0.3">
      <c r="A140" s="29"/>
      <c r="B140" s="29" t="s">
        <v>993</v>
      </c>
      <c r="C140" s="29"/>
      <c r="D140" s="29"/>
      <c r="E140" s="29"/>
      <c r="F140" s="29"/>
      <c r="G140" s="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1"/>
      <c r="N140" s="451"/>
      <c r="O140" s="452"/>
      <c r="P140" s="452"/>
      <c r="Q140" s="452"/>
      <c r="R140" s="452"/>
      <c r="S140" s="452"/>
      <c r="T140" s="158"/>
    </row>
    <row r="141" spans="1:20" ht="12.75" customHeight="1" x14ac:dyDescent="0.3">
      <c r="A141" s="29"/>
      <c r="B141" s="29" t="s">
        <v>3</v>
      </c>
      <c r="C141" s="29"/>
      <c r="D141" s="29"/>
      <c r="E141" s="29"/>
      <c r="F141" s="29"/>
      <c r="G141" s="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1"/>
      <c r="N141" s="451"/>
      <c r="O141" s="452"/>
      <c r="P141" s="452"/>
      <c r="Q141" s="452"/>
      <c r="R141" s="452"/>
      <c r="S141" s="452"/>
      <c r="T141" s="158"/>
    </row>
    <row r="142" spans="1:20" ht="12.75" customHeight="1" x14ac:dyDescent="0.3">
      <c r="A142" s="29"/>
      <c r="B142" s="29" t="s">
        <v>990</v>
      </c>
      <c r="C142" s="29"/>
      <c r="D142" s="29"/>
      <c r="E142" s="29"/>
      <c r="F142" s="29"/>
      <c r="G142" s="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1"/>
      <c r="N142" s="451"/>
      <c r="O142" s="452"/>
      <c r="P142" s="452"/>
      <c r="Q142" s="452"/>
      <c r="R142" s="452"/>
      <c r="S142" s="452"/>
      <c r="T142" s="158"/>
    </row>
    <row r="143" spans="1:20" ht="12.75" customHeight="1" x14ac:dyDescent="0.3">
      <c r="A143" s="29"/>
      <c r="B143" s="29" t="s">
        <v>991</v>
      </c>
      <c r="C143" s="29"/>
      <c r="D143" s="29"/>
      <c r="E143" s="29"/>
      <c r="F143" s="29"/>
      <c r="G143" s="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1"/>
      <c r="N143" s="451"/>
      <c r="O143" s="452"/>
      <c r="P143" s="452"/>
      <c r="Q143" s="452"/>
      <c r="R143" s="452"/>
      <c r="S143" s="452"/>
      <c r="T143" s="158"/>
    </row>
    <row r="144" spans="1:20" ht="12.75" customHeight="1" x14ac:dyDescent="0.3">
      <c r="A144" s="29"/>
      <c r="B144" s="29" t="s">
        <v>994</v>
      </c>
      <c r="C144" s="29"/>
      <c r="D144" s="29"/>
      <c r="E144" s="29"/>
      <c r="F144" s="29"/>
      <c r="G144" s="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1"/>
      <c r="N144" s="451"/>
      <c r="O144" s="452"/>
      <c r="P144" s="452"/>
      <c r="Q144" s="452"/>
      <c r="R144" s="452"/>
      <c r="S144" s="452"/>
      <c r="T144" s="158"/>
    </row>
    <row r="145" spans="1:20" ht="12.75" customHeight="1" x14ac:dyDescent="0.3">
      <c r="A145" s="29"/>
      <c r="B145" s="29"/>
      <c r="C145" s="29"/>
      <c r="D145" s="29"/>
      <c r="E145" s="29"/>
      <c r="F145" s="29"/>
      <c r="G145" s="29"/>
      <c r="H145" s="29"/>
      <c r="I145" s="523"/>
      <c r="J145" s="339"/>
      <c r="K145" s="339"/>
      <c r="L145" s="339"/>
      <c r="M145" s="339"/>
      <c r="N145" s="339"/>
      <c r="O145" s="282"/>
      <c r="P145" s="282"/>
      <c r="Q145" s="282"/>
      <c r="R145" s="282"/>
      <c r="S145" s="282"/>
      <c r="T145" s="158"/>
    </row>
    <row r="146" spans="1:20" ht="12.75" customHeight="1" x14ac:dyDescent="0.3">
      <c r="A146" s="4" t="s">
        <v>593</v>
      </c>
      <c r="B146" s="29"/>
      <c r="C146" s="29"/>
      <c r="D146" s="29"/>
      <c r="E146" s="29"/>
      <c r="F146" s="29"/>
      <c r="G146" s="37"/>
      <c r="H146" s="100"/>
      <c r="I146" s="523"/>
      <c r="J146" s="353"/>
      <c r="K146" s="353"/>
      <c r="L146" s="353"/>
      <c r="M146" s="353"/>
      <c r="N146" s="353"/>
      <c r="O146" s="318"/>
      <c r="P146" s="318"/>
      <c r="Q146" s="318"/>
      <c r="R146" s="318"/>
      <c r="S146" s="318"/>
      <c r="T146" s="158"/>
    </row>
    <row r="147" spans="1:20" ht="12.75" customHeight="1" x14ac:dyDescent="0.3">
      <c r="A147" s="29"/>
      <c r="B147" s="29" t="s">
        <v>559</v>
      </c>
      <c r="C147" s="29"/>
      <c r="D147" s="29"/>
      <c r="E147" s="29"/>
      <c r="F147" s="29"/>
      <c r="G147" s="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1"/>
      <c r="N147" s="451"/>
      <c r="O147" s="452"/>
      <c r="P147" s="452"/>
      <c r="Q147" s="452"/>
      <c r="R147" s="452"/>
      <c r="S147" s="452"/>
      <c r="T147" s="158"/>
    </row>
    <row r="148" spans="1:20" ht="12.75" customHeight="1" x14ac:dyDescent="0.3">
      <c r="A148" s="29"/>
      <c r="B148" s="29" t="s">
        <v>560</v>
      </c>
      <c r="C148" s="29"/>
      <c r="D148" s="29"/>
      <c r="E148" s="29"/>
      <c r="F148" s="29"/>
      <c r="G148" s="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1"/>
      <c r="N148" s="451"/>
      <c r="O148" s="452"/>
      <c r="P148" s="452"/>
      <c r="Q148" s="452"/>
      <c r="R148" s="452"/>
      <c r="S148" s="452"/>
      <c r="T148" s="158"/>
    </row>
    <row r="149" spans="1:20" ht="12.75" customHeight="1" x14ac:dyDescent="0.3">
      <c r="A149" s="29"/>
      <c r="B149" s="29" t="s">
        <v>564</v>
      </c>
      <c r="C149" s="29"/>
      <c r="D149" s="29"/>
      <c r="E149" s="29"/>
      <c r="F149" s="29"/>
      <c r="G149" s="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1"/>
      <c r="N149" s="451"/>
      <c r="O149" s="452"/>
      <c r="P149" s="452"/>
      <c r="Q149" s="452"/>
      <c r="R149" s="452"/>
      <c r="S149" s="452"/>
      <c r="T149" s="158"/>
    </row>
    <row r="150" spans="1:20" ht="12.75" customHeight="1" x14ac:dyDescent="0.3">
      <c r="A150" s="29"/>
      <c r="B150" s="29" t="s">
        <v>561</v>
      </c>
      <c r="C150" s="29"/>
      <c r="D150" s="29"/>
      <c r="E150" s="29"/>
      <c r="F150" s="29"/>
      <c r="G150" s="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1"/>
      <c r="N150" s="451"/>
      <c r="O150" s="452"/>
      <c r="P150" s="452"/>
      <c r="Q150" s="452"/>
      <c r="R150" s="452"/>
      <c r="S150" s="452"/>
      <c r="T150" s="158"/>
    </row>
    <row r="151" spans="1:20" ht="12.75" customHeight="1" x14ac:dyDescent="0.3">
      <c r="A151" s="29"/>
      <c r="B151" s="29" t="s">
        <v>562</v>
      </c>
      <c r="C151" s="29"/>
      <c r="D151" s="29"/>
      <c r="E151" s="29"/>
      <c r="F151" s="29"/>
      <c r="G151" s="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1"/>
      <c r="N151" s="451"/>
      <c r="O151" s="452"/>
      <c r="P151" s="452"/>
      <c r="Q151" s="452"/>
      <c r="R151" s="452"/>
      <c r="S151" s="452"/>
      <c r="T151" s="158"/>
    </row>
    <row r="152" spans="1:20" ht="12.75" customHeight="1" x14ac:dyDescent="0.3">
      <c r="A152" s="29"/>
      <c r="B152" s="29" t="s">
        <v>563</v>
      </c>
      <c r="C152" s="29"/>
      <c r="D152" s="29"/>
      <c r="E152" s="29"/>
      <c r="F152" s="29"/>
      <c r="G152" s="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1"/>
      <c r="N152" s="451"/>
      <c r="O152" s="452"/>
      <c r="P152" s="452"/>
      <c r="Q152" s="452"/>
      <c r="R152" s="452"/>
      <c r="S152" s="452"/>
      <c r="T152" s="158"/>
    </row>
    <row r="153" spans="1:20" ht="12.75" customHeight="1" x14ac:dyDescent="0.3">
      <c r="A153" s="29"/>
      <c r="B153" s="29" t="s">
        <v>269</v>
      </c>
      <c r="C153" s="29"/>
      <c r="D153" s="29"/>
      <c r="E153" s="29"/>
      <c r="F153" s="29"/>
      <c r="G153" s="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1"/>
      <c r="N153" s="451"/>
      <c r="O153" s="452"/>
      <c r="P153" s="452"/>
      <c r="Q153" s="452"/>
      <c r="R153" s="452"/>
      <c r="S153" s="452"/>
      <c r="T153" s="158"/>
    </row>
    <row r="154" spans="1:20" ht="12.75" customHeight="1" x14ac:dyDescent="0.3">
      <c r="A154" s="29"/>
      <c r="B154" s="29" t="s">
        <v>270</v>
      </c>
      <c r="C154" s="29"/>
      <c r="D154" s="29"/>
      <c r="E154" s="29"/>
      <c r="F154" s="29"/>
      <c r="G154" s="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1"/>
      <c r="N154" s="451"/>
      <c r="O154" s="452"/>
      <c r="P154" s="452"/>
      <c r="Q154" s="452"/>
      <c r="R154" s="452"/>
      <c r="S154" s="452"/>
      <c r="T154" s="158"/>
    </row>
    <row r="155" spans="1:20" ht="12.75" customHeight="1" x14ac:dyDescent="0.3">
      <c r="A155" s="29"/>
      <c r="B155" s="29" t="s">
        <v>203</v>
      </c>
      <c r="C155" s="29"/>
      <c r="D155" s="29"/>
      <c r="E155" s="29"/>
      <c r="F155" s="29"/>
      <c r="G155" s="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1"/>
      <c r="N155" s="451"/>
      <c r="O155" s="452"/>
      <c r="P155" s="452"/>
      <c r="Q155" s="452"/>
      <c r="R155" s="452"/>
      <c r="S155" s="452"/>
      <c r="T155" s="158"/>
    </row>
    <row r="156" spans="1:20" ht="12.75" customHeight="1" x14ac:dyDescent="0.3">
      <c r="A156" s="36"/>
      <c r="B156" s="36" t="s">
        <v>1075</v>
      </c>
      <c r="C156" s="29"/>
      <c r="D156" s="29"/>
      <c r="E156" s="94"/>
      <c r="F156" s="94"/>
      <c r="G156" s="94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1"/>
      <c r="N156" s="451"/>
      <c r="O156" s="452"/>
      <c r="P156" s="452"/>
      <c r="Q156" s="452"/>
      <c r="R156" s="452"/>
      <c r="S156" s="452"/>
      <c r="T156" s="158"/>
    </row>
    <row r="157" spans="1:20" ht="12.75" customHeight="1" x14ac:dyDescent="0.3">
      <c r="A157" s="29"/>
      <c r="B157" s="29" t="s">
        <v>204</v>
      </c>
      <c r="C157" s="29"/>
      <c r="D157" s="29"/>
      <c r="E157" s="29"/>
      <c r="F157" s="29"/>
      <c r="G157" s="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1"/>
      <c r="N157" s="451"/>
      <c r="O157" s="452"/>
      <c r="P157" s="452"/>
      <c r="Q157" s="452"/>
      <c r="R157" s="452"/>
      <c r="S157" s="452"/>
      <c r="T157" s="158"/>
    </row>
    <row r="158" spans="1:20" ht="12.75" customHeight="1" x14ac:dyDescent="0.3">
      <c r="A158" s="36"/>
      <c r="B158" s="36" t="s">
        <v>984</v>
      </c>
      <c r="C158" s="95"/>
      <c r="D158" s="95"/>
      <c r="E158" s="29"/>
      <c r="F158" s="29"/>
      <c r="G158" s="94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1"/>
      <c r="N158" s="451"/>
      <c r="O158" s="452"/>
      <c r="P158" s="452"/>
      <c r="Q158" s="452"/>
      <c r="R158" s="452"/>
      <c r="S158" s="452"/>
      <c r="T158" s="158"/>
    </row>
    <row r="159" spans="1:20" ht="12.75" customHeight="1" x14ac:dyDescent="0.3">
      <c r="A159" s="134"/>
      <c r="B159" s="134"/>
      <c r="C159" s="134"/>
      <c r="D159" s="134"/>
      <c r="E159" s="134"/>
      <c r="F159" s="134"/>
      <c r="G159" s="115"/>
      <c r="H159" s="115"/>
      <c r="I159" s="457"/>
      <c r="J159" s="322"/>
      <c r="K159" s="322"/>
      <c r="L159" s="322"/>
      <c r="M159" s="322"/>
      <c r="N159" s="322"/>
      <c r="O159" s="463"/>
      <c r="P159" s="463"/>
      <c r="Q159" s="463"/>
      <c r="R159" s="463"/>
      <c r="S159" s="463"/>
      <c r="T159" s="158"/>
    </row>
    <row r="160" spans="1:20" ht="12.75" customHeight="1" x14ac:dyDescent="0.3">
      <c r="A160" s="29"/>
      <c r="B160" s="29"/>
      <c r="C160" s="29"/>
      <c r="D160" s="29"/>
      <c r="E160" s="29"/>
      <c r="F160" s="29"/>
      <c r="G160" s="36"/>
      <c r="H160" s="36"/>
      <c r="I160" s="342"/>
      <c r="J160" s="320"/>
      <c r="K160" s="320"/>
      <c r="L160" s="320"/>
      <c r="M160" s="320"/>
      <c r="N160" s="320"/>
      <c r="O160" s="325"/>
      <c r="P160" s="325"/>
      <c r="Q160" s="325"/>
      <c r="R160" s="325"/>
      <c r="S160" s="325"/>
      <c r="T160" s="158"/>
    </row>
    <row r="161" spans="1:20" ht="12.75" customHeight="1" x14ac:dyDescent="0.3">
      <c r="A161" s="44" t="s">
        <v>465</v>
      </c>
      <c r="B161" s="29"/>
      <c r="C161" s="29"/>
      <c r="D161" s="29"/>
      <c r="E161" s="29"/>
      <c r="F161" s="29"/>
      <c r="G161" s="36"/>
      <c r="H161" s="36"/>
      <c r="I161" s="342"/>
      <c r="J161" s="320"/>
      <c r="K161" s="320"/>
      <c r="L161" s="320"/>
      <c r="M161" s="320"/>
      <c r="N161" s="320"/>
      <c r="O161" s="325"/>
      <c r="P161" s="325"/>
      <c r="Q161" s="325"/>
      <c r="R161" s="325"/>
      <c r="S161" s="325"/>
      <c r="T161" s="158"/>
    </row>
    <row r="162" spans="1:20" ht="12.75" customHeight="1" x14ac:dyDescent="0.3">
      <c r="A162" s="29"/>
      <c r="B162" s="29"/>
      <c r="C162" s="29"/>
      <c r="D162" s="29"/>
      <c r="E162" s="29"/>
      <c r="F162" s="29"/>
      <c r="G162" s="36"/>
      <c r="H162" s="36"/>
      <c r="I162" s="342"/>
      <c r="J162" s="320"/>
      <c r="K162" s="320"/>
      <c r="L162" s="320"/>
      <c r="M162" s="320"/>
      <c r="N162" s="320"/>
      <c r="O162" s="325"/>
      <c r="P162" s="325"/>
      <c r="Q162" s="325"/>
      <c r="R162" s="325"/>
      <c r="S162" s="325"/>
      <c r="T162" s="158"/>
    </row>
    <row r="163" spans="1:20" ht="12.75" customHeight="1" x14ac:dyDescent="0.3">
      <c r="A163" s="97" t="s">
        <v>1310</v>
      </c>
      <c r="B163" s="97"/>
      <c r="C163" s="97"/>
      <c r="D163" s="97"/>
      <c r="E163" s="97"/>
      <c r="F163" s="97"/>
      <c r="G163" s="98"/>
      <c r="H163" s="98"/>
      <c r="I163" s="340"/>
      <c r="J163" s="464"/>
      <c r="K163" s="464"/>
      <c r="L163" s="464"/>
      <c r="M163" s="464"/>
      <c r="N163" s="464"/>
      <c r="O163" s="465"/>
      <c r="P163" s="465"/>
      <c r="Q163" s="465"/>
      <c r="R163" s="465"/>
      <c r="S163" s="465"/>
      <c r="T163" s="158"/>
    </row>
    <row r="164" spans="1:20" ht="12.75" customHeight="1" x14ac:dyDescent="0.3">
      <c r="A164" s="92"/>
      <c r="B164" s="92"/>
      <c r="C164" s="92"/>
      <c r="D164" s="92"/>
      <c r="E164" s="92"/>
      <c r="F164" s="92"/>
      <c r="G164" s="93"/>
      <c r="H164" s="93"/>
      <c r="I164" s="524"/>
      <c r="J164" s="466"/>
      <c r="K164" s="466"/>
      <c r="L164" s="466"/>
      <c r="M164" s="466"/>
      <c r="N164" s="466"/>
      <c r="O164" s="467"/>
      <c r="P164" s="467"/>
      <c r="Q164" s="467"/>
      <c r="R164" s="467"/>
      <c r="S164" s="467"/>
      <c r="T164" s="158"/>
    </row>
    <row r="165" spans="1:20" ht="12.75" customHeight="1" x14ac:dyDescent="0.3">
      <c r="A165" s="36" t="s">
        <v>1089</v>
      </c>
      <c r="B165" s="29"/>
      <c r="C165" s="29"/>
      <c r="D165" s="29"/>
      <c r="E165" s="29"/>
      <c r="F165" s="29"/>
      <c r="G165" s="37" t="s">
        <v>529</v>
      </c>
      <c r="H165" s="36" t="s">
        <v>2316</v>
      </c>
      <c r="I165" s="522">
        <f>regional!I5</f>
        <v>0</v>
      </c>
      <c r="J165" s="468"/>
      <c r="K165" s="468"/>
      <c r="L165" s="468"/>
      <c r="M165" s="468"/>
      <c r="N165" s="451"/>
      <c r="O165" s="452"/>
      <c r="P165" s="452"/>
      <c r="Q165" s="452"/>
      <c r="R165" s="452"/>
      <c r="S165" s="452"/>
      <c r="T165" s="158"/>
    </row>
    <row r="166" spans="1:20" ht="12.75" customHeight="1" x14ac:dyDescent="0.3">
      <c r="A166" s="36" t="s">
        <v>282</v>
      </c>
      <c r="B166" s="29"/>
      <c r="C166" s="29"/>
      <c r="D166" s="29"/>
      <c r="E166" s="29"/>
      <c r="F166" s="29"/>
      <c r="G166" s="37" t="s">
        <v>283</v>
      </c>
      <c r="H166" s="36" t="s">
        <v>2316</v>
      </c>
      <c r="I166" s="522">
        <f>regional!I6</f>
        <v>0</v>
      </c>
      <c r="J166" s="468"/>
      <c r="K166" s="468"/>
      <c r="L166" s="468"/>
      <c r="M166" s="468"/>
      <c r="N166" s="451"/>
      <c r="O166" s="452"/>
      <c r="P166" s="452"/>
      <c r="Q166" s="452"/>
      <c r="R166" s="452"/>
      <c r="S166" s="452"/>
      <c r="T166" s="158"/>
    </row>
    <row r="167" spans="1:20" ht="12.75" customHeight="1" x14ac:dyDescent="0.3">
      <c r="A167" s="36" t="s">
        <v>708</v>
      </c>
      <c r="B167" s="29"/>
      <c r="C167" s="29"/>
      <c r="D167" s="29"/>
      <c r="E167" s="29"/>
      <c r="F167" s="29"/>
      <c r="G167" s="37" t="s">
        <v>530</v>
      </c>
      <c r="H167" s="36" t="s">
        <v>2316</v>
      </c>
      <c r="I167" s="522">
        <f>regional!I7</f>
        <v>0</v>
      </c>
      <c r="J167" s="468"/>
      <c r="K167" s="468"/>
      <c r="L167" s="468"/>
      <c r="M167" s="468"/>
      <c r="N167" s="451"/>
      <c r="O167" s="452"/>
      <c r="P167" s="452"/>
      <c r="Q167" s="452"/>
      <c r="R167" s="452"/>
      <c r="S167" s="452"/>
      <c r="T167" s="158"/>
    </row>
    <row r="168" spans="1:20" ht="12.75" customHeight="1" x14ac:dyDescent="0.3">
      <c r="A168" s="36" t="s">
        <v>709</v>
      </c>
      <c r="B168" s="29"/>
      <c r="C168" s="29"/>
      <c r="D168" s="29"/>
      <c r="E168" s="29"/>
      <c r="F168" s="29"/>
      <c r="G168" s="37" t="s">
        <v>1240</v>
      </c>
      <c r="H168" s="36" t="s">
        <v>2316</v>
      </c>
      <c r="I168" s="522">
        <f>regional!I8</f>
        <v>0</v>
      </c>
      <c r="J168" s="468"/>
      <c r="K168" s="468"/>
      <c r="L168" s="468"/>
      <c r="M168" s="468"/>
      <c r="N168" s="451"/>
      <c r="O168" s="452"/>
      <c r="P168" s="452"/>
      <c r="Q168" s="452"/>
      <c r="R168" s="452"/>
      <c r="S168" s="452"/>
      <c r="T168" s="158"/>
    </row>
    <row r="169" spans="1:20" ht="12.75" customHeight="1" x14ac:dyDescent="0.3">
      <c r="A169" s="36" t="s">
        <v>710</v>
      </c>
      <c r="B169" s="29"/>
      <c r="C169" s="29"/>
      <c r="D169" s="29"/>
      <c r="E169" s="29"/>
      <c r="F169" s="29"/>
      <c r="G169" s="37" t="s">
        <v>1241</v>
      </c>
      <c r="H169" s="36" t="s">
        <v>2316</v>
      </c>
      <c r="I169" s="522">
        <f>regional!I9</f>
        <v>0</v>
      </c>
      <c r="J169" s="468"/>
      <c r="K169" s="468"/>
      <c r="L169" s="468"/>
      <c r="M169" s="468"/>
      <c r="N169" s="451"/>
      <c r="O169" s="452"/>
      <c r="P169" s="452"/>
      <c r="Q169" s="452"/>
      <c r="R169" s="452"/>
      <c r="S169" s="452"/>
      <c r="T169" s="158"/>
    </row>
    <row r="170" spans="1:20" ht="12.75" customHeight="1" x14ac:dyDescent="0.3">
      <c r="A170" s="36" t="s">
        <v>711</v>
      </c>
      <c r="B170" s="29"/>
      <c r="C170" s="29"/>
      <c r="D170" s="29"/>
      <c r="E170" s="29"/>
      <c r="F170" s="29"/>
      <c r="G170" s="37" t="s">
        <v>1242</v>
      </c>
      <c r="H170" s="36" t="s">
        <v>2316</v>
      </c>
      <c r="I170" s="522">
        <f>regional!I10</f>
        <v>0</v>
      </c>
      <c r="J170" s="468"/>
      <c r="K170" s="468"/>
      <c r="L170" s="468"/>
      <c r="M170" s="468"/>
      <c r="N170" s="451"/>
      <c r="O170" s="452"/>
      <c r="P170" s="452"/>
      <c r="Q170" s="452"/>
      <c r="R170" s="452"/>
      <c r="S170" s="452"/>
      <c r="T170" s="158"/>
    </row>
    <row r="171" spans="1:20" ht="12.75" customHeight="1" x14ac:dyDescent="0.3">
      <c r="A171" s="36" t="s">
        <v>712</v>
      </c>
      <c r="B171" s="29"/>
      <c r="C171" s="29"/>
      <c r="D171" s="29"/>
      <c r="E171" s="29"/>
      <c r="F171" s="29"/>
      <c r="G171" s="37" t="s">
        <v>1243</v>
      </c>
      <c r="H171" s="36" t="s">
        <v>2316</v>
      </c>
      <c r="I171" s="522">
        <f>regional!I11</f>
        <v>0</v>
      </c>
      <c r="J171" s="468"/>
      <c r="K171" s="468"/>
      <c r="L171" s="468"/>
      <c r="M171" s="468"/>
      <c r="N171" s="451"/>
      <c r="O171" s="452"/>
      <c r="P171" s="452"/>
      <c r="Q171" s="452"/>
      <c r="R171" s="452"/>
      <c r="S171" s="452"/>
      <c r="T171" s="158"/>
    </row>
    <row r="172" spans="1:20" ht="12.75" customHeight="1" x14ac:dyDescent="0.3">
      <c r="A172" s="36" t="s">
        <v>713</v>
      </c>
      <c r="B172" s="29"/>
      <c r="C172" s="29"/>
      <c r="D172" s="29"/>
      <c r="E172" s="29"/>
      <c r="F172" s="29"/>
      <c r="G172" s="37" t="s">
        <v>1244</v>
      </c>
      <c r="H172" s="36" t="s">
        <v>2316</v>
      </c>
      <c r="I172" s="522">
        <f>regional!I12</f>
        <v>0</v>
      </c>
      <c r="J172" s="468"/>
      <c r="K172" s="468"/>
      <c r="L172" s="468"/>
      <c r="M172" s="468"/>
      <c r="N172" s="451"/>
      <c r="O172" s="452"/>
      <c r="P172" s="452"/>
      <c r="Q172" s="452"/>
      <c r="R172" s="452"/>
      <c r="S172" s="452"/>
      <c r="T172" s="158"/>
    </row>
    <row r="173" spans="1:20" ht="12.75" customHeight="1" x14ac:dyDescent="0.3">
      <c r="A173" s="36" t="s">
        <v>210</v>
      </c>
      <c r="B173" s="29"/>
      <c r="C173" s="29"/>
      <c r="D173" s="29"/>
      <c r="E173" s="29"/>
      <c r="F173" s="29"/>
      <c r="G173" s="37" t="s">
        <v>1245</v>
      </c>
      <c r="H173" s="36" t="s">
        <v>2316</v>
      </c>
      <c r="I173" s="522">
        <f>regional!I13</f>
        <v>0</v>
      </c>
      <c r="J173" s="468"/>
      <c r="K173" s="468"/>
      <c r="L173" s="468"/>
      <c r="M173" s="468"/>
      <c r="N173" s="451"/>
      <c r="O173" s="452"/>
      <c r="P173" s="452"/>
      <c r="Q173" s="452"/>
      <c r="R173" s="452"/>
      <c r="S173" s="452"/>
      <c r="T173" s="158"/>
    </row>
    <row r="174" spans="1:20" ht="12.75" customHeight="1" x14ac:dyDescent="0.3">
      <c r="A174" s="36"/>
      <c r="B174" s="36" t="s">
        <v>1090</v>
      </c>
      <c r="C174" s="29"/>
      <c r="D174" s="29"/>
      <c r="E174" s="29"/>
      <c r="F174" s="29"/>
      <c r="G174" s="37" t="s">
        <v>667</v>
      </c>
      <c r="H174" s="36" t="s">
        <v>2313</v>
      </c>
      <c r="I174" s="522">
        <f>regional!I14</f>
        <v>0</v>
      </c>
      <c r="J174" s="468"/>
      <c r="K174" s="468"/>
      <c r="L174" s="468"/>
      <c r="M174" s="468"/>
      <c r="N174" s="451"/>
      <c r="O174" s="452"/>
      <c r="P174" s="452"/>
      <c r="Q174" s="452"/>
      <c r="R174" s="452"/>
      <c r="S174" s="452"/>
      <c r="T174" s="158"/>
    </row>
    <row r="175" spans="1:20" ht="12.75" customHeight="1" x14ac:dyDescent="0.3">
      <c r="A175" s="36"/>
      <c r="B175" s="36" t="s">
        <v>284</v>
      </c>
      <c r="C175" s="29"/>
      <c r="D175" s="29"/>
      <c r="E175" s="29"/>
      <c r="F175" s="29"/>
      <c r="G175" s="94" t="s">
        <v>285</v>
      </c>
      <c r="H175" s="36" t="s">
        <v>36</v>
      </c>
      <c r="I175" s="522">
        <f>regional!I15</f>
        <v>0</v>
      </c>
      <c r="J175" s="468"/>
      <c r="K175" s="468"/>
      <c r="L175" s="468"/>
      <c r="M175" s="468"/>
      <c r="N175" s="451"/>
      <c r="O175" s="452"/>
      <c r="P175" s="452"/>
      <c r="Q175" s="452"/>
      <c r="R175" s="452"/>
      <c r="S175" s="452"/>
      <c r="T175" s="158"/>
    </row>
    <row r="176" spans="1:20" ht="12.75" customHeight="1" x14ac:dyDescent="0.3">
      <c r="A176" s="36"/>
      <c r="B176" s="36" t="s">
        <v>1091</v>
      </c>
      <c r="C176" s="29"/>
      <c r="D176" s="29"/>
      <c r="E176" s="29"/>
      <c r="F176" s="29"/>
      <c r="G176" s="94" t="s">
        <v>1190</v>
      </c>
      <c r="H176" s="36" t="s">
        <v>36</v>
      </c>
      <c r="I176" s="522">
        <f>regional!I16</f>
        <v>0</v>
      </c>
      <c r="J176" s="468"/>
      <c r="K176" s="468"/>
      <c r="L176" s="468"/>
      <c r="M176" s="468"/>
      <c r="N176" s="451"/>
      <c r="O176" s="452"/>
      <c r="P176" s="452"/>
      <c r="Q176" s="452"/>
      <c r="R176" s="452"/>
      <c r="S176" s="452"/>
      <c r="T176" s="158"/>
    </row>
    <row r="177" spans="1:20" ht="12.75" customHeight="1" x14ac:dyDescent="0.3">
      <c r="A177" s="36"/>
      <c r="B177" s="36" t="s">
        <v>1093</v>
      </c>
      <c r="C177" s="29"/>
      <c r="D177" s="29"/>
      <c r="E177" s="29"/>
      <c r="F177" s="29"/>
      <c r="G177" s="94" t="s">
        <v>1192</v>
      </c>
      <c r="H177" s="36" t="s">
        <v>36</v>
      </c>
      <c r="I177" s="522">
        <f>regional!I17</f>
        <v>0</v>
      </c>
      <c r="J177" s="468"/>
      <c r="K177" s="468"/>
      <c r="L177" s="468"/>
      <c r="M177" s="468"/>
      <c r="N177" s="451"/>
      <c r="O177" s="452"/>
      <c r="P177" s="452"/>
      <c r="Q177" s="452"/>
      <c r="R177" s="452"/>
      <c r="S177" s="452"/>
      <c r="T177" s="158"/>
    </row>
    <row r="178" spans="1:20" ht="12.75" customHeight="1" x14ac:dyDescent="0.3">
      <c r="A178" s="36"/>
      <c r="B178" s="36" t="s">
        <v>886</v>
      </c>
      <c r="C178" s="29"/>
      <c r="D178" s="29"/>
      <c r="E178" s="29"/>
      <c r="F178" s="29"/>
      <c r="G178" s="94" t="s">
        <v>1193</v>
      </c>
      <c r="H178" s="36" t="s">
        <v>36</v>
      </c>
      <c r="I178" s="522">
        <f>regional!I18</f>
        <v>0</v>
      </c>
      <c r="J178" s="468"/>
      <c r="K178" s="468"/>
      <c r="L178" s="468"/>
      <c r="M178" s="468"/>
      <c r="N178" s="451"/>
      <c r="O178" s="452"/>
      <c r="P178" s="452"/>
      <c r="Q178" s="452"/>
      <c r="R178" s="452"/>
      <c r="S178" s="452"/>
      <c r="T178" s="158"/>
    </row>
    <row r="179" spans="1:20" ht="12.75" customHeight="1" x14ac:dyDescent="0.3">
      <c r="A179" s="36"/>
      <c r="B179" s="36" t="s">
        <v>887</v>
      </c>
      <c r="C179" s="29"/>
      <c r="D179" s="29"/>
      <c r="E179" s="29"/>
      <c r="F179" s="29"/>
      <c r="G179" s="94" t="s">
        <v>1194</v>
      </c>
      <c r="H179" s="36" t="s">
        <v>36</v>
      </c>
      <c r="I179" s="522">
        <f>regional!I19</f>
        <v>0</v>
      </c>
      <c r="J179" s="468"/>
      <c r="K179" s="468"/>
      <c r="L179" s="468"/>
      <c r="M179" s="468"/>
      <c r="N179" s="451"/>
      <c r="O179" s="452"/>
      <c r="P179" s="452"/>
      <c r="Q179" s="452"/>
      <c r="R179" s="452"/>
      <c r="S179" s="452"/>
      <c r="T179" s="158"/>
    </row>
    <row r="180" spans="1:20" ht="12.75" customHeight="1" x14ac:dyDescent="0.3">
      <c r="A180" s="36"/>
      <c r="B180" s="36" t="s">
        <v>1092</v>
      </c>
      <c r="C180" s="29"/>
      <c r="D180" s="29"/>
      <c r="E180" s="29"/>
      <c r="F180" s="29"/>
      <c r="G180" s="94" t="s">
        <v>1191</v>
      </c>
      <c r="H180" s="36" t="s">
        <v>36</v>
      </c>
      <c r="I180" s="522">
        <f>regional!I20</f>
        <v>0</v>
      </c>
      <c r="J180" s="468"/>
      <c r="K180" s="468"/>
      <c r="L180" s="468"/>
      <c r="M180" s="468"/>
      <c r="N180" s="451"/>
      <c r="O180" s="452"/>
      <c r="P180" s="452"/>
      <c r="Q180" s="452"/>
      <c r="R180" s="452"/>
      <c r="S180" s="452"/>
      <c r="T180" s="158"/>
    </row>
    <row r="181" spans="1:20" ht="12.75" customHeight="1" x14ac:dyDescent="0.3">
      <c r="A181" s="36"/>
      <c r="B181" s="29"/>
      <c r="C181" s="36" t="s">
        <v>767</v>
      </c>
      <c r="D181" s="95"/>
      <c r="E181" s="95"/>
      <c r="F181" s="29"/>
      <c r="G181" s="94" t="s">
        <v>1195</v>
      </c>
      <c r="H181" s="36" t="s">
        <v>719</v>
      </c>
      <c r="I181" s="522">
        <f>regional!I21</f>
        <v>0</v>
      </c>
      <c r="J181" s="468"/>
      <c r="K181" s="468"/>
      <c r="L181" s="468"/>
      <c r="M181" s="468"/>
      <c r="N181" s="451"/>
      <c r="O181" s="452"/>
      <c r="P181" s="452"/>
      <c r="Q181" s="452"/>
      <c r="R181" s="452"/>
      <c r="S181" s="452"/>
      <c r="T181" s="158"/>
    </row>
    <row r="182" spans="1:20" ht="12.75" customHeight="1" x14ac:dyDescent="0.3">
      <c r="A182" s="36"/>
      <c r="B182" s="29"/>
      <c r="C182" s="36" t="s">
        <v>286</v>
      </c>
      <c r="D182" s="95"/>
      <c r="E182" s="95"/>
      <c r="F182" s="29"/>
      <c r="G182" s="94" t="s">
        <v>287</v>
      </c>
      <c r="H182" s="36" t="s">
        <v>719</v>
      </c>
      <c r="I182" s="522">
        <f>regional!I22</f>
        <v>0</v>
      </c>
      <c r="J182" s="468"/>
      <c r="K182" s="468"/>
      <c r="L182" s="468"/>
      <c r="M182" s="468"/>
      <c r="N182" s="451"/>
      <c r="O182" s="452"/>
      <c r="P182" s="452"/>
      <c r="Q182" s="452"/>
      <c r="R182" s="452"/>
      <c r="S182" s="452"/>
      <c r="T182" s="158"/>
    </row>
    <row r="183" spans="1:20" ht="12.75" customHeight="1" x14ac:dyDescent="0.3">
      <c r="A183" s="36"/>
      <c r="B183" s="29"/>
      <c r="C183" s="36" t="s">
        <v>768</v>
      </c>
      <c r="D183" s="95"/>
      <c r="E183" s="95"/>
      <c r="F183" s="29"/>
      <c r="G183" s="94" t="s">
        <v>1196</v>
      </c>
      <c r="H183" s="36" t="s">
        <v>719</v>
      </c>
      <c r="I183" s="522">
        <f>regional!I23</f>
        <v>0</v>
      </c>
      <c r="J183" s="468"/>
      <c r="K183" s="468"/>
      <c r="L183" s="468"/>
      <c r="M183" s="468"/>
      <c r="N183" s="451"/>
      <c r="O183" s="452"/>
      <c r="P183" s="452"/>
      <c r="Q183" s="452"/>
      <c r="R183" s="452"/>
      <c r="S183" s="452"/>
      <c r="T183" s="158"/>
    </row>
    <row r="184" spans="1:20" ht="12.75" customHeight="1" x14ac:dyDescent="0.3">
      <c r="A184" s="36"/>
      <c r="B184" s="29"/>
      <c r="C184" s="36" t="s">
        <v>769</v>
      </c>
      <c r="D184" s="95"/>
      <c r="E184" s="95"/>
      <c r="F184" s="29"/>
      <c r="G184" s="94" t="s">
        <v>1197</v>
      </c>
      <c r="H184" s="36" t="s">
        <v>719</v>
      </c>
      <c r="I184" s="522">
        <f>regional!I24</f>
        <v>0</v>
      </c>
      <c r="J184" s="468"/>
      <c r="K184" s="468"/>
      <c r="L184" s="468"/>
      <c r="M184" s="468"/>
      <c r="N184" s="451"/>
      <c r="O184" s="452"/>
      <c r="P184" s="452"/>
      <c r="Q184" s="452"/>
      <c r="R184" s="452"/>
      <c r="S184" s="452"/>
      <c r="T184" s="158"/>
    </row>
    <row r="185" spans="1:20" ht="12.75" customHeight="1" x14ac:dyDescent="0.3">
      <c r="A185" s="36"/>
      <c r="B185" s="29"/>
      <c r="C185" s="36" t="s">
        <v>770</v>
      </c>
      <c r="D185" s="95"/>
      <c r="E185" s="95"/>
      <c r="F185" s="29"/>
      <c r="G185" s="94" t="s">
        <v>1198</v>
      </c>
      <c r="H185" s="36" t="s">
        <v>721</v>
      </c>
      <c r="I185" s="522">
        <f>regional!I25</f>
        <v>0</v>
      </c>
      <c r="J185" s="468"/>
      <c r="K185" s="468"/>
      <c r="L185" s="468"/>
      <c r="M185" s="468"/>
      <c r="N185" s="451"/>
      <c r="O185" s="452"/>
      <c r="P185" s="452"/>
      <c r="Q185" s="452"/>
      <c r="R185" s="452"/>
      <c r="S185" s="452"/>
      <c r="T185" s="158"/>
    </row>
    <row r="186" spans="1:20" ht="12.75" customHeight="1" x14ac:dyDescent="0.3">
      <c r="A186" s="36"/>
      <c r="B186" s="29"/>
      <c r="C186" s="36" t="s">
        <v>576</v>
      </c>
      <c r="D186" s="95"/>
      <c r="E186" s="95"/>
      <c r="F186" s="29"/>
      <c r="G186" s="94" t="s">
        <v>1199</v>
      </c>
      <c r="H186" s="36" t="s">
        <v>721</v>
      </c>
      <c r="I186" s="522">
        <f>regional!I26</f>
        <v>0</v>
      </c>
      <c r="J186" s="468"/>
      <c r="K186" s="468"/>
      <c r="L186" s="468"/>
      <c r="M186" s="468"/>
      <c r="N186" s="451"/>
      <c r="O186" s="452"/>
      <c r="P186" s="452"/>
      <c r="Q186" s="452"/>
      <c r="R186" s="452"/>
      <c r="S186" s="452"/>
      <c r="T186" s="158"/>
    </row>
    <row r="187" spans="1:20" ht="12.75" customHeight="1" x14ac:dyDescent="0.3">
      <c r="A187" s="36"/>
      <c r="B187" s="29"/>
      <c r="C187" s="36" t="s">
        <v>3964</v>
      </c>
      <c r="D187" s="95"/>
      <c r="E187" s="95"/>
      <c r="F187" s="29"/>
      <c r="G187" s="94" t="s">
        <v>1200</v>
      </c>
      <c r="H187" s="36" t="s">
        <v>719</v>
      </c>
      <c r="I187" s="522">
        <f>regional!I27</f>
        <v>0</v>
      </c>
      <c r="J187" s="468"/>
      <c r="K187" s="468"/>
      <c r="L187" s="468"/>
      <c r="M187" s="468"/>
      <c r="N187" s="451"/>
      <c r="O187" s="452"/>
      <c r="P187" s="452"/>
      <c r="Q187" s="452"/>
      <c r="R187" s="452"/>
      <c r="S187" s="452"/>
      <c r="T187" s="158"/>
    </row>
    <row r="188" spans="1:20" ht="12.75" customHeight="1" x14ac:dyDescent="0.3">
      <c r="A188" s="36"/>
      <c r="B188" s="29"/>
      <c r="C188" s="36" t="s">
        <v>3965</v>
      </c>
      <c r="D188" s="95"/>
      <c r="E188" s="95"/>
      <c r="F188" s="29"/>
      <c r="G188" s="94" t="s">
        <v>57</v>
      </c>
      <c r="H188" s="36" t="s">
        <v>719</v>
      </c>
      <c r="I188" s="522">
        <f>regional!I28</f>
        <v>0</v>
      </c>
      <c r="J188" s="468"/>
      <c r="K188" s="468"/>
      <c r="L188" s="468"/>
      <c r="M188" s="468"/>
      <c r="N188" s="451"/>
      <c r="O188" s="452"/>
      <c r="P188" s="452"/>
      <c r="Q188" s="452"/>
      <c r="R188" s="452"/>
      <c r="S188" s="452"/>
      <c r="T188" s="158"/>
    </row>
    <row r="189" spans="1:20" ht="12.75" customHeight="1" x14ac:dyDescent="0.3">
      <c r="A189" s="36"/>
      <c r="B189" s="29"/>
      <c r="C189" s="36" t="s">
        <v>3966</v>
      </c>
      <c r="D189" s="95"/>
      <c r="E189" s="95"/>
      <c r="F189" s="29"/>
      <c r="G189" s="94" t="s">
        <v>58</v>
      </c>
      <c r="H189" s="36" t="s">
        <v>719</v>
      </c>
      <c r="I189" s="522">
        <f>regional!I29</f>
        <v>0</v>
      </c>
      <c r="J189" s="468"/>
      <c r="K189" s="468"/>
      <c r="L189" s="468"/>
      <c r="M189" s="468"/>
      <c r="N189" s="451"/>
      <c r="O189" s="452"/>
      <c r="P189" s="452"/>
      <c r="Q189" s="452"/>
      <c r="R189" s="452"/>
      <c r="S189" s="452"/>
      <c r="T189" s="158"/>
    </row>
    <row r="190" spans="1:20" ht="12.75" customHeight="1" x14ac:dyDescent="0.3">
      <c r="A190" s="29"/>
      <c r="B190" s="29"/>
      <c r="C190" s="29" t="s">
        <v>216</v>
      </c>
      <c r="D190" s="29"/>
      <c r="E190" s="29"/>
      <c r="F190" s="29"/>
      <c r="G190" s="36" t="s">
        <v>3967</v>
      </c>
      <c r="H190" s="36" t="s">
        <v>722</v>
      </c>
      <c r="I190" s="522">
        <f>regional!I30</f>
        <v>0</v>
      </c>
      <c r="J190" s="468"/>
      <c r="K190" s="468"/>
      <c r="L190" s="468"/>
      <c r="M190" s="468"/>
      <c r="N190" s="451">
        <v>4.9999999999999995E-11</v>
      </c>
      <c r="O190" s="452">
        <v>4.9999999999999995E-11</v>
      </c>
      <c r="P190" s="452">
        <v>4.9999999999999995E-11</v>
      </c>
      <c r="Q190" s="452">
        <v>4.9999999999999995E-11</v>
      </c>
      <c r="R190" s="452">
        <v>4.9999999999999995E-11</v>
      </c>
      <c r="S190" s="452"/>
      <c r="T190" s="158"/>
    </row>
    <row r="191" spans="1:20" ht="12.75" customHeight="1" x14ac:dyDescent="0.3">
      <c r="A191" s="29"/>
      <c r="B191" s="29"/>
      <c r="C191" s="29" t="s">
        <v>217</v>
      </c>
      <c r="D191" s="29"/>
      <c r="E191" s="29"/>
      <c r="F191" s="29"/>
      <c r="G191" s="36" t="s">
        <v>3968</v>
      </c>
      <c r="H191" s="36" t="s">
        <v>722</v>
      </c>
      <c r="I191" s="522">
        <f>regional!I31</f>
        <v>0</v>
      </c>
      <c r="J191" s="468"/>
      <c r="K191" s="468"/>
      <c r="L191" s="468"/>
      <c r="M191" s="468"/>
      <c r="N191" s="451">
        <v>9.9999999999999995E-21</v>
      </c>
      <c r="O191" s="452">
        <v>9.9999999999999995E-21</v>
      </c>
      <c r="P191" s="452">
        <v>9.9999999999999995E-21</v>
      </c>
      <c r="Q191" s="452">
        <v>9.9999999999999995E-21</v>
      </c>
      <c r="R191" s="452">
        <v>9.9999999999999995E-21</v>
      </c>
      <c r="S191" s="452"/>
      <c r="T191" s="158"/>
    </row>
    <row r="192" spans="1:20" ht="12.75" customHeight="1" x14ac:dyDescent="0.3">
      <c r="A192" s="36"/>
      <c r="B192" s="29"/>
      <c r="C192" s="36" t="s">
        <v>536</v>
      </c>
      <c r="D192" s="95"/>
      <c r="E192" s="95"/>
      <c r="F192" s="29"/>
      <c r="G192" s="94" t="s">
        <v>892</v>
      </c>
      <c r="H192" s="36" t="s">
        <v>722</v>
      </c>
      <c r="I192" s="522">
        <f>regional!I32</f>
        <v>0</v>
      </c>
      <c r="J192" s="468"/>
      <c r="K192" s="468"/>
      <c r="L192" s="468"/>
      <c r="M192" s="468"/>
      <c r="N192" s="451"/>
      <c r="O192" s="452"/>
      <c r="P192" s="452"/>
      <c r="Q192" s="452"/>
      <c r="R192" s="452"/>
      <c r="S192" s="452"/>
      <c r="T192" s="158"/>
    </row>
    <row r="193" spans="1:20" ht="12.75" customHeight="1" x14ac:dyDescent="0.3">
      <c r="A193" s="36"/>
      <c r="B193" s="29"/>
      <c r="C193" s="36" t="s">
        <v>418</v>
      </c>
      <c r="D193" s="95"/>
      <c r="E193" s="95"/>
      <c r="F193" s="29"/>
      <c r="G193" s="94" t="s">
        <v>9</v>
      </c>
      <c r="H193" s="36" t="s">
        <v>722</v>
      </c>
      <c r="I193" s="522">
        <f>regional!I33</f>
        <v>0</v>
      </c>
      <c r="J193" s="468"/>
      <c r="K193" s="468"/>
      <c r="L193" s="468"/>
      <c r="M193" s="468"/>
      <c r="N193" s="451"/>
      <c r="O193" s="452"/>
      <c r="P193" s="452"/>
      <c r="Q193" s="452"/>
      <c r="R193" s="452"/>
      <c r="S193" s="452"/>
      <c r="T193" s="158"/>
    </row>
    <row r="194" spans="1:20" ht="12.75" customHeight="1" x14ac:dyDescent="0.3">
      <c r="A194" s="36"/>
      <c r="B194" s="29"/>
      <c r="C194" s="36" t="s">
        <v>794</v>
      </c>
      <c r="D194" s="95"/>
      <c r="E194" s="95"/>
      <c r="F194" s="29"/>
      <c r="G194" s="94" t="s">
        <v>889</v>
      </c>
      <c r="H194" s="36" t="s">
        <v>722</v>
      </c>
      <c r="I194" s="522">
        <f>regional!I34</f>
        <v>0</v>
      </c>
      <c r="J194" s="468"/>
      <c r="K194" s="468"/>
      <c r="L194" s="468"/>
      <c r="M194" s="468"/>
      <c r="N194" s="451"/>
      <c r="O194" s="452"/>
      <c r="P194" s="452"/>
      <c r="Q194" s="452"/>
      <c r="R194" s="452"/>
      <c r="S194" s="452"/>
      <c r="T194" s="158"/>
    </row>
    <row r="195" spans="1:20" ht="12.75" customHeight="1" x14ac:dyDescent="0.3">
      <c r="A195" s="36"/>
      <c r="B195" s="29"/>
      <c r="C195" s="36" t="s">
        <v>795</v>
      </c>
      <c r="D195" s="95"/>
      <c r="E195" s="95"/>
      <c r="F195" s="29"/>
      <c r="G195" s="94" t="s">
        <v>7</v>
      </c>
      <c r="H195" s="36" t="s">
        <v>722</v>
      </c>
      <c r="I195" s="522">
        <f>regional!I35</f>
        <v>0</v>
      </c>
      <c r="J195" s="468"/>
      <c r="K195" s="468"/>
      <c r="L195" s="468"/>
      <c r="M195" s="468"/>
      <c r="N195" s="451"/>
      <c r="O195" s="452"/>
      <c r="P195" s="452"/>
      <c r="Q195" s="452"/>
      <c r="R195" s="452"/>
      <c r="S195" s="452"/>
      <c r="T195" s="158"/>
    </row>
    <row r="196" spans="1:20" ht="12.75" customHeight="1" x14ac:dyDescent="0.3">
      <c r="A196" s="36"/>
      <c r="B196" s="29"/>
      <c r="C196" s="36" t="s">
        <v>534</v>
      </c>
      <c r="D196" s="95"/>
      <c r="E196" s="95"/>
      <c r="F196" s="29"/>
      <c r="G196" s="94" t="s">
        <v>10</v>
      </c>
      <c r="H196" s="36" t="s">
        <v>722</v>
      </c>
      <c r="I196" s="522">
        <f>regional!I36</f>
        <v>0</v>
      </c>
      <c r="J196" s="468"/>
      <c r="K196" s="468"/>
      <c r="L196" s="468"/>
      <c r="M196" s="468"/>
      <c r="N196" s="451"/>
      <c r="O196" s="452"/>
      <c r="P196" s="452"/>
      <c r="Q196" s="452"/>
      <c r="R196" s="452"/>
      <c r="S196" s="452"/>
      <c r="T196" s="158"/>
    </row>
    <row r="197" spans="1:20" ht="12.75" customHeight="1" x14ac:dyDescent="0.3">
      <c r="A197" s="36"/>
      <c r="B197" s="29"/>
      <c r="C197" s="36" t="s">
        <v>535</v>
      </c>
      <c r="D197" s="95"/>
      <c r="E197" s="95"/>
      <c r="F197" s="29"/>
      <c r="G197" s="94" t="s">
        <v>890</v>
      </c>
      <c r="H197" s="36" t="s">
        <v>722</v>
      </c>
      <c r="I197" s="522">
        <f>regional!I37</f>
        <v>0</v>
      </c>
      <c r="J197" s="468"/>
      <c r="K197" s="468"/>
      <c r="L197" s="468"/>
      <c r="M197" s="468"/>
      <c r="N197" s="451"/>
      <c r="O197" s="452"/>
      <c r="P197" s="452"/>
      <c r="Q197" s="452"/>
      <c r="R197" s="452"/>
      <c r="S197" s="452"/>
      <c r="T197" s="158"/>
    </row>
    <row r="198" spans="1:20" ht="12.75" customHeight="1" x14ac:dyDescent="0.3">
      <c r="A198" s="36"/>
      <c r="B198" s="29"/>
      <c r="C198" s="36" t="s">
        <v>1357</v>
      </c>
      <c r="D198" s="95"/>
      <c r="E198" s="95"/>
      <c r="F198" s="29"/>
      <c r="G198" s="94" t="s">
        <v>8</v>
      </c>
      <c r="H198" s="36" t="s">
        <v>722</v>
      </c>
      <c r="I198" s="522">
        <f>regional!I38</f>
        <v>0</v>
      </c>
      <c r="J198" s="468"/>
      <c r="K198" s="468"/>
      <c r="L198" s="468"/>
      <c r="M198" s="468"/>
      <c r="N198" s="451"/>
      <c r="O198" s="452"/>
      <c r="P198" s="452"/>
      <c r="Q198" s="452"/>
      <c r="R198" s="452"/>
      <c r="S198" s="452"/>
      <c r="T198" s="158"/>
    </row>
    <row r="199" spans="1:20" ht="12.75" customHeight="1" x14ac:dyDescent="0.3">
      <c r="A199" s="36"/>
      <c r="B199" s="29"/>
      <c r="C199" s="36" t="s">
        <v>537</v>
      </c>
      <c r="D199" s="95"/>
      <c r="E199" s="95"/>
      <c r="F199" s="29"/>
      <c r="G199" s="94" t="s">
        <v>11</v>
      </c>
      <c r="H199" s="36" t="s">
        <v>722</v>
      </c>
      <c r="I199" s="522">
        <f>regional!I39</f>
        <v>0</v>
      </c>
      <c r="J199" s="468"/>
      <c r="K199" s="468"/>
      <c r="L199" s="468"/>
      <c r="M199" s="468"/>
      <c r="N199" s="451"/>
      <c r="O199" s="452"/>
      <c r="P199" s="452"/>
      <c r="Q199" s="452"/>
      <c r="R199" s="452"/>
      <c r="S199" s="452"/>
      <c r="T199" s="158"/>
    </row>
    <row r="200" spans="1:20" ht="12.75" customHeight="1" x14ac:dyDescent="0.3">
      <c r="A200" s="36"/>
      <c r="B200" s="29"/>
      <c r="C200" s="36" t="s">
        <v>15</v>
      </c>
      <c r="D200" s="95"/>
      <c r="E200" s="95"/>
      <c r="F200" s="29"/>
      <c r="G200" s="94" t="s">
        <v>891</v>
      </c>
      <c r="H200" s="36" t="s">
        <v>722</v>
      </c>
      <c r="I200" s="522">
        <f>regional!I40</f>
        <v>0</v>
      </c>
      <c r="J200" s="468"/>
      <c r="K200" s="468"/>
      <c r="L200" s="468"/>
      <c r="M200" s="468"/>
      <c r="N200" s="451"/>
      <c r="O200" s="452"/>
      <c r="P200" s="452"/>
      <c r="Q200" s="452"/>
      <c r="R200" s="452"/>
      <c r="S200" s="452"/>
      <c r="T200" s="158"/>
    </row>
    <row r="201" spans="1:20" ht="12.75" customHeight="1" x14ac:dyDescent="0.3">
      <c r="A201" s="36"/>
      <c r="B201" s="29"/>
      <c r="C201" s="36" t="s">
        <v>434</v>
      </c>
      <c r="D201" s="95"/>
      <c r="E201" s="95"/>
      <c r="F201" s="29"/>
      <c r="G201" s="94" t="s">
        <v>893</v>
      </c>
      <c r="H201" s="36" t="s">
        <v>722</v>
      </c>
      <c r="I201" s="522">
        <f>regional!I41</f>
        <v>0</v>
      </c>
      <c r="J201" s="468"/>
      <c r="K201" s="468"/>
      <c r="L201" s="468"/>
      <c r="M201" s="468"/>
      <c r="N201" s="451"/>
      <c r="O201" s="452"/>
      <c r="P201" s="452"/>
      <c r="Q201" s="452"/>
      <c r="R201" s="452"/>
      <c r="S201" s="452"/>
      <c r="T201" s="158"/>
    </row>
    <row r="202" spans="1:20" ht="12.75" customHeight="1" x14ac:dyDescent="0.3">
      <c r="A202" s="36"/>
      <c r="B202" s="29"/>
      <c r="C202" s="36" t="s">
        <v>888</v>
      </c>
      <c r="D202" s="95"/>
      <c r="E202" s="95"/>
      <c r="F202" s="29"/>
      <c r="G202" s="94" t="s">
        <v>894</v>
      </c>
      <c r="H202" s="36" t="s">
        <v>722</v>
      </c>
      <c r="I202" s="522">
        <f>regional!I42</f>
        <v>0</v>
      </c>
      <c r="J202" s="468"/>
      <c r="K202" s="468"/>
      <c r="L202" s="468"/>
      <c r="M202" s="468"/>
      <c r="N202" s="451"/>
      <c r="O202" s="452"/>
      <c r="P202" s="452"/>
      <c r="Q202" s="452"/>
      <c r="R202" s="452"/>
      <c r="S202" s="452"/>
      <c r="T202" s="158"/>
    </row>
    <row r="203" spans="1:20" ht="12.75" customHeight="1" x14ac:dyDescent="0.3">
      <c r="A203" s="36"/>
      <c r="B203" s="29"/>
      <c r="C203" s="29"/>
      <c r="D203" s="29"/>
      <c r="E203" s="29"/>
      <c r="F203" s="29"/>
      <c r="G203" s="94"/>
      <c r="H203" s="36"/>
      <c r="I203" s="523"/>
      <c r="J203" s="320"/>
      <c r="K203" s="320"/>
      <c r="L203" s="320"/>
      <c r="M203" s="320"/>
      <c r="N203" s="451"/>
      <c r="O203" s="325"/>
      <c r="P203" s="325"/>
      <c r="Q203" s="325"/>
      <c r="R203" s="325"/>
      <c r="S203" s="325"/>
      <c r="T203" s="158"/>
    </row>
    <row r="204" spans="1:20" ht="12.75" customHeight="1" x14ac:dyDescent="0.3">
      <c r="A204" s="36" t="s">
        <v>63</v>
      </c>
      <c r="B204" s="29"/>
      <c r="C204" s="29"/>
      <c r="D204" s="29"/>
      <c r="E204" s="29"/>
      <c r="F204" s="29"/>
      <c r="G204" s="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68"/>
      <c r="M204" s="468"/>
      <c r="N204" s="451"/>
      <c r="O204" s="452"/>
      <c r="P204" s="452"/>
      <c r="Q204" s="452"/>
      <c r="R204" s="452"/>
      <c r="S204" s="452"/>
      <c r="T204" s="158"/>
    </row>
    <row r="205" spans="1:20" ht="12.75" customHeight="1" x14ac:dyDescent="0.3">
      <c r="A205" s="36"/>
      <c r="B205" s="36"/>
      <c r="C205" s="36" t="s">
        <v>704</v>
      </c>
      <c r="D205" s="95"/>
      <c r="E205" s="29"/>
      <c r="F205" s="29"/>
      <c r="G205" s="37" t="s">
        <v>108</v>
      </c>
      <c r="H205" s="36" t="s">
        <v>723</v>
      </c>
      <c r="I205" s="522">
        <f>regional!I45</f>
        <v>0</v>
      </c>
      <c r="J205" s="468"/>
      <c r="K205" s="468"/>
      <c r="L205" s="468"/>
      <c r="M205" s="468"/>
      <c r="N205" s="451"/>
      <c r="O205" s="452"/>
      <c r="P205" s="452"/>
      <c r="Q205" s="452"/>
      <c r="R205" s="452"/>
      <c r="S205" s="452"/>
      <c r="T205" s="158"/>
    </row>
    <row r="206" spans="1:20" ht="12.75" customHeight="1" x14ac:dyDescent="0.3">
      <c r="A206" s="36"/>
      <c r="B206" s="29"/>
      <c r="C206" s="29"/>
      <c r="D206" s="29"/>
      <c r="E206" s="29"/>
      <c r="F206" s="29"/>
      <c r="G206" s="94"/>
      <c r="H206" s="36"/>
      <c r="I206" s="523"/>
      <c r="J206" s="320"/>
      <c r="K206" s="320"/>
      <c r="L206" s="320"/>
      <c r="M206" s="320"/>
      <c r="N206" s="320"/>
      <c r="O206" s="325"/>
      <c r="P206" s="325"/>
      <c r="Q206" s="325"/>
      <c r="R206" s="325"/>
      <c r="S206" s="325"/>
      <c r="T206" s="158"/>
    </row>
    <row r="207" spans="1:20" ht="12.75" customHeight="1" x14ac:dyDescent="0.3">
      <c r="A207" s="36" t="s">
        <v>319</v>
      </c>
      <c r="B207" s="29"/>
      <c r="C207" s="29"/>
      <c r="D207" s="29"/>
      <c r="E207" s="29"/>
      <c r="F207" s="29"/>
      <c r="G207" s="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68"/>
      <c r="M207" s="468"/>
      <c r="N207" s="451"/>
      <c r="O207" s="469"/>
      <c r="P207" s="469"/>
      <c r="Q207" s="469"/>
      <c r="R207" s="469"/>
      <c r="S207" s="469"/>
      <c r="T207" s="158"/>
    </row>
    <row r="208" spans="1:20" ht="12.75" customHeight="1" x14ac:dyDescent="0.3">
      <c r="A208" s="36" t="s">
        <v>320</v>
      </c>
      <c r="B208" s="29"/>
      <c r="C208" s="29"/>
      <c r="D208" s="29"/>
      <c r="E208" s="29"/>
      <c r="F208" s="29"/>
      <c r="G208" s="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68"/>
      <c r="M208" s="468"/>
      <c r="N208" s="451"/>
      <c r="O208" s="469"/>
      <c r="P208" s="469"/>
      <c r="Q208" s="469"/>
      <c r="R208" s="469"/>
      <c r="S208" s="469"/>
      <c r="T208" s="158"/>
    </row>
    <row r="209" spans="1:20" ht="12.75" customHeight="1" x14ac:dyDescent="0.3">
      <c r="A209" s="36" t="s">
        <v>318</v>
      </c>
      <c r="B209" s="29"/>
      <c r="C209" s="29"/>
      <c r="D209" s="29"/>
      <c r="E209" s="29"/>
      <c r="F209" s="29"/>
      <c r="G209" s="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68"/>
      <c r="M209" s="468"/>
      <c r="N209" s="451"/>
      <c r="O209" s="469"/>
      <c r="P209" s="469"/>
      <c r="Q209" s="469"/>
      <c r="R209" s="469"/>
      <c r="S209" s="469"/>
      <c r="T209" s="158"/>
    </row>
    <row r="210" spans="1:20" ht="12.75" customHeight="1" x14ac:dyDescent="0.3">
      <c r="A210" s="36" t="s">
        <v>64</v>
      </c>
      <c r="B210" s="29"/>
      <c r="C210" s="29"/>
      <c r="D210" s="29"/>
      <c r="E210" s="29"/>
      <c r="F210" s="29"/>
      <c r="G210" s="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68"/>
      <c r="M210" s="468"/>
      <c r="N210" s="451"/>
      <c r="O210" s="469"/>
      <c r="P210" s="469"/>
      <c r="Q210" s="469"/>
      <c r="R210" s="469"/>
      <c r="S210" s="469"/>
      <c r="T210" s="158"/>
    </row>
    <row r="211" spans="1:20" ht="12.75" customHeight="1" x14ac:dyDescent="0.3">
      <c r="A211" s="36" t="s">
        <v>65</v>
      </c>
      <c r="B211" s="29"/>
      <c r="C211" s="29"/>
      <c r="D211" s="29"/>
      <c r="E211" s="29"/>
      <c r="F211" s="29"/>
      <c r="G211" s="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68"/>
      <c r="M211" s="468"/>
      <c r="N211" s="451"/>
      <c r="O211" s="452"/>
      <c r="P211" s="452"/>
      <c r="Q211" s="452"/>
      <c r="R211" s="452"/>
      <c r="S211" s="452"/>
      <c r="T211" s="158"/>
    </row>
    <row r="212" spans="1:20" ht="12.75" customHeight="1" x14ac:dyDescent="0.3">
      <c r="A212" s="36"/>
      <c r="B212" s="36" t="s">
        <v>314</v>
      </c>
      <c r="C212" s="29"/>
      <c r="D212" s="29"/>
      <c r="E212" s="95"/>
      <c r="F212" s="95"/>
      <c r="G212" s="94" t="s">
        <v>316</v>
      </c>
      <c r="H212" s="36" t="s">
        <v>2317</v>
      </c>
      <c r="I212" s="522">
        <f>regional!I52</f>
        <v>0</v>
      </c>
      <c r="J212" s="468"/>
      <c r="K212" s="468"/>
      <c r="L212" s="468"/>
      <c r="M212" s="468"/>
      <c r="N212" s="451"/>
      <c r="O212" s="452"/>
      <c r="P212" s="452"/>
      <c r="Q212" s="452"/>
      <c r="R212" s="452"/>
      <c r="S212" s="452"/>
      <c r="T212" s="158"/>
    </row>
    <row r="213" spans="1:20" ht="12.75" customHeight="1" x14ac:dyDescent="0.3">
      <c r="A213" s="36"/>
      <c r="B213" s="36" t="s">
        <v>317</v>
      </c>
      <c r="C213" s="29"/>
      <c r="D213" s="29"/>
      <c r="E213" s="95"/>
      <c r="F213" s="95"/>
      <c r="G213" s="94" t="s">
        <v>315</v>
      </c>
      <c r="H213" s="36" t="s">
        <v>2317</v>
      </c>
      <c r="I213" s="522">
        <f>regional!I53</f>
        <v>0</v>
      </c>
      <c r="J213" s="468"/>
      <c r="K213" s="468"/>
      <c r="L213" s="468"/>
      <c r="M213" s="468"/>
      <c r="N213" s="451"/>
      <c r="O213" s="452"/>
      <c r="P213" s="452"/>
      <c r="Q213" s="452"/>
      <c r="R213" s="452"/>
      <c r="S213" s="452"/>
      <c r="T213" s="158"/>
    </row>
    <row r="214" spans="1:20" ht="12.75" customHeight="1" x14ac:dyDescent="0.3">
      <c r="A214" s="36"/>
      <c r="B214" s="36" t="s">
        <v>321</v>
      </c>
      <c r="C214" s="29"/>
      <c r="D214" s="29"/>
      <c r="E214" s="95"/>
      <c r="F214" s="95"/>
      <c r="G214" s="94" t="s">
        <v>322</v>
      </c>
      <c r="H214" s="36" t="s">
        <v>2317</v>
      </c>
      <c r="I214" s="522">
        <f>regional!I54</f>
        <v>0</v>
      </c>
      <c r="J214" s="468"/>
      <c r="K214" s="468"/>
      <c r="L214" s="468"/>
      <c r="M214" s="468"/>
      <c r="N214" s="451"/>
      <c r="O214" s="452"/>
      <c r="P214" s="452"/>
      <c r="Q214" s="452"/>
      <c r="R214" s="452"/>
      <c r="S214" s="452"/>
      <c r="T214" s="158"/>
    </row>
    <row r="215" spans="1:20" ht="12.75" customHeight="1" x14ac:dyDescent="0.3">
      <c r="A215" s="36"/>
      <c r="B215" s="36" t="s">
        <v>1166</v>
      </c>
      <c r="C215" s="29"/>
      <c r="D215" s="29"/>
      <c r="E215" s="95"/>
      <c r="F215" s="95"/>
      <c r="G215" s="94" t="s">
        <v>118</v>
      </c>
      <c r="H215" s="36" t="s">
        <v>2317</v>
      </c>
      <c r="I215" s="522">
        <f>regional!I55</f>
        <v>0</v>
      </c>
      <c r="J215" s="468"/>
      <c r="K215" s="468"/>
      <c r="L215" s="468"/>
      <c r="M215" s="468"/>
      <c r="N215" s="451"/>
      <c r="O215" s="452"/>
      <c r="P215" s="452"/>
      <c r="Q215" s="452"/>
      <c r="R215" s="452"/>
      <c r="S215" s="452"/>
      <c r="T215" s="158"/>
    </row>
    <row r="216" spans="1:20" ht="12.75" customHeight="1" x14ac:dyDescent="0.3">
      <c r="A216" s="36"/>
      <c r="B216" s="36" t="s">
        <v>1167</v>
      </c>
      <c r="C216" s="36"/>
      <c r="D216" s="29"/>
      <c r="E216" s="95"/>
      <c r="F216" s="95"/>
      <c r="G216" s="94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68"/>
      <c r="M216" s="468"/>
      <c r="N216" s="451"/>
      <c r="O216" s="452"/>
      <c r="P216" s="452"/>
      <c r="Q216" s="452"/>
      <c r="R216" s="452"/>
      <c r="S216" s="452"/>
      <c r="T216" s="158"/>
    </row>
    <row r="217" spans="1:20" ht="12.75" customHeight="1" x14ac:dyDescent="0.3">
      <c r="A217" s="29"/>
      <c r="B217" s="29"/>
      <c r="C217" s="29"/>
      <c r="D217" s="29"/>
      <c r="E217" s="29"/>
      <c r="F217" s="29"/>
      <c r="G217" s="29"/>
      <c r="H217" s="29"/>
      <c r="I217" s="457"/>
      <c r="J217" s="339"/>
      <c r="K217" s="339"/>
      <c r="L217" s="339"/>
      <c r="M217" s="339"/>
      <c r="N217" s="339"/>
      <c r="O217" s="282"/>
      <c r="P217" s="282"/>
      <c r="Q217" s="282"/>
      <c r="R217" s="282"/>
      <c r="S217" s="282"/>
      <c r="T217" s="158"/>
    </row>
    <row r="218" spans="1:20" ht="12.75" customHeight="1" x14ac:dyDescent="0.3">
      <c r="A218" s="98" t="s">
        <v>209</v>
      </c>
      <c r="B218" s="97"/>
      <c r="C218" s="97"/>
      <c r="D218" s="97"/>
      <c r="E218" s="97"/>
      <c r="F218" s="97"/>
      <c r="G218" s="97"/>
      <c r="H218" s="97"/>
      <c r="I218" s="340" t="s">
        <v>754</v>
      </c>
      <c r="J218" s="364"/>
      <c r="K218" s="364"/>
      <c r="L218" s="364" t="s">
        <v>754</v>
      </c>
      <c r="M218" s="364" t="s">
        <v>754</v>
      </c>
      <c r="N218" s="364"/>
      <c r="O218" s="470"/>
      <c r="P218" s="470"/>
      <c r="Q218" s="470"/>
      <c r="R218" s="470"/>
      <c r="S218" s="470"/>
      <c r="T218" s="158"/>
    </row>
    <row r="219" spans="1:20" ht="12.75" customHeight="1" x14ac:dyDescent="0.3">
      <c r="A219" s="36"/>
      <c r="B219" s="36"/>
      <c r="C219" s="36"/>
      <c r="D219" s="36"/>
      <c r="E219" s="36"/>
      <c r="F219" s="36"/>
      <c r="G219" s="36"/>
      <c r="H219" s="36"/>
      <c r="I219" s="342"/>
      <c r="J219" s="320"/>
      <c r="K219" s="320"/>
      <c r="L219" s="320"/>
      <c r="M219" s="320"/>
      <c r="N219" s="320"/>
      <c r="O219" s="325"/>
      <c r="P219" s="325"/>
      <c r="Q219" s="325"/>
      <c r="R219" s="325"/>
      <c r="S219" s="325"/>
      <c r="T219" s="158"/>
    </row>
    <row r="220" spans="1:20" ht="12.75" customHeight="1" x14ac:dyDescent="0.3">
      <c r="A220" s="29"/>
      <c r="B220" s="29" t="s">
        <v>3969</v>
      </c>
      <c r="C220" s="29"/>
      <c r="D220" s="29"/>
      <c r="E220" s="29"/>
      <c r="F220" s="29"/>
      <c r="G220" s="29" t="s">
        <v>3970</v>
      </c>
      <c r="H220" s="29" t="s">
        <v>36</v>
      </c>
      <c r="I220" s="522">
        <f>regional!I60</f>
        <v>0</v>
      </c>
      <c r="J220" s="468"/>
      <c r="K220" s="468"/>
      <c r="L220" s="468"/>
      <c r="M220" s="468"/>
      <c r="N220" s="451">
        <f t="shared" ref="N220:R220" si="0">1-(0.00015*0.172)/((IF(Tm&gt;298,EXP(-6.79*(1-Tm/298))*Pvap25*EXP((H0vap/8.314)*(1/298-1/TEMP.R)),Pvap25*EXP((H0vap/8.314)*(1/298-1/TEMP.R))))+(0.00015*0.172))</f>
        <v>0.12462796418239608</v>
      </c>
      <c r="O220" s="452">
        <f t="shared" si="0"/>
        <v>0.12462796418239608</v>
      </c>
      <c r="P220" s="452">
        <f t="shared" si="0"/>
        <v>0.12462796418239608</v>
      </c>
      <c r="Q220" s="452">
        <f t="shared" si="0"/>
        <v>0.12462796418239608</v>
      </c>
      <c r="R220" s="452">
        <f t="shared" si="0"/>
        <v>0.12462796418239608</v>
      </c>
      <c r="S220" s="452"/>
      <c r="T220" s="158"/>
    </row>
    <row r="221" spans="1:20" ht="12.75" customHeight="1" x14ac:dyDescent="0.3">
      <c r="A221" s="29"/>
      <c r="B221" s="29" t="s">
        <v>615</v>
      </c>
      <c r="C221" s="29"/>
      <c r="D221" s="29"/>
      <c r="E221" s="29"/>
      <c r="F221" s="29"/>
      <c r="G221" s="29" t="s">
        <v>609</v>
      </c>
      <c r="H221" s="29" t="s">
        <v>36</v>
      </c>
      <c r="I221" s="522">
        <f>regional!I61</f>
        <v>0</v>
      </c>
      <c r="J221" s="468"/>
      <c r="K221" s="468"/>
      <c r="L221" s="468"/>
      <c r="M221" s="468"/>
      <c r="N221" s="451"/>
      <c r="O221" s="452"/>
      <c r="P221" s="452"/>
      <c r="Q221" s="452"/>
      <c r="R221" s="452"/>
      <c r="S221" s="452"/>
      <c r="T221" s="158"/>
    </row>
    <row r="222" spans="1:20" ht="12.75" customHeight="1" x14ac:dyDescent="0.3">
      <c r="A222" s="29"/>
      <c r="B222" s="29" t="s">
        <v>616</v>
      </c>
      <c r="C222" s="29"/>
      <c r="D222" s="29"/>
      <c r="E222" s="29"/>
      <c r="F222" s="29"/>
      <c r="G222" s="29" t="s">
        <v>610</v>
      </c>
      <c r="H222" s="29" t="s">
        <v>36</v>
      </c>
      <c r="I222" s="522">
        <f>regional!I62</f>
        <v>0</v>
      </c>
      <c r="J222" s="468"/>
      <c r="K222" s="468"/>
      <c r="L222" s="468"/>
      <c r="M222" s="468"/>
      <c r="N222" s="451">
        <f>(0.00015*0.172)/((IF(Tm&gt;298,EXP(-6.79*(1-Tm/298))*Pvap25*EXP((H0vap/8.314)*(1/298-1/TEMP.R)),Pvap25*EXP((H0vap/8.314)*(1/298-1/TEMP.R))))+(0.00015*0.172))</f>
        <v>0.87537203581760392</v>
      </c>
      <c r="O222" s="452">
        <f>(0.00015*0.172)/((IF(Tm&gt;298,EXP(-6.79*(1-Tm/298))*Pvap25*EXP((H0vap/8.314)*(1/298-1/TEMP.R)),Pvap25*EXP((H0vap/8.314)*(1/298-1/TEMP.R))))+(0.00015*0.172))</f>
        <v>0.87537203581760392</v>
      </c>
      <c r="P222" s="452">
        <f>(0.00015*0.172)/((IF(Tm&gt;298,EXP(-6.79*(1-Tm/298))*Pvap25*EXP((H0vap/8.314)*(1/298-1/TEMP.R)),Pvap25*EXP((H0vap/8.314)*(1/298-1/TEMP.R))))+(0.00015*0.172))</f>
        <v>0.87537203581760392</v>
      </c>
      <c r="Q222" s="452">
        <f>(0.00015*0.172)/((IF(Tm&gt;298,EXP(-6.79*(1-Tm/298))*Pvap25*EXP((H0vap/8.314)*(1/298-1/TEMP.R)),Pvap25*EXP((H0vap/8.314)*(1/298-1/TEMP.R))))+(0.00015*0.172))</f>
        <v>0.87537203581760392</v>
      </c>
      <c r="R222" s="452">
        <f>(0.00015*0.172)/((IF(Tm&gt;298,EXP(-6.79*(1-Tm/298))*Pvap25*EXP((H0vap/8.314)*(1/298-1/TEMP.R)),Pvap25*EXP((H0vap/8.314)*(1/298-1/TEMP.R))))+(0.00015*0.172))</f>
        <v>0.87537203581760392</v>
      </c>
      <c r="S222" s="452"/>
      <c r="T222" s="158"/>
    </row>
    <row r="223" spans="1:20" ht="12.75" customHeight="1" x14ac:dyDescent="0.35">
      <c r="A223" s="29"/>
      <c r="B223" s="29"/>
      <c r="C223" s="29" t="s">
        <v>3971</v>
      </c>
      <c r="D223" s="29"/>
      <c r="E223" s="29"/>
      <c r="F223" s="29"/>
      <c r="G223" s="29" t="s">
        <v>3972</v>
      </c>
      <c r="H223" s="29" t="s">
        <v>2318</v>
      </c>
      <c r="I223" s="522">
        <f>regional!I63</f>
        <v>0</v>
      </c>
      <c r="J223" s="468"/>
      <c r="K223" s="468"/>
      <c r="L223" s="468"/>
      <c r="M223" s="468"/>
      <c r="N223" s="451"/>
      <c r="O223" s="452"/>
      <c r="P223" s="452"/>
      <c r="Q223" s="452"/>
      <c r="R223" s="452"/>
      <c r="S223" s="452"/>
      <c r="T223" s="158"/>
    </row>
    <row r="224" spans="1:20" ht="12.75" customHeight="1" x14ac:dyDescent="0.35">
      <c r="A224" s="29"/>
      <c r="B224" s="29"/>
      <c r="C224" s="29" t="s">
        <v>612</v>
      </c>
      <c r="D224" s="29"/>
      <c r="E224" s="29"/>
      <c r="F224" s="29"/>
      <c r="G224" s="29" t="s">
        <v>611</v>
      </c>
      <c r="H224" s="29" t="s">
        <v>2319</v>
      </c>
      <c r="I224" s="522">
        <f>regional!I64</f>
        <v>0</v>
      </c>
      <c r="J224" s="468"/>
      <c r="K224" s="468"/>
      <c r="L224" s="468"/>
      <c r="M224" s="468"/>
      <c r="N224" s="451"/>
      <c r="O224" s="452"/>
      <c r="P224" s="452"/>
      <c r="Q224" s="452"/>
      <c r="R224" s="452"/>
      <c r="S224" s="452"/>
      <c r="T224" s="158"/>
    </row>
    <row r="225" spans="1:20" ht="12.75" customHeight="1" x14ac:dyDescent="0.35">
      <c r="A225" s="29"/>
      <c r="B225" s="29"/>
      <c r="C225" s="29" t="s">
        <v>613</v>
      </c>
      <c r="D225" s="29"/>
      <c r="E225" s="29"/>
      <c r="F225" s="29"/>
      <c r="G225" s="29" t="s">
        <v>614</v>
      </c>
      <c r="H225" s="29" t="s">
        <v>2320</v>
      </c>
      <c r="I225" s="522">
        <f>regional!I65</f>
        <v>0</v>
      </c>
      <c r="J225" s="468"/>
      <c r="K225" s="468"/>
      <c r="L225" s="468"/>
      <c r="M225" s="468"/>
      <c r="N225" s="451"/>
      <c r="O225" s="452"/>
      <c r="P225" s="452"/>
      <c r="Q225" s="452"/>
      <c r="R225" s="452"/>
      <c r="S225" s="452"/>
      <c r="T225" s="158"/>
    </row>
    <row r="226" spans="1:20" ht="12.75" customHeight="1" x14ac:dyDescent="0.3">
      <c r="A226" s="36"/>
      <c r="B226" s="36" t="s">
        <v>291</v>
      </c>
      <c r="C226" s="95"/>
      <c r="D226" s="29"/>
      <c r="E226" s="29"/>
      <c r="F226" s="29"/>
      <c r="G226" s="94" t="s">
        <v>292</v>
      </c>
      <c r="H226" s="36" t="s">
        <v>36</v>
      </c>
      <c r="I226" s="522">
        <f>regional!I66</f>
        <v>0</v>
      </c>
      <c r="J226" s="468"/>
      <c r="K226" s="468"/>
      <c r="L226" s="468"/>
      <c r="M226" s="468"/>
      <c r="N226" s="451">
        <f t="shared" ref="N226:R226" si="1">1/(1+Kp.susp0R*SUSP.w0R/1000+0.05*Kow*0.001/1000)</f>
        <v>0.99978338121031318</v>
      </c>
      <c r="O226" s="452">
        <f t="shared" si="1"/>
        <v>0.99978338121031318</v>
      </c>
      <c r="P226" s="452">
        <f t="shared" si="1"/>
        <v>0.99978338121031318</v>
      </c>
      <c r="Q226" s="452">
        <f t="shared" si="1"/>
        <v>0.99978338121031318</v>
      </c>
      <c r="R226" s="452">
        <f t="shared" si="1"/>
        <v>0.99978338121031318</v>
      </c>
      <c r="S226" s="452"/>
      <c r="T226" s="158"/>
    </row>
    <row r="227" spans="1:20" ht="12.75" customHeight="1" x14ac:dyDescent="0.3">
      <c r="A227" s="36"/>
      <c r="B227" s="29"/>
      <c r="C227" s="36" t="s">
        <v>706</v>
      </c>
      <c r="D227" s="29"/>
      <c r="E227" s="29"/>
      <c r="F227" s="29"/>
      <c r="G227" s="94" t="s">
        <v>293</v>
      </c>
      <c r="H227" s="36" t="s">
        <v>2321</v>
      </c>
      <c r="I227" s="522">
        <f>regional!I67</f>
        <v>0</v>
      </c>
      <c r="J227" s="468"/>
      <c r="K227" s="468"/>
      <c r="L227" s="468"/>
      <c r="M227" s="468"/>
      <c r="N227" s="451"/>
      <c r="O227" s="452"/>
      <c r="P227" s="452"/>
      <c r="Q227" s="452"/>
      <c r="R227" s="452"/>
      <c r="S227" s="452"/>
      <c r="T227" s="158"/>
    </row>
    <row r="228" spans="1:20" ht="12.75" customHeight="1" x14ac:dyDescent="0.3">
      <c r="A228" s="36"/>
      <c r="B228" s="29"/>
      <c r="C228" s="36" t="s">
        <v>1098</v>
      </c>
      <c r="D228" s="29"/>
      <c r="E228" s="29"/>
      <c r="F228" s="29"/>
      <c r="G228" s="94" t="s">
        <v>294</v>
      </c>
      <c r="H228" s="36" t="s">
        <v>36</v>
      </c>
      <c r="I228" s="522">
        <f>regional!I68</f>
        <v>0</v>
      </c>
      <c r="J228" s="468"/>
      <c r="K228" s="468"/>
      <c r="L228" s="468"/>
      <c r="M228" s="468"/>
      <c r="N228" s="451"/>
      <c r="O228" s="452"/>
      <c r="P228" s="452"/>
      <c r="Q228" s="452"/>
      <c r="R228" s="452"/>
      <c r="S228" s="452"/>
      <c r="T228" s="158"/>
    </row>
    <row r="229" spans="1:20" ht="12.75" customHeight="1" x14ac:dyDescent="0.3">
      <c r="A229" s="36"/>
      <c r="B229" s="29"/>
      <c r="C229" s="36" t="s">
        <v>707</v>
      </c>
      <c r="D229" s="29"/>
      <c r="E229" s="29"/>
      <c r="F229" s="29"/>
      <c r="G229" s="94" t="s">
        <v>295</v>
      </c>
      <c r="H229" s="36" t="s">
        <v>2306</v>
      </c>
      <c r="I229" s="522">
        <f>regional!I69</f>
        <v>0</v>
      </c>
      <c r="J229" s="468"/>
      <c r="K229" s="468"/>
      <c r="L229" s="468"/>
      <c r="M229" s="468"/>
      <c r="N229" s="451"/>
      <c r="O229" s="452"/>
      <c r="P229" s="452"/>
      <c r="Q229" s="452"/>
      <c r="R229" s="452"/>
      <c r="S229" s="452"/>
      <c r="T229" s="158"/>
    </row>
    <row r="230" spans="1:20" ht="12.75" customHeight="1" x14ac:dyDescent="0.3">
      <c r="A230" s="36"/>
      <c r="B230" s="29"/>
      <c r="C230" s="36" t="s">
        <v>549</v>
      </c>
      <c r="D230" s="29"/>
      <c r="E230" s="29"/>
      <c r="F230" s="29"/>
      <c r="G230" s="94" t="s">
        <v>296</v>
      </c>
      <c r="H230" s="36" t="s">
        <v>1039</v>
      </c>
      <c r="I230" s="522">
        <f>regional!I70</f>
        <v>0</v>
      </c>
      <c r="J230" s="468"/>
      <c r="K230" s="468"/>
      <c r="L230" s="468"/>
      <c r="M230" s="468"/>
      <c r="N230" s="451"/>
      <c r="O230" s="452"/>
      <c r="P230" s="452"/>
      <c r="Q230" s="452"/>
      <c r="R230" s="452"/>
      <c r="S230" s="452"/>
      <c r="T230" s="158"/>
    </row>
    <row r="231" spans="1:20" ht="12.75" customHeight="1" x14ac:dyDescent="0.3">
      <c r="A231" s="36"/>
      <c r="B231" s="29"/>
      <c r="C231" s="36" t="s">
        <v>551</v>
      </c>
      <c r="D231" s="29"/>
      <c r="E231" s="29"/>
      <c r="F231" s="29"/>
      <c r="G231" s="94" t="s">
        <v>297</v>
      </c>
      <c r="H231" s="36" t="s">
        <v>1038</v>
      </c>
      <c r="I231" s="522">
        <f>regional!I71</f>
        <v>0</v>
      </c>
      <c r="J231" s="468"/>
      <c r="K231" s="468"/>
      <c r="L231" s="468"/>
      <c r="M231" s="468"/>
      <c r="N231" s="451"/>
      <c r="O231" s="452"/>
      <c r="P231" s="452"/>
      <c r="Q231" s="452"/>
      <c r="R231" s="452"/>
      <c r="S231" s="452"/>
      <c r="T231" s="158"/>
    </row>
    <row r="232" spans="1:20" ht="12.75" customHeight="1" x14ac:dyDescent="0.3">
      <c r="A232" s="36"/>
      <c r="B232" s="36" t="s">
        <v>3973</v>
      </c>
      <c r="C232" s="95"/>
      <c r="D232" s="29"/>
      <c r="E232" s="29"/>
      <c r="F232" s="29"/>
      <c r="G232" s="94" t="s">
        <v>538</v>
      </c>
      <c r="H232" s="36" t="s">
        <v>36</v>
      </c>
      <c r="I232" s="522">
        <f>regional!I72</f>
        <v>0</v>
      </c>
      <c r="J232" s="468"/>
      <c r="K232" s="468"/>
      <c r="L232" s="468"/>
      <c r="M232" s="468"/>
      <c r="N232" s="451">
        <f t="shared" ref="N232:R232" si="2">1/(1+Kp.susp1R*SUSP.w1R/1000+0.05*Kow*0.001/1000)</f>
        <v>0.99830430980414364</v>
      </c>
      <c r="O232" s="452">
        <f t="shared" si="2"/>
        <v>0.99830430980414364</v>
      </c>
      <c r="P232" s="452">
        <f t="shared" si="2"/>
        <v>0.99830430980414364</v>
      </c>
      <c r="Q232" s="452">
        <f t="shared" si="2"/>
        <v>0.99830430980414364</v>
      </c>
      <c r="R232" s="452">
        <f t="shared" si="2"/>
        <v>0.99830430980414364</v>
      </c>
      <c r="S232" s="452"/>
      <c r="T232" s="158"/>
    </row>
    <row r="233" spans="1:20" ht="12.75" customHeight="1" x14ac:dyDescent="0.3">
      <c r="A233" s="36"/>
      <c r="B233" s="29"/>
      <c r="C233" s="36" t="s">
        <v>706</v>
      </c>
      <c r="D233" s="29"/>
      <c r="E233" s="29"/>
      <c r="F233" s="29"/>
      <c r="G233" s="94" t="s">
        <v>182</v>
      </c>
      <c r="H233" s="36" t="s">
        <v>2321</v>
      </c>
      <c r="I233" s="522">
        <f>regional!I73</f>
        <v>0</v>
      </c>
      <c r="J233" s="468"/>
      <c r="K233" s="468"/>
      <c r="L233" s="468"/>
      <c r="M233" s="468"/>
      <c r="N233" s="451"/>
      <c r="O233" s="452"/>
      <c r="P233" s="452"/>
      <c r="Q233" s="452"/>
      <c r="R233" s="452"/>
      <c r="S233" s="452"/>
      <c r="T233" s="158"/>
    </row>
    <row r="234" spans="1:20" ht="12.75" customHeight="1" x14ac:dyDescent="0.3">
      <c r="A234" s="36"/>
      <c r="B234" s="29"/>
      <c r="C234" s="36" t="s">
        <v>1098</v>
      </c>
      <c r="D234" s="29"/>
      <c r="E234" s="29"/>
      <c r="F234" s="29"/>
      <c r="G234" s="94" t="s">
        <v>1456</v>
      </c>
      <c r="H234" s="36" t="s">
        <v>36</v>
      </c>
      <c r="I234" s="522">
        <f>regional!I74</f>
        <v>0</v>
      </c>
      <c r="J234" s="468"/>
      <c r="K234" s="468"/>
      <c r="L234" s="468"/>
      <c r="M234" s="468"/>
      <c r="N234" s="451"/>
      <c r="O234" s="452"/>
      <c r="P234" s="452"/>
      <c r="Q234" s="452"/>
      <c r="R234" s="452"/>
      <c r="S234" s="452"/>
      <c r="T234" s="158"/>
    </row>
    <row r="235" spans="1:20" ht="12.75" customHeight="1" x14ac:dyDescent="0.3">
      <c r="A235" s="36"/>
      <c r="B235" s="29"/>
      <c r="C235" s="36" t="s">
        <v>707</v>
      </c>
      <c r="D235" s="29"/>
      <c r="E235" s="29"/>
      <c r="F235" s="29"/>
      <c r="G235" s="94" t="s">
        <v>213</v>
      </c>
      <c r="H235" s="36" t="s">
        <v>2306</v>
      </c>
      <c r="I235" s="522">
        <f>regional!I75</f>
        <v>0</v>
      </c>
      <c r="J235" s="468"/>
      <c r="K235" s="468"/>
      <c r="L235" s="468"/>
      <c r="M235" s="468"/>
      <c r="N235" s="451"/>
      <c r="O235" s="452"/>
      <c r="P235" s="452"/>
      <c r="Q235" s="452"/>
      <c r="R235" s="452"/>
      <c r="S235" s="452"/>
      <c r="T235" s="158"/>
    </row>
    <row r="236" spans="1:20" ht="12.75" customHeight="1" x14ac:dyDescent="0.3">
      <c r="A236" s="36"/>
      <c r="B236" s="29"/>
      <c r="C236" s="36" t="s">
        <v>549</v>
      </c>
      <c r="D236" s="29"/>
      <c r="E236" s="29"/>
      <c r="F236" s="29"/>
      <c r="G236" s="94" t="s">
        <v>550</v>
      </c>
      <c r="H236" s="36" t="s">
        <v>1039</v>
      </c>
      <c r="I236" s="522">
        <f>regional!I76</f>
        <v>0</v>
      </c>
      <c r="J236" s="468"/>
      <c r="K236" s="468"/>
      <c r="L236" s="468"/>
      <c r="M236" s="468"/>
      <c r="N236" s="451"/>
      <c r="O236" s="452"/>
      <c r="P236" s="452"/>
      <c r="Q236" s="452"/>
      <c r="R236" s="452"/>
      <c r="S236" s="452"/>
      <c r="T236" s="158"/>
    </row>
    <row r="237" spans="1:20" ht="12.75" customHeight="1" x14ac:dyDescent="0.3">
      <c r="A237" s="36"/>
      <c r="B237" s="29"/>
      <c r="C237" s="36" t="s">
        <v>551</v>
      </c>
      <c r="D237" s="29"/>
      <c r="E237" s="29"/>
      <c r="F237" s="29"/>
      <c r="G237" s="94" t="s">
        <v>552</v>
      </c>
      <c r="H237" s="36" t="s">
        <v>1038</v>
      </c>
      <c r="I237" s="522">
        <f>regional!I77</f>
        <v>0</v>
      </c>
      <c r="J237" s="468"/>
      <c r="K237" s="468"/>
      <c r="L237" s="468"/>
      <c r="M237" s="468"/>
      <c r="N237" s="451"/>
      <c r="O237" s="452"/>
      <c r="P237" s="452"/>
      <c r="Q237" s="452"/>
      <c r="R237" s="452"/>
      <c r="S237" s="452"/>
      <c r="T237" s="158"/>
    </row>
    <row r="238" spans="1:20" ht="12.75" customHeight="1" x14ac:dyDescent="0.3">
      <c r="A238" s="36"/>
      <c r="B238" s="36" t="s">
        <v>3974</v>
      </c>
      <c r="C238" s="95"/>
      <c r="D238" s="29"/>
      <c r="E238" s="29"/>
      <c r="F238" s="29"/>
      <c r="G238" s="94" t="s">
        <v>539</v>
      </c>
      <c r="H238" s="36" t="s">
        <v>36</v>
      </c>
      <c r="I238" s="522">
        <f>regional!I78</f>
        <v>0</v>
      </c>
      <c r="J238" s="468"/>
      <c r="K238" s="468"/>
      <c r="L238" s="468"/>
      <c r="M238" s="468"/>
      <c r="N238" s="451">
        <f t="shared" ref="N238:R238" si="3">1/(1+Kp.susp2R*SUSP.w2R/1000+0.05*Kow*0.001/1000)</f>
        <v>0.99933769729472144</v>
      </c>
      <c r="O238" s="452">
        <f t="shared" si="3"/>
        <v>0.99933769729472144</v>
      </c>
      <c r="P238" s="452">
        <f t="shared" si="3"/>
        <v>0.99933769729472144</v>
      </c>
      <c r="Q238" s="452">
        <f t="shared" si="3"/>
        <v>0.99933769729472144</v>
      </c>
      <c r="R238" s="452">
        <f t="shared" si="3"/>
        <v>0.99933769729472144</v>
      </c>
      <c r="S238" s="452"/>
      <c r="T238" s="158"/>
    </row>
    <row r="239" spans="1:20" ht="12.75" customHeight="1" x14ac:dyDescent="0.3">
      <c r="A239" s="36"/>
      <c r="B239" s="29"/>
      <c r="C239" s="36" t="s">
        <v>706</v>
      </c>
      <c r="D239" s="29"/>
      <c r="E239" s="29"/>
      <c r="F239" s="29"/>
      <c r="G239" s="94" t="s">
        <v>184</v>
      </c>
      <c r="H239" s="36" t="s">
        <v>2321</v>
      </c>
      <c r="I239" s="522">
        <f>regional!I79</f>
        <v>0</v>
      </c>
      <c r="J239" s="468"/>
      <c r="K239" s="468"/>
      <c r="L239" s="468"/>
      <c r="M239" s="468"/>
      <c r="N239" s="451"/>
      <c r="O239" s="452"/>
      <c r="P239" s="452"/>
      <c r="Q239" s="452"/>
      <c r="R239" s="452"/>
      <c r="S239" s="452"/>
      <c r="T239" s="158"/>
    </row>
    <row r="240" spans="1:20" ht="12.75" customHeight="1" x14ac:dyDescent="0.3">
      <c r="A240" s="36"/>
      <c r="B240" s="29"/>
      <c r="C240" s="36" t="s">
        <v>1098</v>
      </c>
      <c r="D240" s="29"/>
      <c r="E240" s="29"/>
      <c r="F240" s="29"/>
      <c r="G240" s="94" t="s">
        <v>1457</v>
      </c>
      <c r="H240" s="36" t="s">
        <v>36</v>
      </c>
      <c r="I240" s="522">
        <f>regional!I80</f>
        <v>0</v>
      </c>
      <c r="J240" s="468"/>
      <c r="K240" s="468"/>
      <c r="L240" s="468"/>
      <c r="M240" s="468"/>
      <c r="N240" s="451"/>
      <c r="O240" s="452"/>
      <c r="P240" s="452"/>
      <c r="Q240" s="452"/>
      <c r="R240" s="452"/>
      <c r="S240" s="452"/>
      <c r="T240" s="158"/>
    </row>
    <row r="241" spans="1:20" ht="12.75" customHeight="1" x14ac:dyDescent="0.3">
      <c r="A241" s="36"/>
      <c r="B241" s="29"/>
      <c r="C241" s="36" t="s">
        <v>1504</v>
      </c>
      <c r="D241" s="29"/>
      <c r="E241" s="29"/>
      <c r="F241" s="29"/>
      <c r="G241" s="94" t="s">
        <v>214</v>
      </c>
      <c r="H241" s="36" t="s">
        <v>2306</v>
      </c>
      <c r="I241" s="522">
        <f>regional!I81</f>
        <v>0</v>
      </c>
      <c r="J241" s="468"/>
      <c r="K241" s="468"/>
      <c r="L241" s="468"/>
      <c r="M241" s="468"/>
      <c r="N241" s="451"/>
      <c r="O241" s="452"/>
      <c r="P241" s="452"/>
      <c r="Q241" s="452"/>
      <c r="R241" s="452"/>
      <c r="S241" s="452"/>
      <c r="T241" s="158"/>
    </row>
    <row r="242" spans="1:20" ht="12.75" customHeight="1" x14ac:dyDescent="0.3">
      <c r="A242" s="36"/>
      <c r="B242" s="29"/>
      <c r="C242" s="36" t="s">
        <v>549</v>
      </c>
      <c r="D242" s="29"/>
      <c r="E242" s="29"/>
      <c r="F242" s="29"/>
      <c r="G242" s="94" t="s">
        <v>553</v>
      </c>
      <c r="H242" s="36" t="s">
        <v>1039</v>
      </c>
      <c r="I242" s="522">
        <f>regional!I82</f>
        <v>0</v>
      </c>
      <c r="J242" s="468"/>
      <c r="K242" s="468"/>
      <c r="L242" s="468"/>
      <c r="M242" s="468"/>
      <c r="N242" s="451"/>
      <c r="O242" s="452"/>
      <c r="P242" s="452"/>
      <c r="Q242" s="452"/>
      <c r="R242" s="452"/>
      <c r="S242" s="452"/>
      <c r="T242" s="158"/>
    </row>
    <row r="243" spans="1:20" ht="12.75" customHeight="1" x14ac:dyDescent="0.3">
      <c r="A243" s="36"/>
      <c r="B243" s="29"/>
      <c r="C243" s="36" t="s">
        <v>551</v>
      </c>
      <c r="D243" s="29"/>
      <c r="E243" s="29"/>
      <c r="F243" s="29"/>
      <c r="G243" s="94" t="s">
        <v>554</v>
      </c>
      <c r="H243" s="36" t="s">
        <v>1038</v>
      </c>
      <c r="I243" s="522">
        <f>regional!I83</f>
        <v>0</v>
      </c>
      <c r="J243" s="468"/>
      <c r="K243" s="468"/>
      <c r="L243" s="468"/>
      <c r="M243" s="468"/>
      <c r="N243" s="451"/>
      <c r="O243" s="452"/>
      <c r="P243" s="452"/>
      <c r="Q243" s="452"/>
      <c r="R243" s="452"/>
      <c r="S243" s="452"/>
      <c r="T243" s="158"/>
    </row>
    <row r="244" spans="1:20" ht="12.75" customHeight="1" x14ac:dyDescent="0.3">
      <c r="A244" s="36"/>
      <c r="B244" s="36" t="s">
        <v>732</v>
      </c>
      <c r="C244" s="95"/>
      <c r="D244" s="29"/>
      <c r="E244" s="29"/>
      <c r="F244" s="29"/>
      <c r="G244" s="94" t="s">
        <v>466</v>
      </c>
      <c r="H244" s="36" t="s">
        <v>36</v>
      </c>
      <c r="I244" s="522">
        <f>regional!I84</f>
        <v>0</v>
      </c>
      <c r="J244" s="468"/>
      <c r="K244" s="468"/>
      <c r="L244" s="468"/>
      <c r="M244" s="468"/>
      <c r="N244" s="451"/>
      <c r="O244" s="452"/>
      <c r="P244" s="452"/>
      <c r="Q244" s="452"/>
      <c r="R244" s="452"/>
      <c r="S244" s="452"/>
      <c r="T244" s="158"/>
    </row>
    <row r="245" spans="1:20" ht="12.75" customHeight="1" x14ac:dyDescent="0.3">
      <c r="A245" s="36"/>
      <c r="B245" s="29"/>
      <c r="C245" s="36" t="s">
        <v>1433</v>
      </c>
      <c r="D245" s="29"/>
      <c r="E245" s="29"/>
      <c r="F245" s="29"/>
      <c r="G245" s="94" t="s">
        <v>173</v>
      </c>
      <c r="H245" s="36" t="s">
        <v>2321</v>
      </c>
      <c r="I245" s="522">
        <f>regional!I85</f>
        <v>0</v>
      </c>
      <c r="J245" s="468"/>
      <c r="K245" s="468"/>
      <c r="L245" s="468"/>
      <c r="M245" s="468"/>
      <c r="N245" s="451"/>
      <c r="O245" s="452"/>
      <c r="P245" s="452"/>
      <c r="Q245" s="452"/>
      <c r="R245" s="452"/>
      <c r="S245" s="452"/>
      <c r="T245" s="158"/>
    </row>
    <row r="246" spans="1:20" ht="12.75" customHeight="1" x14ac:dyDescent="0.3">
      <c r="A246" s="36"/>
      <c r="B246" s="29"/>
      <c r="C246" s="36" t="s">
        <v>1276</v>
      </c>
      <c r="D246" s="29"/>
      <c r="E246" s="29"/>
      <c r="F246" s="29"/>
      <c r="G246" s="94" t="s">
        <v>1066</v>
      </c>
      <c r="H246" s="36" t="s">
        <v>36</v>
      </c>
      <c r="I246" s="522">
        <f>regional!I86</f>
        <v>0</v>
      </c>
      <c r="J246" s="468"/>
      <c r="K246" s="468"/>
      <c r="L246" s="468"/>
      <c r="M246" s="468"/>
      <c r="N246" s="451"/>
      <c r="O246" s="452"/>
      <c r="P246" s="452"/>
      <c r="Q246" s="452"/>
      <c r="R246" s="452"/>
      <c r="S246" s="452"/>
      <c r="T246" s="158"/>
    </row>
    <row r="247" spans="1:20" ht="12.75" customHeight="1" x14ac:dyDescent="0.3">
      <c r="A247" s="36"/>
      <c r="B247" s="36" t="s">
        <v>1434</v>
      </c>
      <c r="C247" s="95"/>
      <c r="D247" s="29"/>
      <c r="E247" s="29"/>
      <c r="F247" s="29"/>
      <c r="G247" s="94" t="s">
        <v>1067</v>
      </c>
      <c r="H247" s="36" t="s">
        <v>36</v>
      </c>
      <c r="I247" s="522">
        <f>regional!I87</f>
        <v>0</v>
      </c>
      <c r="J247" s="468"/>
      <c r="K247" s="468"/>
      <c r="L247" s="468"/>
      <c r="M247" s="468"/>
      <c r="N247" s="451"/>
      <c r="O247" s="452"/>
      <c r="P247" s="452"/>
      <c r="Q247" s="452"/>
      <c r="R247" s="452"/>
      <c r="S247" s="452"/>
      <c r="T247" s="158"/>
    </row>
    <row r="248" spans="1:20" ht="12.75" customHeight="1" x14ac:dyDescent="0.3">
      <c r="A248" s="36"/>
      <c r="B248" s="29"/>
      <c r="C248" s="36" t="s">
        <v>1435</v>
      </c>
      <c r="D248" s="29"/>
      <c r="E248" s="29"/>
      <c r="F248" s="29"/>
      <c r="G248" s="94" t="s">
        <v>175</v>
      </c>
      <c r="H248" s="36" t="s">
        <v>2321</v>
      </c>
      <c r="I248" s="522">
        <f>regional!I88</f>
        <v>0</v>
      </c>
      <c r="J248" s="468"/>
      <c r="K248" s="468"/>
      <c r="L248" s="468"/>
      <c r="M248" s="468"/>
      <c r="N248" s="451"/>
      <c r="O248" s="452"/>
      <c r="P248" s="452"/>
      <c r="Q248" s="452"/>
      <c r="R248" s="452"/>
      <c r="S248" s="452"/>
      <c r="T248" s="158"/>
    </row>
    <row r="249" spans="1:20" ht="12.75" customHeight="1" x14ac:dyDescent="0.3">
      <c r="A249" s="36"/>
      <c r="B249" s="29"/>
      <c r="C249" s="36" t="s">
        <v>1275</v>
      </c>
      <c r="D249" s="29"/>
      <c r="E249" s="29"/>
      <c r="F249" s="29"/>
      <c r="G249" s="94" t="s">
        <v>1068</v>
      </c>
      <c r="H249" s="36" t="s">
        <v>36</v>
      </c>
      <c r="I249" s="522">
        <f>regional!I89</f>
        <v>0</v>
      </c>
      <c r="J249" s="468"/>
      <c r="K249" s="468"/>
      <c r="L249" s="468"/>
      <c r="M249" s="468"/>
      <c r="N249" s="451"/>
      <c r="O249" s="452"/>
      <c r="P249" s="452"/>
      <c r="Q249" s="452"/>
      <c r="R249" s="452"/>
      <c r="S249" s="452"/>
      <c r="T249" s="158"/>
    </row>
    <row r="250" spans="1:20" ht="12.75" customHeight="1" x14ac:dyDescent="0.3">
      <c r="A250" s="36"/>
      <c r="B250" s="36" t="s">
        <v>1436</v>
      </c>
      <c r="C250" s="95"/>
      <c r="D250" s="29"/>
      <c r="E250" s="29"/>
      <c r="F250" s="29"/>
      <c r="G250" s="94" t="s">
        <v>1069</v>
      </c>
      <c r="H250" s="36" t="s">
        <v>36</v>
      </c>
      <c r="I250" s="522">
        <f>regional!I90</f>
        <v>0</v>
      </c>
      <c r="J250" s="468"/>
      <c r="K250" s="468"/>
      <c r="L250" s="468"/>
      <c r="M250" s="468"/>
      <c r="N250" s="451"/>
      <c r="O250" s="452"/>
      <c r="P250" s="452"/>
      <c r="Q250" s="452"/>
      <c r="R250" s="452"/>
      <c r="S250" s="452"/>
      <c r="T250" s="158"/>
    </row>
    <row r="251" spans="1:20" ht="12.75" customHeight="1" x14ac:dyDescent="0.3">
      <c r="A251" s="36"/>
      <c r="B251" s="36" t="s">
        <v>515</v>
      </c>
      <c r="C251" s="95"/>
      <c r="D251" s="29"/>
      <c r="E251" s="29"/>
      <c r="F251" s="29"/>
      <c r="G251" s="94" t="s">
        <v>1025</v>
      </c>
      <c r="H251" s="36" t="s">
        <v>36</v>
      </c>
      <c r="I251" s="522">
        <f>regional!I91</f>
        <v>0</v>
      </c>
      <c r="J251" s="468"/>
      <c r="K251" s="468"/>
      <c r="L251" s="468"/>
      <c r="M251" s="468"/>
      <c r="N251" s="451"/>
      <c r="O251" s="452"/>
      <c r="P251" s="452"/>
      <c r="Q251" s="452"/>
      <c r="R251" s="452"/>
      <c r="S251" s="452"/>
      <c r="T251" s="158"/>
    </row>
    <row r="252" spans="1:20" ht="12.75" customHeight="1" x14ac:dyDescent="0.3">
      <c r="A252" s="36"/>
      <c r="B252" s="36" t="s">
        <v>987</v>
      </c>
      <c r="C252" s="95"/>
      <c r="D252" s="29"/>
      <c r="E252" s="29"/>
      <c r="F252" s="29"/>
      <c r="G252" s="94" t="s">
        <v>1029</v>
      </c>
      <c r="H252" s="36" t="s">
        <v>36</v>
      </c>
      <c r="I252" s="522">
        <f>regional!I92</f>
        <v>0</v>
      </c>
      <c r="J252" s="468"/>
      <c r="K252" s="468"/>
      <c r="L252" s="468"/>
      <c r="M252" s="468"/>
      <c r="N252" s="451"/>
      <c r="O252" s="452"/>
      <c r="P252" s="452"/>
      <c r="Q252" s="452"/>
      <c r="R252" s="452"/>
      <c r="S252" s="452"/>
      <c r="T252" s="158"/>
    </row>
    <row r="253" spans="1:20" ht="12.75" customHeight="1" x14ac:dyDescent="0.3">
      <c r="A253" s="36"/>
      <c r="B253" s="29"/>
      <c r="C253" s="36" t="s">
        <v>1328</v>
      </c>
      <c r="D253" s="29"/>
      <c r="E253" s="29"/>
      <c r="F253" s="29"/>
      <c r="G253" s="94" t="s">
        <v>126</v>
      </c>
      <c r="H253" s="36" t="s">
        <v>2321</v>
      </c>
      <c r="I253" s="522">
        <f>regional!I93</f>
        <v>0</v>
      </c>
      <c r="J253" s="468"/>
      <c r="K253" s="468"/>
      <c r="L253" s="468"/>
      <c r="M253" s="468"/>
      <c r="N253" s="451"/>
      <c r="O253" s="452"/>
      <c r="P253" s="452"/>
      <c r="Q253" s="452"/>
      <c r="R253" s="452"/>
      <c r="S253" s="452"/>
      <c r="T253" s="158"/>
    </row>
    <row r="254" spans="1:20" ht="12.75" customHeight="1" x14ac:dyDescent="0.3">
      <c r="A254" s="36"/>
      <c r="B254" s="29"/>
      <c r="C254" s="36" t="s">
        <v>1274</v>
      </c>
      <c r="D254" s="29"/>
      <c r="E254" s="29"/>
      <c r="F254" s="29"/>
      <c r="G254" s="94" t="s">
        <v>1070</v>
      </c>
      <c r="H254" s="36" t="s">
        <v>36</v>
      </c>
      <c r="I254" s="522">
        <f>regional!I94</f>
        <v>0</v>
      </c>
      <c r="J254" s="468"/>
      <c r="K254" s="468"/>
      <c r="L254" s="468"/>
      <c r="M254" s="468"/>
      <c r="N254" s="451"/>
      <c r="O254" s="452"/>
      <c r="P254" s="452"/>
      <c r="Q254" s="452"/>
      <c r="R254" s="452"/>
      <c r="S254" s="452"/>
      <c r="T254" s="158"/>
    </row>
    <row r="255" spans="1:20" ht="12.75" customHeight="1" x14ac:dyDescent="0.3">
      <c r="A255" s="36"/>
      <c r="B255" s="36" t="s">
        <v>781</v>
      </c>
      <c r="C255" s="95"/>
      <c r="D255" s="29"/>
      <c r="E255" s="29"/>
      <c r="F255" s="29"/>
      <c r="G255" s="94" t="s">
        <v>1071</v>
      </c>
      <c r="H255" s="36" t="s">
        <v>36</v>
      </c>
      <c r="I255" s="522">
        <f>regional!I95</f>
        <v>0</v>
      </c>
      <c r="J255" s="468"/>
      <c r="K255" s="468"/>
      <c r="L255" s="468"/>
      <c r="M255" s="468"/>
      <c r="N255" s="451"/>
      <c r="O255" s="452"/>
      <c r="P255" s="452"/>
      <c r="Q255" s="452"/>
      <c r="R255" s="452"/>
      <c r="S255" s="452"/>
      <c r="T255" s="158"/>
    </row>
    <row r="256" spans="1:20" ht="12.75" customHeight="1" x14ac:dyDescent="0.3">
      <c r="A256" s="36"/>
      <c r="B256" s="36" t="s">
        <v>516</v>
      </c>
      <c r="C256" s="95"/>
      <c r="D256" s="29"/>
      <c r="E256" s="29"/>
      <c r="F256" s="29"/>
      <c r="G256" s="94" t="s">
        <v>1026</v>
      </c>
      <c r="H256" s="36" t="s">
        <v>36</v>
      </c>
      <c r="I256" s="522">
        <f>regional!I96</f>
        <v>0</v>
      </c>
      <c r="J256" s="468"/>
      <c r="K256" s="468"/>
      <c r="L256" s="468"/>
      <c r="M256" s="468"/>
      <c r="N256" s="451"/>
      <c r="O256" s="452"/>
      <c r="P256" s="452"/>
      <c r="Q256" s="452"/>
      <c r="R256" s="452"/>
      <c r="S256" s="452"/>
      <c r="T256" s="158"/>
    </row>
    <row r="257" spans="1:20" ht="12.75" customHeight="1" x14ac:dyDescent="0.3">
      <c r="A257" s="36"/>
      <c r="B257" s="36" t="s">
        <v>1102</v>
      </c>
      <c r="C257" s="95"/>
      <c r="D257" s="29"/>
      <c r="E257" s="29"/>
      <c r="F257" s="29"/>
      <c r="G257" s="94" t="s">
        <v>1030</v>
      </c>
      <c r="H257" s="36" t="s">
        <v>36</v>
      </c>
      <c r="I257" s="522">
        <f>regional!I97</f>
        <v>0</v>
      </c>
      <c r="J257" s="468"/>
      <c r="K257" s="468"/>
      <c r="L257" s="468"/>
      <c r="M257" s="468"/>
      <c r="N257" s="451"/>
      <c r="O257" s="452"/>
      <c r="P257" s="452"/>
      <c r="Q257" s="452"/>
      <c r="R257" s="452"/>
      <c r="S257" s="452"/>
      <c r="T257" s="158"/>
    </row>
    <row r="258" spans="1:20" ht="12.75" customHeight="1" x14ac:dyDescent="0.3">
      <c r="A258" s="36"/>
      <c r="B258" s="29"/>
      <c r="C258" s="36" t="s">
        <v>1233</v>
      </c>
      <c r="D258" s="29"/>
      <c r="E258" s="29"/>
      <c r="F258" s="29"/>
      <c r="G258" s="94" t="s">
        <v>168</v>
      </c>
      <c r="H258" s="36" t="s">
        <v>2321</v>
      </c>
      <c r="I258" s="522">
        <f>regional!I98</f>
        <v>0</v>
      </c>
      <c r="J258" s="468"/>
      <c r="K258" s="468"/>
      <c r="L258" s="468"/>
      <c r="M258" s="468"/>
      <c r="N258" s="451"/>
      <c r="O258" s="452"/>
      <c r="P258" s="452"/>
      <c r="Q258" s="452"/>
      <c r="R258" s="452"/>
      <c r="S258" s="452"/>
      <c r="T258" s="158"/>
    </row>
    <row r="259" spans="1:20" ht="12.75" customHeight="1" x14ac:dyDescent="0.3">
      <c r="A259" s="36"/>
      <c r="B259" s="29"/>
      <c r="C259" s="36" t="s">
        <v>1273</v>
      </c>
      <c r="D259" s="29"/>
      <c r="E259" s="29"/>
      <c r="F259" s="29"/>
      <c r="G259" s="94" t="s">
        <v>1072</v>
      </c>
      <c r="H259" s="36" t="s">
        <v>36</v>
      </c>
      <c r="I259" s="522">
        <f>regional!I99</f>
        <v>0</v>
      </c>
      <c r="J259" s="468"/>
      <c r="K259" s="468"/>
      <c r="L259" s="468"/>
      <c r="M259" s="468"/>
      <c r="N259" s="451"/>
      <c r="O259" s="452"/>
      <c r="P259" s="452"/>
      <c r="Q259" s="452"/>
      <c r="R259" s="452"/>
      <c r="S259" s="452"/>
      <c r="T259" s="158"/>
    </row>
    <row r="260" spans="1:20" ht="12.75" customHeight="1" x14ac:dyDescent="0.3">
      <c r="A260" s="36"/>
      <c r="B260" s="36" t="s">
        <v>785</v>
      </c>
      <c r="C260" s="95"/>
      <c r="D260" s="29"/>
      <c r="E260" s="29"/>
      <c r="F260" s="29"/>
      <c r="G260" s="94" t="s">
        <v>1073</v>
      </c>
      <c r="H260" s="36" t="s">
        <v>36</v>
      </c>
      <c r="I260" s="522">
        <f>regional!I100</f>
        <v>0</v>
      </c>
      <c r="J260" s="468"/>
      <c r="K260" s="468"/>
      <c r="L260" s="468"/>
      <c r="M260" s="468"/>
      <c r="N260" s="451"/>
      <c r="O260" s="452"/>
      <c r="P260" s="452"/>
      <c r="Q260" s="452"/>
      <c r="R260" s="452"/>
      <c r="S260" s="452"/>
      <c r="T260" s="158"/>
    </row>
    <row r="261" spans="1:20" ht="12.75" customHeight="1" x14ac:dyDescent="0.3">
      <c r="A261" s="36"/>
      <c r="B261" s="36" t="s">
        <v>517</v>
      </c>
      <c r="C261" s="95"/>
      <c r="D261" s="29"/>
      <c r="E261" s="29"/>
      <c r="F261" s="29"/>
      <c r="G261" s="94" t="s">
        <v>1027</v>
      </c>
      <c r="H261" s="36" t="s">
        <v>36</v>
      </c>
      <c r="I261" s="522">
        <f>regional!I101</f>
        <v>0</v>
      </c>
      <c r="J261" s="468"/>
      <c r="K261" s="468"/>
      <c r="L261" s="468"/>
      <c r="M261" s="468"/>
      <c r="N261" s="451"/>
      <c r="O261" s="452"/>
      <c r="P261" s="452"/>
      <c r="Q261" s="452"/>
      <c r="R261" s="452"/>
      <c r="S261" s="452"/>
      <c r="T261" s="158"/>
    </row>
    <row r="262" spans="1:20" ht="12.75" customHeight="1" x14ac:dyDescent="0.3">
      <c r="A262" s="36"/>
      <c r="B262" s="36" t="s">
        <v>933</v>
      </c>
      <c r="C262" s="95"/>
      <c r="D262" s="29"/>
      <c r="E262" s="29"/>
      <c r="F262" s="29"/>
      <c r="G262" s="94" t="s">
        <v>1107</v>
      </c>
      <c r="H262" s="36" t="s">
        <v>36</v>
      </c>
      <c r="I262" s="522">
        <f>regional!I102</f>
        <v>0</v>
      </c>
      <c r="J262" s="468"/>
      <c r="K262" s="468"/>
      <c r="L262" s="468"/>
      <c r="M262" s="468"/>
      <c r="N262" s="451"/>
      <c r="O262" s="452"/>
      <c r="P262" s="452"/>
      <c r="Q262" s="452"/>
      <c r="R262" s="452"/>
      <c r="S262" s="452"/>
      <c r="T262" s="158"/>
    </row>
    <row r="263" spans="1:20" ht="12.75" customHeight="1" x14ac:dyDescent="0.3">
      <c r="A263" s="36"/>
      <c r="B263" s="29"/>
      <c r="C263" s="36" t="s">
        <v>1065</v>
      </c>
      <c r="D263" s="29"/>
      <c r="E263" s="29"/>
      <c r="F263" s="29"/>
      <c r="G263" s="94" t="s">
        <v>170</v>
      </c>
      <c r="H263" s="36" t="s">
        <v>2321</v>
      </c>
      <c r="I263" s="522">
        <f>regional!I103</f>
        <v>0</v>
      </c>
      <c r="J263" s="468"/>
      <c r="K263" s="468"/>
      <c r="L263" s="468"/>
      <c r="M263" s="468"/>
      <c r="N263" s="451"/>
      <c r="O263" s="452"/>
      <c r="P263" s="452"/>
      <c r="Q263" s="452"/>
      <c r="R263" s="452"/>
      <c r="S263" s="452"/>
      <c r="T263" s="158"/>
    </row>
    <row r="264" spans="1:20" ht="12.75" customHeight="1" x14ac:dyDescent="0.3">
      <c r="A264" s="36"/>
      <c r="B264" s="29"/>
      <c r="C264" s="36" t="s">
        <v>1405</v>
      </c>
      <c r="D264" s="29"/>
      <c r="E264" s="29"/>
      <c r="F264" s="29"/>
      <c r="G264" s="94" t="s">
        <v>1074</v>
      </c>
      <c r="H264" s="36" t="s">
        <v>36</v>
      </c>
      <c r="I264" s="522">
        <f>regional!I104</f>
        <v>0</v>
      </c>
      <c r="J264" s="468"/>
      <c r="K264" s="468"/>
      <c r="L264" s="468"/>
      <c r="M264" s="468"/>
      <c r="N264" s="451"/>
      <c r="O264" s="452"/>
      <c r="P264" s="452"/>
      <c r="Q264" s="452"/>
      <c r="R264" s="452"/>
      <c r="S264" s="452"/>
      <c r="T264" s="158"/>
    </row>
    <row r="265" spans="1:20" ht="12.75" customHeight="1" x14ac:dyDescent="0.3">
      <c r="A265" s="36"/>
      <c r="B265" s="29"/>
      <c r="C265" s="29"/>
      <c r="D265" s="36"/>
      <c r="E265" s="29"/>
      <c r="F265" s="29"/>
      <c r="G265" s="29"/>
      <c r="H265" s="29"/>
      <c r="I265" s="457"/>
      <c r="J265" s="339"/>
      <c r="K265" s="339"/>
      <c r="L265" s="339"/>
      <c r="M265" s="339"/>
      <c r="N265" s="339"/>
      <c r="O265" s="282"/>
      <c r="P265" s="282"/>
      <c r="Q265" s="282"/>
      <c r="R265" s="282"/>
      <c r="S265" s="282"/>
      <c r="T265" s="158"/>
    </row>
    <row r="266" spans="1:20" ht="12.75" customHeight="1" x14ac:dyDescent="0.3">
      <c r="A266" s="98" t="s">
        <v>1311</v>
      </c>
      <c r="B266" s="97"/>
      <c r="C266" s="97"/>
      <c r="D266" s="97"/>
      <c r="E266" s="97"/>
      <c r="F266" s="97"/>
      <c r="G266" s="97"/>
      <c r="H266" s="97"/>
      <c r="I266" s="340" t="s">
        <v>754</v>
      </c>
      <c r="J266" s="364"/>
      <c r="K266" s="364"/>
      <c r="L266" s="364" t="s">
        <v>754</v>
      </c>
      <c r="M266" s="364" t="s">
        <v>754</v>
      </c>
      <c r="N266" s="364"/>
      <c r="O266" s="470"/>
      <c r="P266" s="470"/>
      <c r="Q266" s="470"/>
      <c r="R266" s="470"/>
      <c r="S266" s="470"/>
      <c r="T266" s="158"/>
    </row>
    <row r="267" spans="1:20" ht="12.75" customHeight="1" x14ac:dyDescent="0.3">
      <c r="A267" s="29"/>
      <c r="B267" s="29"/>
      <c r="C267" s="29"/>
      <c r="D267" s="29"/>
      <c r="E267" s="29"/>
      <c r="F267" s="29"/>
      <c r="G267" s="29"/>
      <c r="H267" s="29"/>
      <c r="I267" s="342"/>
      <c r="J267" s="339"/>
      <c r="K267" s="339"/>
      <c r="L267" s="339"/>
      <c r="M267" s="339"/>
      <c r="N267" s="339"/>
      <c r="O267" s="282"/>
      <c r="P267" s="282"/>
      <c r="Q267" s="282"/>
      <c r="R267" s="282"/>
      <c r="S267" s="282"/>
      <c r="T267" s="158"/>
    </row>
    <row r="268" spans="1:20" ht="12.75" customHeight="1" x14ac:dyDescent="0.3">
      <c r="A268" s="36" t="s">
        <v>298</v>
      </c>
      <c r="B268" s="29"/>
      <c r="C268" s="29"/>
      <c r="D268" s="29"/>
      <c r="E268" s="29"/>
      <c r="F268" s="29"/>
      <c r="G268" s="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/>
      <c r="M268" s="451"/>
      <c r="N268" s="451">
        <f>((DRYDEPaerosol.R+AerosolWashout.R+GasWashout.R+GASABS.aR.wR)/HEIGHT.aR)*AREAFRAC.w0R</f>
        <v>1.8297591523602687E-5</v>
      </c>
      <c r="O268" s="451">
        <f>((DRYDEPaerosol.R+AerosolWashout.R+GasWashout.R+GASABS.aR.wR)/HEIGHT.aR)*AREAFRAC.w0R</f>
        <v>1.8297591523602687E-5</v>
      </c>
      <c r="P268" s="451">
        <f>((DRYDEPaerosol.R+AerosolWashout.R+GasWashout.R+GASABS.aR.wR)/HEIGHT.aR)*AREAFRAC.w0R</f>
        <v>1.8297591523602687E-5</v>
      </c>
      <c r="Q268" s="451">
        <f>((DRYDEPaerosol.R+AerosolWashout.R+GasWashout.R+GASABS.aR.wR)/HEIGHT.aR)*AREAFRAC.w0R</f>
        <v>1.8297591523602687E-5</v>
      </c>
      <c r="R268" s="451">
        <f>((DRYDEPaerosol.R+AerosolWashout.R+GasWashout.R+GASABS.aR.wR)/HEIGHT.aR)*AREAFRAC.w0R</f>
        <v>1.8297591523602687E-5</v>
      </c>
      <c r="S268" s="452"/>
      <c r="T268" s="158"/>
    </row>
    <row r="269" spans="1:20" ht="12.75" customHeight="1" x14ac:dyDescent="0.3">
      <c r="A269" s="36" t="s">
        <v>66</v>
      </c>
      <c r="B269" s="29"/>
      <c r="C269" s="29"/>
      <c r="D269" s="29"/>
      <c r="E269" s="29"/>
      <c r="F269" s="29"/>
      <c r="G269" s="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/>
      <c r="M269" s="451"/>
      <c r="N269" s="451">
        <f>((DRYDEPaerosol.R+AerosolWashout.R+GasWashout.R+GASABS.aR.wR)/HEIGHT.aR)*AREAFRAC.w1R</f>
        <v>2.0127350675962956E-4</v>
      </c>
      <c r="O269" s="451">
        <f>((DRYDEPaerosol.R+AerosolWashout.R+GasWashout.R+GASABS.aR.wR)/HEIGHT.aR)*AREAFRAC.w1R</f>
        <v>2.0127350675962956E-4</v>
      </c>
      <c r="P269" s="451">
        <f>((DRYDEPaerosol.R+AerosolWashout.R+GasWashout.R+GASABS.aR.wR)/HEIGHT.aR)*AREAFRAC.w1R</f>
        <v>2.0127350675962956E-4</v>
      </c>
      <c r="Q269" s="451">
        <f>((DRYDEPaerosol.R+AerosolWashout.R+GasWashout.R+GASABS.aR.wR)/HEIGHT.aR)*AREAFRAC.w1R</f>
        <v>2.0127350675962956E-4</v>
      </c>
      <c r="R269" s="451">
        <f>((DRYDEPaerosol.R+AerosolWashout.R+GasWashout.R+GASABS.aR.wR)/HEIGHT.aR)*AREAFRAC.w1R</f>
        <v>2.0127350675962956E-4</v>
      </c>
      <c r="S269" s="452"/>
      <c r="T269" s="158"/>
    </row>
    <row r="270" spans="1:20" ht="12.75" customHeight="1" x14ac:dyDescent="0.3">
      <c r="A270" s="36" t="s">
        <v>67</v>
      </c>
      <c r="B270" s="29"/>
      <c r="C270" s="29"/>
      <c r="D270" s="29"/>
      <c r="E270" s="29"/>
      <c r="F270" s="29"/>
      <c r="G270" s="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/>
      <c r="M270" s="451"/>
      <c r="N270" s="451">
        <f>((DRYDEPaerosol.R+AerosolWashout.R+GasWashout.R+GASABS.aR.wR)/HEIGHT.aR)*AREAFRAC.w2R</f>
        <v>3.2020985297462849E-5</v>
      </c>
      <c r="O270" s="451">
        <f>((DRYDEPaerosol.R+AerosolWashout.R+GasWashout.R+GASABS.aR.wR)/HEIGHT.aR)*AREAFRAC.w2R</f>
        <v>3.2020985297462849E-5</v>
      </c>
      <c r="P270" s="451">
        <f>((DRYDEPaerosol.R+AerosolWashout.R+GasWashout.R+GASABS.aR.wR)/HEIGHT.aR)*AREAFRAC.w2R</f>
        <v>3.2020985297462849E-5</v>
      </c>
      <c r="Q270" s="451">
        <f>((DRYDEPaerosol.R+AerosolWashout.R+GasWashout.R+GASABS.aR.wR)/HEIGHT.aR)*AREAFRAC.w2R</f>
        <v>3.2020985297462849E-5</v>
      </c>
      <c r="R270" s="451">
        <f>((DRYDEPaerosol.R+AerosolWashout.R+GasWashout.R+GASABS.aR.wR)/HEIGHT.aR)*AREAFRAC.w2R</f>
        <v>3.2020985297462849E-5</v>
      </c>
      <c r="S270" s="452"/>
      <c r="T270" s="158"/>
    </row>
    <row r="271" spans="1:20" ht="12.75" customHeight="1" x14ac:dyDescent="0.3">
      <c r="A271" s="36" t="s">
        <v>68</v>
      </c>
      <c r="B271" s="29"/>
      <c r="C271" s="29"/>
      <c r="D271" s="29"/>
      <c r="E271" s="29"/>
      <c r="F271" s="29"/>
      <c r="G271" s="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/>
      <c r="M271" s="451"/>
      <c r="N271" s="451">
        <f>((DRYDEPaerosol.R+AerosolWashout.R+GasWashout.R+GASABS.aR.sR)/HEIGHT.aR)*AREAFRAC.s1R</f>
        <v>1.9754002880444225E-3</v>
      </c>
      <c r="O271" s="451">
        <f>((DRYDEPaerosol.R+AerosolWashout.R+GasWashout.R+GASABS.aR.sR)/HEIGHT.aR)*AREAFRAC.s1R</f>
        <v>1.9754002880444225E-3</v>
      </c>
      <c r="P271" s="451">
        <f>((DRYDEPaerosol.R+AerosolWashout.R+GasWashout.R+GASABS.aR.sR)/HEIGHT.aR)*AREAFRAC.s1R</f>
        <v>1.9754002880444225E-3</v>
      </c>
      <c r="Q271" s="451">
        <f>((DRYDEPaerosol.R+AerosolWashout.R+GasWashout.R+GASABS.aR.sR)/HEIGHT.aR)*AREAFRAC.s1R</f>
        <v>1.9754002880444225E-3</v>
      </c>
      <c r="R271" s="451">
        <f>((DRYDEPaerosol.R+AerosolWashout.R+GasWashout.R+GASABS.aR.sR)/HEIGHT.aR)*AREAFRAC.s1R</f>
        <v>1.9754002880444225E-3</v>
      </c>
      <c r="S271" s="452"/>
      <c r="T271" s="158"/>
    </row>
    <row r="272" spans="1:20" ht="12.75" customHeight="1" x14ac:dyDescent="0.3">
      <c r="A272" s="36" t="s">
        <v>69</v>
      </c>
      <c r="B272" s="29"/>
      <c r="C272" s="29"/>
      <c r="D272" s="29"/>
      <c r="E272" s="29"/>
      <c r="F272" s="29"/>
      <c r="G272" s="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/>
      <c r="M272" s="451"/>
      <c r="N272" s="451">
        <f>((DRYDEPaerosol.R+AerosolWashout.R+GasWashout.R+GASABS.aR.sR)/HEIGHT.aR)*AREAFRAC.s2R</f>
        <v>4.3897784178764934E-3</v>
      </c>
      <c r="O272" s="451">
        <f>((DRYDEPaerosol.R+AerosolWashout.R+GasWashout.R+GASABS.aR.sR)/HEIGHT.aR)*AREAFRAC.s2R</f>
        <v>4.3897784178764934E-3</v>
      </c>
      <c r="P272" s="451">
        <f>((DRYDEPaerosol.R+AerosolWashout.R+GasWashout.R+GASABS.aR.sR)/HEIGHT.aR)*AREAFRAC.s2R</f>
        <v>4.3897784178764934E-3</v>
      </c>
      <c r="Q272" s="451">
        <f>((DRYDEPaerosol.R+AerosolWashout.R+GasWashout.R+GASABS.aR.sR)/HEIGHT.aR)*AREAFRAC.s2R</f>
        <v>4.3897784178764934E-3</v>
      </c>
      <c r="R272" s="451">
        <f>((DRYDEPaerosol.R+AerosolWashout.R+GasWashout.R+GASABS.aR.sR)/HEIGHT.aR)*AREAFRAC.s2R</f>
        <v>4.3897784178764934E-3</v>
      </c>
      <c r="S272" s="452"/>
      <c r="T272" s="158"/>
    </row>
    <row r="273" spans="1:20" ht="12.75" customHeight="1" x14ac:dyDescent="0.3">
      <c r="A273" s="36" t="s">
        <v>70</v>
      </c>
      <c r="B273" s="29"/>
      <c r="C273" s="29"/>
      <c r="D273" s="29"/>
      <c r="E273" s="29"/>
      <c r="F273" s="29"/>
      <c r="G273" s="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/>
      <c r="M273" s="451"/>
      <c r="N273" s="451">
        <f>((DRYDEPaerosol.R+AerosolWashout.R+GasWashout.R+GASABS.aR.sR)/HEIGHT.aR)*AREAFRAC.s3R</f>
        <v>7.3162973631274897E-4</v>
      </c>
      <c r="O273" s="451">
        <f>((DRYDEPaerosol.R+AerosolWashout.R+GasWashout.R+GASABS.aR.sR)/HEIGHT.aR)*AREAFRAC.s3R</f>
        <v>7.3162973631274897E-4</v>
      </c>
      <c r="P273" s="451">
        <f>((DRYDEPaerosol.R+AerosolWashout.R+GasWashout.R+GASABS.aR.sR)/HEIGHT.aR)*AREAFRAC.s3R</f>
        <v>7.3162973631274897E-4</v>
      </c>
      <c r="Q273" s="451">
        <f>((DRYDEPaerosol.R+AerosolWashout.R+GasWashout.R+GASABS.aR.sR)/HEIGHT.aR)*AREAFRAC.s3R</f>
        <v>7.3162973631274897E-4</v>
      </c>
      <c r="R273" s="451">
        <f>((DRYDEPaerosol.R+AerosolWashout.R+GasWashout.R+GASABS.aR.sR)/HEIGHT.aR)*AREAFRAC.s3R</f>
        <v>7.3162973631274897E-4</v>
      </c>
      <c r="S273" s="452"/>
      <c r="T273" s="158"/>
    </row>
    <row r="274" spans="1:20" ht="12.75" customHeight="1" x14ac:dyDescent="0.3">
      <c r="A274" s="36" t="s">
        <v>71</v>
      </c>
      <c r="B274" s="29"/>
      <c r="C274" s="29"/>
      <c r="D274" s="29"/>
      <c r="E274" s="29"/>
      <c r="F274" s="29"/>
      <c r="G274" s="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1"/>
      <c r="N274" s="451"/>
      <c r="O274" s="452"/>
      <c r="P274" s="452"/>
      <c r="Q274" s="452"/>
      <c r="R274" s="452"/>
      <c r="S274" s="452"/>
      <c r="T274" s="158"/>
    </row>
    <row r="275" spans="1:20" ht="12.75" customHeight="1" x14ac:dyDescent="0.3">
      <c r="A275" s="36" t="s">
        <v>71</v>
      </c>
      <c r="B275" s="29"/>
      <c r="C275" s="29"/>
      <c r="D275" s="29"/>
      <c r="E275" s="29"/>
      <c r="F275" s="29"/>
      <c r="G275" s="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1"/>
      <c r="N275" s="451"/>
      <c r="O275" s="452"/>
      <c r="P275" s="452"/>
      <c r="Q275" s="452"/>
      <c r="R275" s="452"/>
      <c r="S275" s="452"/>
      <c r="T275" s="158"/>
    </row>
    <row r="276" spans="1:20" ht="12.75" customHeight="1" x14ac:dyDescent="0.3">
      <c r="A276" s="36" t="s">
        <v>72</v>
      </c>
      <c r="B276" s="29"/>
      <c r="C276" s="29"/>
      <c r="D276" s="29"/>
      <c r="E276" s="29"/>
      <c r="F276" s="29"/>
      <c r="G276" s="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1"/>
      <c r="N276" s="451"/>
      <c r="O276" s="452"/>
      <c r="P276" s="452"/>
      <c r="Q276" s="452"/>
      <c r="R276" s="452"/>
      <c r="S276" s="452"/>
      <c r="T276" s="158"/>
    </row>
    <row r="277" spans="1:20" ht="12.75" customHeight="1" x14ac:dyDescent="0.3">
      <c r="A277" s="36" t="s">
        <v>73</v>
      </c>
      <c r="B277" s="29"/>
      <c r="C277" s="29"/>
      <c r="D277" s="29"/>
      <c r="E277" s="29"/>
      <c r="F277" s="29"/>
      <c r="G277" s="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1"/>
      <c r="N277" s="451"/>
      <c r="O277" s="452"/>
      <c r="P277" s="452"/>
      <c r="Q277" s="452"/>
      <c r="R277" s="452"/>
      <c r="S277" s="452"/>
      <c r="T277" s="158"/>
    </row>
    <row r="278" spans="1:20" ht="12.75" customHeight="1" x14ac:dyDescent="0.3">
      <c r="A278" s="36" t="s">
        <v>74</v>
      </c>
      <c r="B278" s="29"/>
      <c r="C278" s="29"/>
      <c r="D278" s="29"/>
      <c r="E278" s="29"/>
      <c r="F278" s="29"/>
      <c r="G278" s="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1"/>
      <c r="N278" s="451"/>
      <c r="O278" s="452"/>
      <c r="P278" s="452"/>
      <c r="Q278" s="452"/>
      <c r="R278" s="452"/>
      <c r="S278" s="452"/>
      <c r="T278" s="158"/>
    </row>
    <row r="279" spans="1:20" ht="12.75" customHeight="1" x14ac:dyDescent="0.3">
      <c r="A279" s="36" t="s">
        <v>75</v>
      </c>
      <c r="B279" s="29"/>
      <c r="C279" s="29"/>
      <c r="D279" s="29"/>
      <c r="E279" s="29"/>
      <c r="F279" s="29"/>
      <c r="G279" s="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1"/>
      <c r="N279" s="451"/>
      <c r="O279" s="452"/>
      <c r="P279" s="452"/>
      <c r="Q279" s="452"/>
      <c r="R279" s="452"/>
      <c r="S279" s="452"/>
      <c r="T279" s="158"/>
    </row>
    <row r="280" spans="1:20" ht="12.75" customHeight="1" x14ac:dyDescent="0.3">
      <c r="A280" s="36"/>
      <c r="B280" s="36" t="s">
        <v>3975</v>
      </c>
      <c r="C280" s="29"/>
      <c r="D280" s="29"/>
      <c r="E280" s="29"/>
      <c r="F280" s="29"/>
      <c r="G280" s="37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1"/>
      <c r="N280" s="451"/>
      <c r="O280" s="452"/>
      <c r="P280" s="452"/>
      <c r="Q280" s="452"/>
      <c r="R280" s="452"/>
      <c r="S280" s="452"/>
      <c r="T280" s="158"/>
    </row>
    <row r="281" spans="1:20" ht="12.75" customHeight="1" x14ac:dyDescent="0.3">
      <c r="A281" s="36"/>
      <c r="B281" s="36"/>
      <c r="C281" s="29" t="s">
        <v>3976</v>
      </c>
      <c r="D281" s="29"/>
      <c r="E281" s="29"/>
      <c r="F281" s="29"/>
      <c r="G281" s="37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1"/>
      <c r="N281" s="451"/>
      <c r="O281" s="452"/>
      <c r="P281" s="452"/>
      <c r="Q281" s="452"/>
      <c r="R281" s="452"/>
      <c r="S281" s="452"/>
      <c r="T281" s="158"/>
    </row>
    <row r="282" spans="1:20" ht="12.75" customHeight="1" x14ac:dyDescent="0.3">
      <c r="A282" s="36"/>
      <c r="B282" s="36"/>
      <c r="C282" s="36"/>
      <c r="D282" s="36" t="s">
        <v>3977</v>
      </c>
      <c r="E282" s="29"/>
      <c r="F282" s="29"/>
      <c r="G282" s="37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1"/>
      <c r="N282" s="451"/>
      <c r="O282" s="452"/>
      <c r="P282" s="452"/>
      <c r="Q282" s="452"/>
      <c r="R282" s="452"/>
      <c r="S282" s="452"/>
      <c r="T282" s="158"/>
    </row>
    <row r="283" spans="1:20" ht="12.75" customHeight="1" x14ac:dyDescent="0.3">
      <c r="A283" s="36"/>
      <c r="B283" s="36"/>
      <c r="C283" s="36"/>
      <c r="D283" s="36" t="s">
        <v>3978</v>
      </c>
      <c r="E283" s="29"/>
      <c r="F283" s="29"/>
      <c r="G283" s="37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1"/>
      <c r="N283" s="451"/>
      <c r="O283" s="452"/>
      <c r="P283" s="452"/>
      <c r="Q283" s="452"/>
      <c r="R283" s="452"/>
      <c r="S283" s="452"/>
      <c r="T283" s="158"/>
    </row>
    <row r="284" spans="1:20" ht="12.75" customHeight="1" x14ac:dyDescent="0.3">
      <c r="A284" s="36"/>
      <c r="B284" s="36"/>
      <c r="C284" s="36"/>
      <c r="D284" s="29" t="s">
        <v>929</v>
      </c>
      <c r="E284" s="29"/>
      <c r="F284" s="29"/>
      <c r="G284" s="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1"/>
      <c r="N284" s="451"/>
      <c r="O284" s="452"/>
      <c r="P284" s="452"/>
      <c r="Q284" s="452"/>
      <c r="R284" s="452"/>
      <c r="S284" s="452"/>
      <c r="T284" s="158"/>
    </row>
    <row r="285" spans="1:20" ht="12.75" customHeight="1" x14ac:dyDescent="0.3">
      <c r="A285" s="36"/>
      <c r="B285" s="36"/>
      <c r="C285" s="36"/>
      <c r="D285" s="29" t="s">
        <v>931</v>
      </c>
      <c r="E285" s="29"/>
      <c r="F285" s="29"/>
      <c r="G285" s="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1"/>
      <c r="N285" s="451"/>
      <c r="O285" s="452"/>
      <c r="P285" s="452"/>
      <c r="Q285" s="452"/>
      <c r="R285" s="452"/>
      <c r="S285" s="452"/>
      <c r="T285" s="158"/>
    </row>
    <row r="286" spans="1:20" ht="12.75" customHeight="1" x14ac:dyDescent="0.3">
      <c r="A286" s="36"/>
      <c r="B286" s="36"/>
      <c r="C286" s="36" t="s">
        <v>493</v>
      </c>
      <c r="D286" s="29"/>
      <c r="E286" s="29"/>
      <c r="F286" s="29"/>
      <c r="G286" s="94" t="s">
        <v>120</v>
      </c>
      <c r="H286" s="95" t="s">
        <v>2322</v>
      </c>
      <c r="I286" s="522">
        <f>regional!I126</f>
        <v>0</v>
      </c>
      <c r="J286" s="451"/>
      <c r="K286" s="451"/>
      <c r="L286" s="451"/>
      <c r="M286" s="451"/>
      <c r="N286" s="451">
        <f>AEROSOLdeprate.R*FRaers.aR</f>
        <v>2.352999540191509E-5</v>
      </c>
      <c r="O286" s="451">
        <f>AEROSOLdeprate.R*FRaers.aR</f>
        <v>2.352999540191509E-5</v>
      </c>
      <c r="P286" s="451">
        <f>AEROSOLdeprate.R*FRaers.aR</f>
        <v>2.352999540191509E-5</v>
      </c>
      <c r="Q286" s="451">
        <f>AEROSOLdeprate.R*FRaers.aR</f>
        <v>2.352999540191509E-5</v>
      </c>
      <c r="R286" s="451">
        <f>AEROSOLdeprate.R*FRaers.aR</f>
        <v>2.352999540191509E-5</v>
      </c>
      <c r="S286" s="452"/>
      <c r="T286" s="158"/>
    </row>
    <row r="287" spans="1:20" ht="12.75" customHeight="1" x14ac:dyDescent="0.3">
      <c r="A287" s="36"/>
      <c r="B287" s="36"/>
      <c r="C287" s="36" t="s">
        <v>745</v>
      </c>
      <c r="D287" s="29"/>
      <c r="E287" s="29"/>
      <c r="F287" s="29"/>
      <c r="G287" s="37" t="s">
        <v>586</v>
      </c>
      <c r="H287" s="95" t="s">
        <v>2322</v>
      </c>
      <c r="I287" s="522">
        <f>regional!I127</f>
        <v>0</v>
      </c>
      <c r="J287" s="451"/>
      <c r="K287" s="451"/>
      <c r="L287" s="451"/>
      <c r="M287" s="451"/>
      <c r="N287" s="451">
        <f t="shared" ref="N287:R287" si="4">(1-FRgas.aR)*COLLECTeff.R*RAINrate.R</f>
        <v>1.0622130094040873E-4</v>
      </c>
      <c r="O287" s="452">
        <f t="shared" si="4"/>
        <v>1.0622130094040873E-4</v>
      </c>
      <c r="P287" s="452">
        <f t="shared" si="4"/>
        <v>1.0622130094040873E-4</v>
      </c>
      <c r="Q287" s="452">
        <f t="shared" si="4"/>
        <v>1.0622130094040873E-4</v>
      </c>
      <c r="R287" s="452">
        <f t="shared" si="4"/>
        <v>1.0622130094040873E-4</v>
      </c>
      <c r="S287" s="452"/>
      <c r="T287" s="158"/>
    </row>
    <row r="288" spans="1:20" ht="12.75" customHeight="1" x14ac:dyDescent="0.3">
      <c r="A288" s="36"/>
      <c r="B288" s="36"/>
      <c r="C288" s="36" t="s">
        <v>746</v>
      </c>
      <c r="D288" s="29"/>
      <c r="E288" s="29"/>
      <c r="F288" s="29"/>
      <c r="G288" s="37" t="s">
        <v>587</v>
      </c>
      <c r="H288" s="95" t="s">
        <v>2322</v>
      </c>
      <c r="I288" s="522">
        <f>regional!I128</f>
        <v>0</v>
      </c>
      <c r="J288" s="451"/>
      <c r="K288" s="451"/>
      <c r="L288" s="451"/>
      <c r="M288" s="451"/>
      <c r="N288" s="451">
        <f t="shared" ref="N288:R288" si="5">FRgas.aR*RAINrate.R/Kaw.R</f>
        <v>0.44073100068471405</v>
      </c>
      <c r="O288" s="452">
        <f t="shared" si="5"/>
        <v>0.44073100068471405</v>
      </c>
      <c r="P288" s="452">
        <f t="shared" si="5"/>
        <v>0.44073100068471405</v>
      </c>
      <c r="Q288" s="452">
        <f t="shared" si="5"/>
        <v>0.44073100068471405</v>
      </c>
      <c r="R288" s="452">
        <f t="shared" si="5"/>
        <v>0.44073100068471405</v>
      </c>
      <c r="S288" s="452"/>
      <c r="T288" s="158"/>
    </row>
    <row r="289" spans="1:20" ht="12.75" customHeight="1" x14ac:dyDescent="0.3">
      <c r="A289" s="36"/>
      <c r="B289" s="36"/>
      <c r="C289" s="29"/>
      <c r="D289" s="95" t="s">
        <v>747</v>
      </c>
      <c r="E289" s="95"/>
      <c r="F289" s="95"/>
      <c r="G289" s="94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1"/>
      <c r="N289" s="451"/>
      <c r="O289" s="452"/>
      <c r="P289" s="452"/>
      <c r="Q289" s="452"/>
      <c r="R289" s="452"/>
      <c r="S289" s="452"/>
      <c r="T289" s="158"/>
    </row>
    <row r="290" spans="1:20" ht="12.75" customHeight="1" x14ac:dyDescent="0.3">
      <c r="A290" s="36"/>
      <c r="B290" s="36"/>
      <c r="C290" s="29"/>
      <c r="D290" s="36" t="s">
        <v>444</v>
      </c>
      <c r="E290" s="29"/>
      <c r="F290" s="29"/>
      <c r="G290" s="94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1"/>
      <c r="N290" s="451"/>
      <c r="O290" s="452"/>
      <c r="P290" s="452"/>
      <c r="Q290" s="452"/>
      <c r="R290" s="452"/>
      <c r="S290" s="452"/>
      <c r="T290" s="158"/>
    </row>
    <row r="291" spans="1:20" ht="12.75" customHeight="1" x14ac:dyDescent="0.3">
      <c r="A291" s="36"/>
      <c r="B291" s="36" t="s">
        <v>2218</v>
      </c>
      <c r="C291" s="29"/>
      <c r="D291" s="29"/>
      <c r="E291" s="95"/>
      <c r="F291" s="95"/>
      <c r="G291" s="37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1"/>
      <c r="N291" s="451"/>
      <c r="O291" s="452"/>
      <c r="P291" s="452"/>
      <c r="Q291" s="452"/>
      <c r="R291" s="452"/>
      <c r="S291" s="452"/>
      <c r="T291" s="158"/>
    </row>
    <row r="292" spans="1:20" ht="12.75" customHeight="1" x14ac:dyDescent="0.3">
      <c r="A292" s="36"/>
      <c r="B292" s="36" t="s">
        <v>2219</v>
      </c>
      <c r="C292" s="29"/>
      <c r="D292" s="29"/>
      <c r="E292" s="95"/>
      <c r="F292" s="95"/>
      <c r="G292" s="37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1"/>
      <c r="N292" s="451"/>
      <c r="O292" s="452"/>
      <c r="P292" s="452"/>
      <c r="Q292" s="452"/>
      <c r="R292" s="452"/>
      <c r="S292" s="452"/>
      <c r="T292" s="158"/>
    </row>
    <row r="293" spans="1:20" ht="12.75" customHeight="1" x14ac:dyDescent="0.3">
      <c r="A293" s="36"/>
      <c r="B293" s="36" t="s">
        <v>2212</v>
      </c>
      <c r="C293" s="29"/>
      <c r="D293" s="29"/>
      <c r="E293" s="95"/>
      <c r="F293" s="95"/>
      <c r="G293" s="37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1"/>
      <c r="N293" s="451"/>
      <c r="O293" s="452"/>
      <c r="P293" s="452"/>
      <c r="Q293" s="452"/>
      <c r="R293" s="452"/>
      <c r="S293" s="452"/>
      <c r="T293" s="158"/>
    </row>
    <row r="294" spans="1:20" ht="12.75" customHeight="1" x14ac:dyDescent="0.3">
      <c r="A294" s="36"/>
      <c r="B294" s="36" t="s">
        <v>2213</v>
      </c>
      <c r="C294" s="29"/>
      <c r="D294" s="29"/>
      <c r="E294" s="95"/>
      <c r="F294" s="95"/>
      <c r="G294" s="37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1"/>
      <c r="N294" s="451"/>
      <c r="O294" s="452"/>
      <c r="P294" s="452"/>
      <c r="Q294" s="452"/>
      <c r="R294" s="452"/>
      <c r="S294" s="452"/>
      <c r="T294" s="158"/>
    </row>
    <row r="295" spans="1:20" ht="12.75" customHeight="1" x14ac:dyDescent="0.3">
      <c r="A295" s="36"/>
      <c r="B295" s="36" t="s">
        <v>2214</v>
      </c>
      <c r="C295" s="29"/>
      <c r="D295" s="29"/>
      <c r="E295" s="29"/>
      <c r="F295" s="29"/>
      <c r="G295" s="37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1"/>
      <c r="N295" s="451"/>
      <c r="O295" s="452"/>
      <c r="P295" s="452"/>
      <c r="Q295" s="452"/>
      <c r="R295" s="452"/>
      <c r="S295" s="452"/>
      <c r="T295" s="158"/>
    </row>
    <row r="296" spans="1:20" ht="12.75" customHeight="1" x14ac:dyDescent="0.3">
      <c r="A296" s="36"/>
      <c r="B296" s="36"/>
      <c r="C296" s="29" t="s">
        <v>1077</v>
      </c>
      <c r="D296" s="29"/>
      <c r="E296" s="95"/>
      <c r="F296" s="95"/>
      <c r="G296" s="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1"/>
      <c r="N296" s="451"/>
      <c r="O296" s="452"/>
      <c r="P296" s="452"/>
      <c r="Q296" s="452"/>
      <c r="R296" s="452"/>
      <c r="S296" s="452"/>
      <c r="T296" s="158"/>
    </row>
    <row r="297" spans="1:20" ht="12.75" customHeight="1" x14ac:dyDescent="0.3">
      <c r="A297" s="36"/>
      <c r="B297" s="36"/>
      <c r="C297" s="29" t="s">
        <v>1048</v>
      </c>
      <c r="D297" s="29"/>
      <c r="E297" s="95"/>
      <c r="F297" s="95"/>
      <c r="G297" s="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1"/>
      <c r="N297" s="451"/>
      <c r="O297" s="452"/>
      <c r="P297" s="452"/>
      <c r="Q297" s="452"/>
      <c r="R297" s="452"/>
      <c r="S297" s="452"/>
      <c r="T297" s="158"/>
    </row>
    <row r="298" spans="1:20" ht="12.75" customHeight="1" x14ac:dyDescent="0.3">
      <c r="A298" s="36"/>
      <c r="B298" s="36" t="s">
        <v>2215</v>
      </c>
      <c r="C298" s="29"/>
      <c r="D298" s="29"/>
      <c r="E298" s="95"/>
      <c r="F298" s="95"/>
      <c r="G298" s="37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1"/>
      <c r="N298" s="451"/>
      <c r="O298" s="452"/>
      <c r="P298" s="452"/>
      <c r="Q298" s="452"/>
      <c r="R298" s="452"/>
      <c r="S298" s="452"/>
      <c r="T298" s="158"/>
    </row>
    <row r="299" spans="1:20" ht="12.75" customHeight="1" x14ac:dyDescent="0.3">
      <c r="A299" s="36"/>
      <c r="B299" s="36" t="s">
        <v>2216</v>
      </c>
      <c r="C299" s="29"/>
      <c r="D299" s="29"/>
      <c r="E299" s="95"/>
      <c r="F299" s="95"/>
      <c r="G299" s="37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1"/>
      <c r="N299" s="451"/>
      <c r="O299" s="452"/>
      <c r="P299" s="452"/>
      <c r="Q299" s="452"/>
      <c r="R299" s="452"/>
      <c r="S299" s="452"/>
      <c r="T299" s="158"/>
    </row>
    <row r="300" spans="1:20" ht="12.75" customHeight="1" x14ac:dyDescent="0.3">
      <c r="A300" s="36"/>
      <c r="B300" s="36" t="s">
        <v>2217</v>
      </c>
      <c r="C300" s="29"/>
      <c r="D300" s="29"/>
      <c r="E300" s="95"/>
      <c r="F300" s="95"/>
      <c r="G300" s="37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1"/>
      <c r="N300" s="451"/>
      <c r="O300" s="452"/>
      <c r="P300" s="452"/>
      <c r="Q300" s="452"/>
      <c r="R300" s="452"/>
      <c r="S300" s="452"/>
      <c r="T300" s="158"/>
    </row>
    <row r="301" spans="1:20" ht="12.75" customHeight="1" x14ac:dyDescent="0.3">
      <c r="A301" s="36"/>
      <c r="B301" s="36"/>
      <c r="C301" s="29" t="s">
        <v>1049</v>
      </c>
      <c r="D301" s="29"/>
      <c r="E301" s="29"/>
      <c r="F301" s="95"/>
      <c r="G301" s="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1"/>
      <c r="Q301" s="451"/>
      <c r="R301" s="452"/>
      <c r="S301" s="451"/>
      <c r="T301" s="158"/>
    </row>
    <row r="302" spans="1:20" ht="12.75" customHeight="1" x14ac:dyDescent="0.3">
      <c r="A302" s="36"/>
      <c r="B302" s="36"/>
      <c r="C302" s="29" t="s">
        <v>872</v>
      </c>
      <c r="D302" s="29"/>
      <c r="E302" s="95"/>
      <c r="F302" s="95"/>
      <c r="G302" s="29" t="s">
        <v>3982</v>
      </c>
      <c r="H302" s="95" t="s">
        <v>2322</v>
      </c>
      <c r="I302" s="522">
        <f>regional!I142</f>
        <v>0</v>
      </c>
      <c r="J302" s="451"/>
      <c r="K302" s="451"/>
      <c r="L302" s="451"/>
      <c r="M302" s="451"/>
      <c r="N302" s="612"/>
      <c r="O302" s="612"/>
      <c r="P302" s="612"/>
      <c r="Q302" s="612"/>
      <c r="R302" s="452"/>
      <c r="S302" s="612"/>
      <c r="T302" s="158"/>
    </row>
    <row r="303" spans="1:20" ht="12.75" customHeight="1" x14ac:dyDescent="0.3">
      <c r="A303" s="36"/>
      <c r="B303" s="36"/>
      <c r="C303" s="29" t="s">
        <v>2228</v>
      </c>
      <c r="D303" s="29"/>
      <c r="E303" s="95"/>
      <c r="F303" s="95"/>
      <c r="G303" s="37" t="s">
        <v>1464</v>
      </c>
      <c r="H303" s="29" t="s">
        <v>36</v>
      </c>
      <c r="I303" s="522">
        <f>regional!I143</f>
        <v>0</v>
      </c>
      <c r="J303" s="451"/>
      <c r="K303" s="451"/>
      <c r="L303" s="451"/>
      <c r="M303" s="451"/>
      <c r="N303" s="451">
        <v>1</v>
      </c>
      <c r="O303" s="451">
        <v>1</v>
      </c>
      <c r="P303" s="451">
        <v>1</v>
      </c>
      <c r="Q303" s="451">
        <v>1</v>
      </c>
      <c r="R303" s="452"/>
      <c r="S303" s="451">
        <v>1</v>
      </c>
      <c r="T303" s="158"/>
    </row>
    <row r="304" spans="1:20" ht="12.75" customHeight="1" x14ac:dyDescent="0.3">
      <c r="A304" s="36"/>
      <c r="B304" s="36"/>
      <c r="C304" s="29" t="s">
        <v>2228</v>
      </c>
      <c r="D304" s="29"/>
      <c r="E304" s="95"/>
      <c r="F304" s="95"/>
      <c r="G304" s="37" t="s">
        <v>1465</v>
      </c>
      <c r="H304" s="29" t="s">
        <v>36</v>
      </c>
      <c r="I304" s="522">
        <f>regional!I144</f>
        <v>0</v>
      </c>
      <c r="J304" s="451"/>
      <c r="K304" s="451"/>
      <c r="L304" s="451"/>
      <c r="M304" s="451"/>
      <c r="N304" s="451">
        <v>1</v>
      </c>
      <c r="O304" s="451">
        <v>1</v>
      </c>
      <c r="P304" s="451">
        <v>1</v>
      </c>
      <c r="Q304" s="451">
        <v>1</v>
      </c>
      <c r="R304" s="452"/>
      <c r="S304" s="451">
        <v>1</v>
      </c>
      <c r="T304" s="158"/>
    </row>
    <row r="305" spans="1:20" ht="12.75" customHeight="1" x14ac:dyDescent="0.3">
      <c r="A305" s="36"/>
      <c r="B305" s="36"/>
      <c r="C305" s="29" t="s">
        <v>2228</v>
      </c>
      <c r="D305" s="29"/>
      <c r="E305" s="95"/>
      <c r="F305" s="95"/>
      <c r="G305" s="37" t="s">
        <v>1466</v>
      </c>
      <c r="H305" s="29" t="s">
        <v>36</v>
      </c>
      <c r="I305" s="522">
        <f>regional!I145</f>
        <v>0</v>
      </c>
      <c r="J305" s="451"/>
      <c r="K305" s="451"/>
      <c r="L305" s="451"/>
      <c r="M305" s="451"/>
      <c r="N305" s="451">
        <v>1</v>
      </c>
      <c r="O305" s="451">
        <v>1</v>
      </c>
      <c r="P305" s="451">
        <v>1</v>
      </c>
      <c r="Q305" s="451">
        <v>1</v>
      </c>
      <c r="R305" s="452"/>
      <c r="S305" s="451">
        <v>1</v>
      </c>
      <c r="T305" s="158"/>
    </row>
    <row r="306" spans="1:20" ht="12.75" customHeight="1" x14ac:dyDescent="0.3">
      <c r="A306" s="36"/>
      <c r="B306" s="29"/>
      <c r="C306" s="29"/>
      <c r="D306" s="29"/>
      <c r="E306" s="29"/>
      <c r="F306" s="29"/>
      <c r="G306" s="94"/>
      <c r="H306" s="36"/>
      <c r="I306" s="524"/>
      <c r="J306" s="459"/>
      <c r="K306" s="459"/>
      <c r="L306" s="459"/>
      <c r="M306" s="459"/>
      <c r="N306" s="459"/>
      <c r="O306" s="460"/>
      <c r="P306" s="460"/>
      <c r="Q306" s="460"/>
      <c r="R306" s="460"/>
      <c r="S306" s="460"/>
      <c r="T306" s="158"/>
    </row>
    <row r="307" spans="1:20" ht="12.75" customHeight="1" x14ac:dyDescent="0.3">
      <c r="A307" s="36" t="s">
        <v>76</v>
      </c>
      <c r="B307" s="29"/>
      <c r="C307" s="29"/>
      <c r="D307" s="29"/>
      <c r="E307" s="29"/>
      <c r="F307" s="29"/>
      <c r="G307" s="37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1"/>
      <c r="N307" s="451"/>
      <c r="O307" s="452"/>
      <c r="P307" s="452"/>
      <c r="Q307" s="452"/>
      <c r="R307" s="452"/>
      <c r="S307" s="452"/>
      <c r="T307" s="158"/>
    </row>
    <row r="308" spans="1:20" ht="12.75" customHeight="1" x14ac:dyDescent="0.3">
      <c r="A308" s="36" t="s">
        <v>77</v>
      </c>
      <c r="B308" s="29"/>
      <c r="C308" s="29"/>
      <c r="D308" s="29"/>
      <c r="E308" s="29"/>
      <c r="F308" s="29"/>
      <c r="G308" s="37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1"/>
      <c r="N308" s="451"/>
      <c r="O308" s="452"/>
      <c r="P308" s="452"/>
      <c r="Q308" s="452"/>
      <c r="R308" s="452"/>
      <c r="S308" s="452"/>
      <c r="T308" s="158"/>
    </row>
    <row r="309" spans="1:20" ht="12.75" customHeight="1" x14ac:dyDescent="0.3">
      <c r="A309" s="36" t="s">
        <v>78</v>
      </c>
      <c r="B309" s="29"/>
      <c r="C309" s="29"/>
      <c r="D309" s="29"/>
      <c r="E309" s="29"/>
      <c r="F309" s="29"/>
      <c r="G309" s="37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1"/>
      <c r="N309" s="451"/>
      <c r="O309" s="452"/>
      <c r="P309" s="452"/>
      <c r="Q309" s="452"/>
      <c r="R309" s="452"/>
      <c r="S309" s="452"/>
      <c r="T309" s="158"/>
    </row>
    <row r="310" spans="1:20" ht="12.75" customHeight="1" x14ac:dyDescent="0.3">
      <c r="A310" s="36" t="s">
        <v>79</v>
      </c>
      <c r="B310" s="29"/>
      <c r="C310" s="29"/>
      <c r="D310" s="29"/>
      <c r="E310" s="29"/>
      <c r="F310" s="29"/>
      <c r="G310" s="37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1"/>
      <c r="N310" s="451"/>
      <c r="O310" s="452"/>
      <c r="P310" s="452"/>
      <c r="Q310" s="452"/>
      <c r="R310" s="452"/>
      <c r="S310" s="452"/>
      <c r="T310" s="158"/>
    </row>
    <row r="311" spans="1:20" ht="12.75" customHeight="1" x14ac:dyDescent="0.3">
      <c r="A311" s="36"/>
      <c r="B311" s="36" t="s">
        <v>2230</v>
      </c>
      <c r="C311" s="29"/>
      <c r="D311" s="29"/>
      <c r="E311" s="29"/>
      <c r="F311" s="29"/>
      <c r="G311" s="37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1"/>
      <c r="N311" s="451"/>
      <c r="O311" s="452"/>
      <c r="P311" s="452"/>
      <c r="Q311" s="452"/>
      <c r="R311" s="452"/>
      <c r="S311" s="452"/>
      <c r="T311" s="158"/>
    </row>
    <row r="312" spans="1:20" ht="12.75" customHeight="1" x14ac:dyDescent="0.3">
      <c r="A312" s="36"/>
      <c r="B312" s="36" t="s">
        <v>2231</v>
      </c>
      <c r="C312" s="29"/>
      <c r="D312" s="29"/>
      <c r="E312" s="29"/>
      <c r="F312" s="29"/>
      <c r="G312" s="37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1"/>
      <c r="N312" s="451"/>
      <c r="O312" s="452"/>
      <c r="P312" s="452"/>
      <c r="Q312" s="452"/>
      <c r="R312" s="452"/>
      <c r="S312" s="452"/>
      <c r="T312" s="158"/>
    </row>
    <row r="313" spans="1:20" ht="12.75" customHeight="1" x14ac:dyDescent="0.3">
      <c r="A313" s="36"/>
      <c r="B313" s="36" t="s">
        <v>2232</v>
      </c>
      <c r="C313" s="29"/>
      <c r="D313" s="29"/>
      <c r="E313" s="29"/>
      <c r="F313" s="29"/>
      <c r="G313" s="37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1"/>
      <c r="N313" s="451"/>
      <c r="O313" s="452"/>
      <c r="P313" s="452"/>
      <c r="Q313" s="452"/>
      <c r="R313" s="452"/>
      <c r="S313" s="452"/>
      <c r="T313" s="158"/>
    </row>
    <row r="314" spans="1:20" ht="12.75" customHeight="1" x14ac:dyDescent="0.3">
      <c r="A314" s="36"/>
      <c r="B314" s="36" t="s">
        <v>2233</v>
      </c>
      <c r="C314" s="29"/>
      <c r="D314" s="29"/>
      <c r="E314" s="29"/>
      <c r="F314" s="29"/>
      <c r="G314" s="37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1"/>
      <c r="N314" s="451"/>
      <c r="O314" s="452"/>
      <c r="P314" s="452"/>
      <c r="Q314" s="452"/>
      <c r="R314" s="452"/>
      <c r="S314" s="452"/>
      <c r="T314" s="158"/>
    </row>
    <row r="315" spans="1:20" ht="12.75" customHeight="1" x14ac:dyDescent="0.3">
      <c r="A315" s="36"/>
      <c r="B315" s="36"/>
      <c r="C315" s="36" t="s">
        <v>1228</v>
      </c>
      <c r="D315" s="29"/>
      <c r="E315" s="29"/>
      <c r="F315" s="29"/>
      <c r="G315" s="94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1"/>
      <c r="N315" s="451"/>
      <c r="O315" s="452"/>
      <c r="P315" s="452"/>
      <c r="Q315" s="452"/>
      <c r="R315" s="452"/>
      <c r="S315" s="452"/>
      <c r="T315" s="158"/>
    </row>
    <row r="316" spans="1:20" ht="12.75" customHeight="1" x14ac:dyDescent="0.3">
      <c r="A316" s="36"/>
      <c r="B316" s="36"/>
      <c r="C316" s="36" t="s">
        <v>1229</v>
      </c>
      <c r="D316" s="29"/>
      <c r="E316" s="95"/>
      <c r="F316" s="95"/>
      <c r="G316" s="94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1"/>
      <c r="N316" s="451"/>
      <c r="O316" s="452"/>
      <c r="P316" s="452"/>
      <c r="Q316" s="452"/>
      <c r="R316" s="452"/>
      <c r="S316" s="452"/>
      <c r="T316" s="158"/>
    </row>
    <row r="317" spans="1:20" ht="12.75" customHeight="1" x14ac:dyDescent="0.3">
      <c r="A317" s="36"/>
      <c r="B317" s="36"/>
      <c r="C317" s="29"/>
      <c r="D317" s="36" t="s">
        <v>582</v>
      </c>
      <c r="E317" s="95"/>
      <c r="F317" s="95"/>
      <c r="G317" s="94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1"/>
      <c r="N317" s="451"/>
      <c r="O317" s="452"/>
      <c r="P317" s="452"/>
      <c r="Q317" s="452"/>
      <c r="R317" s="452"/>
      <c r="S317" s="452"/>
      <c r="T317" s="158"/>
    </row>
    <row r="318" spans="1:20" ht="12.75" customHeight="1" x14ac:dyDescent="0.3">
      <c r="A318" s="36"/>
      <c r="B318" s="36"/>
      <c r="C318" s="29"/>
      <c r="D318" s="36" t="s">
        <v>1329</v>
      </c>
      <c r="E318" s="95"/>
      <c r="F318" s="36"/>
      <c r="G318" s="94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1"/>
      <c r="N318" s="451"/>
      <c r="O318" s="452"/>
      <c r="P318" s="452"/>
      <c r="Q318" s="452"/>
      <c r="R318" s="452"/>
      <c r="S318" s="452"/>
      <c r="T318" s="158"/>
    </row>
    <row r="319" spans="1:20" ht="12.75" customHeight="1" x14ac:dyDescent="0.3">
      <c r="A319" s="36"/>
      <c r="B319" s="36"/>
      <c r="C319" s="29"/>
      <c r="D319" s="36" t="s">
        <v>436</v>
      </c>
      <c r="E319" s="95"/>
      <c r="F319" s="36"/>
      <c r="G319" s="94" t="s">
        <v>1084</v>
      </c>
      <c r="H319" s="95" t="s">
        <v>2322</v>
      </c>
      <c r="I319" s="522">
        <f>regional!I159</f>
        <v>0</v>
      </c>
      <c r="J319" s="451"/>
      <c r="K319" s="451"/>
      <c r="L319" s="451"/>
      <c r="M319" s="451"/>
      <c r="N319" s="451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452">
        <v>2.8062993087265316E-11</v>
      </c>
      <c r="S319" s="452">
        <v>2.8062993087265316E-11</v>
      </c>
      <c r="T319" s="158"/>
    </row>
    <row r="320" spans="1:20" ht="12.75" customHeight="1" x14ac:dyDescent="0.3">
      <c r="A320" s="36"/>
      <c r="B320" s="36"/>
      <c r="C320" s="29"/>
      <c r="D320" s="29"/>
      <c r="E320" s="36" t="s">
        <v>440</v>
      </c>
      <c r="F320" s="95"/>
      <c r="G320" s="94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1"/>
      <c r="N320" s="451"/>
      <c r="O320" s="452"/>
      <c r="P320" s="452"/>
      <c r="Q320" s="452"/>
      <c r="R320" s="452"/>
      <c r="S320" s="452"/>
      <c r="T320" s="158"/>
    </row>
    <row r="321" spans="1:20" ht="12.75" customHeight="1" x14ac:dyDescent="0.3">
      <c r="A321" s="36"/>
      <c r="B321" s="36"/>
      <c r="C321" s="29"/>
      <c r="D321" s="29"/>
      <c r="E321" s="36" t="s">
        <v>1378</v>
      </c>
      <c r="F321" s="29"/>
      <c r="G321" s="94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1"/>
      <c r="N321" s="451"/>
      <c r="O321" s="452"/>
      <c r="P321" s="452"/>
      <c r="Q321" s="452"/>
      <c r="R321" s="452"/>
      <c r="S321" s="452"/>
      <c r="T321" s="158"/>
    </row>
    <row r="322" spans="1:20" ht="12.75" customHeight="1" x14ac:dyDescent="0.3">
      <c r="A322" s="29"/>
      <c r="B322" s="29" t="s">
        <v>2234</v>
      </c>
      <c r="C322" s="95"/>
      <c r="D322" s="95"/>
      <c r="E322" s="29"/>
      <c r="F322" s="29"/>
      <c r="G322" s="37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1"/>
      <c r="N322" s="451"/>
      <c r="O322" s="452"/>
      <c r="P322" s="452"/>
      <c r="Q322" s="452"/>
      <c r="R322" s="452"/>
      <c r="S322" s="452"/>
      <c r="T322" s="158"/>
    </row>
    <row r="323" spans="1:20" ht="12.75" customHeight="1" x14ac:dyDescent="0.3">
      <c r="A323" s="29"/>
      <c r="B323" s="29" t="s">
        <v>2235</v>
      </c>
      <c r="C323" s="95"/>
      <c r="D323" s="95"/>
      <c r="E323" s="29"/>
      <c r="F323" s="29"/>
      <c r="G323" s="37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1"/>
      <c r="N323" s="451"/>
      <c r="O323" s="452"/>
      <c r="P323" s="452"/>
      <c r="Q323" s="452"/>
      <c r="R323" s="452"/>
      <c r="S323" s="452"/>
      <c r="T323" s="158"/>
    </row>
    <row r="324" spans="1:20" ht="12.75" customHeight="1" x14ac:dyDescent="0.3">
      <c r="A324" s="29"/>
      <c r="B324" s="29" t="s">
        <v>2236</v>
      </c>
      <c r="C324" s="95"/>
      <c r="D324" s="95"/>
      <c r="E324" s="29"/>
      <c r="F324" s="95"/>
      <c r="G324" s="37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1"/>
      <c r="N324" s="451"/>
      <c r="O324" s="452"/>
      <c r="P324" s="452"/>
      <c r="Q324" s="452"/>
      <c r="R324" s="452"/>
      <c r="S324" s="452"/>
      <c r="T324" s="158"/>
    </row>
    <row r="325" spans="1:20" ht="12.75" customHeight="1" x14ac:dyDescent="0.3">
      <c r="A325" s="29"/>
      <c r="B325" s="29" t="s">
        <v>2237</v>
      </c>
      <c r="C325" s="95"/>
      <c r="D325" s="95"/>
      <c r="E325" s="29"/>
      <c r="F325" s="95"/>
      <c r="G325" s="37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1"/>
      <c r="N325" s="451"/>
      <c r="O325" s="452"/>
      <c r="P325" s="452"/>
      <c r="Q325" s="452"/>
      <c r="R325" s="452"/>
      <c r="S325" s="452"/>
      <c r="T325" s="158"/>
    </row>
    <row r="326" spans="1:20" ht="12.75" customHeight="1" x14ac:dyDescent="0.3">
      <c r="A326" s="36"/>
      <c r="B326" s="36"/>
      <c r="C326" s="29" t="s">
        <v>1076</v>
      </c>
      <c r="D326" s="29"/>
      <c r="E326" s="95"/>
      <c r="F326" s="95"/>
      <c r="G326" s="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1"/>
      <c r="N326" s="451"/>
      <c r="O326" s="452"/>
      <c r="P326" s="452"/>
      <c r="Q326" s="452"/>
      <c r="R326" s="452"/>
      <c r="S326" s="452"/>
      <c r="T326" s="158"/>
    </row>
    <row r="327" spans="1:20" ht="12.75" customHeight="1" x14ac:dyDescent="0.3">
      <c r="A327" s="36"/>
      <c r="B327" s="36"/>
      <c r="C327" s="29" t="s">
        <v>1230</v>
      </c>
      <c r="D327" s="29"/>
      <c r="E327" s="95"/>
      <c r="F327" s="29"/>
      <c r="G327" s="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1"/>
      <c r="N327" s="451"/>
      <c r="O327" s="452"/>
      <c r="P327" s="452"/>
      <c r="Q327" s="452"/>
      <c r="R327" s="452"/>
      <c r="S327" s="452"/>
      <c r="T327" s="158"/>
    </row>
    <row r="328" spans="1:20" ht="12.75" customHeight="1" x14ac:dyDescent="0.3">
      <c r="A328" s="36"/>
      <c r="B328" s="29"/>
      <c r="C328" s="29"/>
      <c r="D328" s="29"/>
      <c r="E328" s="29"/>
      <c r="F328" s="29"/>
      <c r="G328" s="94"/>
      <c r="H328" s="36"/>
      <c r="I328" s="524"/>
      <c r="J328" s="459"/>
      <c r="K328" s="459"/>
      <c r="L328" s="459"/>
      <c r="M328" s="459"/>
      <c r="N328" s="459"/>
      <c r="O328" s="460"/>
      <c r="P328" s="460"/>
      <c r="Q328" s="460"/>
      <c r="R328" s="460"/>
      <c r="S328" s="460"/>
      <c r="T328" s="158"/>
    </row>
    <row r="329" spans="1:20" ht="12.75" customHeight="1" x14ac:dyDescent="0.3">
      <c r="A329" s="36" t="s">
        <v>80</v>
      </c>
      <c r="B329" s="29"/>
      <c r="C329" s="29"/>
      <c r="D329" s="29"/>
      <c r="E329" s="29"/>
      <c r="F329" s="29"/>
      <c r="G329" s="37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1"/>
      <c r="N329" s="451"/>
      <c r="O329" s="452"/>
      <c r="P329" s="452"/>
      <c r="Q329" s="452"/>
      <c r="R329" s="452"/>
      <c r="S329" s="452"/>
      <c r="T329" s="158"/>
    </row>
    <row r="330" spans="1:20" ht="12.75" customHeight="1" x14ac:dyDescent="0.3">
      <c r="A330" s="36" t="s">
        <v>81</v>
      </c>
      <c r="B330" s="29"/>
      <c r="C330" s="29"/>
      <c r="D330" s="29"/>
      <c r="E330" s="29"/>
      <c r="F330" s="29"/>
      <c r="G330" s="37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1"/>
      <c r="N330" s="451"/>
      <c r="O330" s="452"/>
      <c r="P330" s="452"/>
      <c r="Q330" s="452"/>
      <c r="R330" s="452"/>
      <c r="S330" s="452"/>
      <c r="T330" s="158"/>
    </row>
    <row r="331" spans="1:20" ht="12.75" customHeight="1" x14ac:dyDescent="0.3">
      <c r="A331" s="36" t="s">
        <v>82</v>
      </c>
      <c r="B331" s="29"/>
      <c r="C331" s="29"/>
      <c r="D331" s="29"/>
      <c r="E331" s="29"/>
      <c r="F331" s="29"/>
      <c r="G331" s="37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1"/>
      <c r="N331" s="451"/>
      <c r="O331" s="452"/>
      <c r="P331" s="452"/>
      <c r="Q331" s="452"/>
      <c r="R331" s="452"/>
      <c r="S331" s="452"/>
      <c r="T331" s="158"/>
    </row>
    <row r="332" spans="1:20" ht="12.75" customHeight="1" x14ac:dyDescent="0.3">
      <c r="A332" s="36" t="s">
        <v>3945</v>
      </c>
      <c r="B332" s="29"/>
      <c r="C332" s="29"/>
      <c r="D332" s="29"/>
      <c r="E332" s="29"/>
      <c r="F332" s="29"/>
      <c r="G332" s="37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1"/>
      <c r="N332" s="451"/>
      <c r="O332" s="452"/>
      <c r="P332" s="452"/>
      <c r="Q332" s="452"/>
      <c r="R332" s="452"/>
      <c r="S332" s="452"/>
      <c r="T332" s="158"/>
    </row>
    <row r="333" spans="1:20" ht="12.75" customHeight="1" x14ac:dyDescent="0.3">
      <c r="A333" s="36" t="s">
        <v>3946</v>
      </c>
      <c r="B333" s="29"/>
      <c r="C333" s="29"/>
      <c r="D333" s="29"/>
      <c r="E333" s="29"/>
      <c r="F333" s="29"/>
      <c r="G333" s="37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1"/>
      <c r="N333" s="451"/>
      <c r="O333" s="452"/>
      <c r="P333" s="452"/>
      <c r="Q333" s="452"/>
      <c r="R333" s="452"/>
      <c r="S333" s="452"/>
      <c r="T333" s="158"/>
    </row>
    <row r="334" spans="1:20" ht="12.75" customHeight="1" x14ac:dyDescent="0.3">
      <c r="A334" s="36" t="s">
        <v>3947</v>
      </c>
      <c r="B334" s="29"/>
      <c r="C334" s="29"/>
      <c r="D334" s="29"/>
      <c r="E334" s="29"/>
      <c r="F334" s="29"/>
      <c r="G334" s="37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1"/>
      <c r="N334" s="451"/>
      <c r="O334" s="452"/>
      <c r="P334" s="452"/>
      <c r="Q334" s="452"/>
      <c r="R334" s="452"/>
      <c r="S334" s="452"/>
      <c r="T334" s="158"/>
    </row>
    <row r="335" spans="1:20" ht="12.75" customHeight="1" x14ac:dyDescent="0.3">
      <c r="A335" s="36"/>
      <c r="B335" s="95" t="s">
        <v>1087</v>
      </c>
      <c r="C335" s="29"/>
      <c r="D335" s="29"/>
      <c r="E335" s="95"/>
      <c r="F335" s="95"/>
      <c r="G335" s="94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1"/>
      <c r="N335" s="451"/>
      <c r="O335" s="452"/>
      <c r="P335" s="452"/>
      <c r="Q335" s="452"/>
      <c r="R335" s="452"/>
      <c r="S335" s="452"/>
      <c r="T335" s="158"/>
    </row>
    <row r="336" spans="1:20" ht="12.75" customHeight="1" x14ac:dyDescent="0.3">
      <c r="A336" s="36"/>
      <c r="B336" s="95" t="s">
        <v>1088</v>
      </c>
      <c r="C336" s="29"/>
      <c r="D336" s="29"/>
      <c r="E336" s="95"/>
      <c r="F336" s="95"/>
      <c r="G336" s="94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1"/>
      <c r="N336" s="451"/>
      <c r="O336" s="452"/>
      <c r="P336" s="452"/>
      <c r="Q336" s="452"/>
      <c r="R336" s="452"/>
      <c r="S336" s="452"/>
      <c r="T336" s="158"/>
    </row>
    <row r="337" spans="1:20" ht="12.75" customHeight="1" x14ac:dyDescent="0.3">
      <c r="A337" s="36"/>
      <c r="B337" s="95" t="s">
        <v>461</v>
      </c>
      <c r="C337" s="29"/>
      <c r="D337" s="29"/>
      <c r="E337" s="95"/>
      <c r="F337" s="95"/>
      <c r="G337" s="94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1"/>
      <c r="N337" s="451"/>
      <c r="O337" s="452"/>
      <c r="P337" s="452"/>
      <c r="Q337" s="452"/>
      <c r="R337" s="452"/>
      <c r="S337" s="452"/>
      <c r="T337" s="158"/>
    </row>
    <row r="338" spans="1:20" ht="12.75" customHeight="1" x14ac:dyDescent="0.3">
      <c r="A338" s="36"/>
      <c r="B338" s="36" t="s">
        <v>17</v>
      </c>
      <c r="C338" s="29"/>
      <c r="D338" s="29"/>
      <c r="E338" s="95"/>
      <c r="F338" s="95"/>
      <c r="G338" s="94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1"/>
      <c r="N338" s="451"/>
      <c r="O338" s="452"/>
      <c r="P338" s="452"/>
      <c r="Q338" s="452"/>
      <c r="R338" s="452"/>
      <c r="S338" s="452"/>
      <c r="T338" s="158"/>
    </row>
    <row r="339" spans="1:20" ht="12.75" customHeight="1" x14ac:dyDescent="0.3">
      <c r="A339" s="36"/>
      <c r="B339" s="36" t="s">
        <v>733</v>
      </c>
      <c r="C339" s="29"/>
      <c r="D339" s="29"/>
      <c r="E339" s="95"/>
      <c r="F339" s="95"/>
      <c r="G339" s="94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1"/>
      <c r="N339" s="451"/>
      <c r="O339" s="452"/>
      <c r="P339" s="452"/>
      <c r="Q339" s="452"/>
      <c r="R339" s="452"/>
      <c r="S339" s="452"/>
      <c r="T339" s="158"/>
    </row>
    <row r="340" spans="1:20" ht="12.75" customHeight="1" x14ac:dyDescent="0.3">
      <c r="A340" s="36"/>
      <c r="B340" s="36" t="s">
        <v>870</v>
      </c>
      <c r="C340" s="29"/>
      <c r="D340" s="29"/>
      <c r="E340" s="95"/>
      <c r="F340" s="95"/>
      <c r="G340" s="94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1"/>
      <c r="N340" s="451"/>
      <c r="O340" s="452"/>
      <c r="P340" s="452"/>
      <c r="Q340" s="452"/>
      <c r="R340" s="452"/>
      <c r="S340" s="452"/>
      <c r="T340" s="158"/>
    </row>
    <row r="341" spans="1:20" ht="12.75" customHeight="1" x14ac:dyDescent="0.3">
      <c r="A341" s="36"/>
      <c r="B341" s="29" t="s">
        <v>2228</v>
      </c>
      <c r="C341" s="29"/>
      <c r="D341" s="29"/>
      <c r="E341" s="95"/>
      <c r="F341" s="95"/>
      <c r="G341" s="37" t="s">
        <v>1467</v>
      </c>
      <c r="H341" s="29" t="s">
        <v>36</v>
      </c>
      <c r="I341" s="522">
        <f>regional!I181</f>
        <v>0</v>
      </c>
      <c r="J341" s="451"/>
      <c r="K341" s="451"/>
      <c r="L341" s="451"/>
      <c r="M341" s="451"/>
      <c r="N341" s="451">
        <v>1</v>
      </c>
      <c r="O341" s="452">
        <v>1</v>
      </c>
      <c r="P341" s="452">
        <v>1</v>
      </c>
      <c r="Q341" s="452">
        <v>1</v>
      </c>
      <c r="R341" s="452"/>
      <c r="S341" s="452">
        <v>1</v>
      </c>
      <c r="T341" s="158"/>
    </row>
    <row r="342" spans="1:20" ht="12.75" customHeight="1" x14ac:dyDescent="0.3">
      <c r="A342" s="36"/>
      <c r="B342" s="29" t="s">
        <v>2228</v>
      </c>
      <c r="C342" s="29"/>
      <c r="D342" s="29"/>
      <c r="E342" s="95"/>
      <c r="F342" s="95"/>
      <c r="G342" s="37" t="s">
        <v>1468</v>
      </c>
      <c r="H342" s="29" t="s">
        <v>36</v>
      </c>
      <c r="I342" s="522">
        <f>regional!I182</f>
        <v>0</v>
      </c>
      <c r="J342" s="451"/>
      <c r="K342" s="451"/>
      <c r="L342" s="451"/>
      <c r="M342" s="451"/>
      <c r="N342" s="451">
        <v>1</v>
      </c>
      <c r="O342" s="452">
        <v>1</v>
      </c>
      <c r="P342" s="452">
        <v>1</v>
      </c>
      <c r="Q342" s="452">
        <v>1</v>
      </c>
      <c r="R342" s="452"/>
      <c r="S342" s="452">
        <v>1</v>
      </c>
      <c r="T342" s="158"/>
    </row>
    <row r="343" spans="1:20" ht="12.75" customHeight="1" x14ac:dyDescent="0.3">
      <c r="A343" s="36"/>
      <c r="B343" s="29" t="s">
        <v>2228</v>
      </c>
      <c r="C343" s="29"/>
      <c r="D343" s="29"/>
      <c r="E343" s="95"/>
      <c r="F343" s="95"/>
      <c r="G343" s="37" t="s">
        <v>1469</v>
      </c>
      <c r="H343" s="29" t="s">
        <v>36</v>
      </c>
      <c r="I343" s="522">
        <f>regional!I183</f>
        <v>0</v>
      </c>
      <c r="J343" s="451"/>
      <c r="K343" s="451"/>
      <c r="L343" s="451"/>
      <c r="M343" s="451"/>
      <c r="N343" s="451">
        <v>1</v>
      </c>
      <c r="O343" s="452">
        <v>1</v>
      </c>
      <c r="P343" s="452">
        <v>1</v>
      </c>
      <c r="Q343" s="452">
        <v>1</v>
      </c>
      <c r="R343" s="452"/>
      <c r="S343" s="452">
        <v>1</v>
      </c>
      <c r="T343" s="158"/>
    </row>
    <row r="344" spans="1:20" ht="12.75" customHeight="1" x14ac:dyDescent="0.3">
      <c r="A344" s="29"/>
      <c r="B344" s="29"/>
      <c r="C344" s="29"/>
      <c r="D344" s="29"/>
      <c r="E344" s="29"/>
      <c r="F344" s="29"/>
      <c r="G344" s="29"/>
      <c r="H344" s="29"/>
      <c r="I344" s="457"/>
      <c r="J344" s="339"/>
      <c r="K344" s="339"/>
      <c r="L344" s="339"/>
      <c r="M344" s="339"/>
      <c r="N344" s="339"/>
      <c r="O344" s="282"/>
      <c r="P344" s="282"/>
      <c r="Q344" s="282"/>
      <c r="R344" s="282"/>
      <c r="S344" s="282"/>
      <c r="T344" s="158"/>
    </row>
    <row r="345" spans="1:20" ht="12.75" customHeight="1" x14ac:dyDescent="0.3">
      <c r="A345" s="98" t="s">
        <v>419</v>
      </c>
      <c r="B345" s="97"/>
      <c r="C345" s="97"/>
      <c r="D345" s="97"/>
      <c r="E345" s="97"/>
      <c r="F345" s="97"/>
      <c r="G345" s="97"/>
      <c r="H345" s="97"/>
      <c r="I345" s="340" t="s">
        <v>754</v>
      </c>
      <c r="J345" s="364"/>
      <c r="K345" s="364"/>
      <c r="L345" s="364" t="s">
        <v>754</v>
      </c>
      <c r="M345" s="364" t="s">
        <v>754</v>
      </c>
      <c r="N345" s="364"/>
      <c r="O345" s="470"/>
      <c r="P345" s="470"/>
      <c r="Q345" s="470"/>
      <c r="R345" s="470"/>
      <c r="S345" s="470"/>
      <c r="T345" s="158"/>
    </row>
    <row r="346" spans="1:20" ht="12.75" customHeight="1" x14ac:dyDescent="0.3">
      <c r="A346" s="36"/>
      <c r="B346" s="29"/>
      <c r="C346" s="29"/>
      <c r="D346" s="29"/>
      <c r="E346" s="29"/>
      <c r="F346" s="29"/>
      <c r="G346" s="29"/>
      <c r="H346" s="29"/>
      <c r="I346" s="342"/>
      <c r="J346" s="339"/>
      <c r="K346" s="339"/>
      <c r="L346" s="339"/>
      <c r="M346" s="339"/>
      <c r="N346" s="339"/>
      <c r="O346" s="282"/>
      <c r="P346" s="282"/>
      <c r="Q346" s="282"/>
      <c r="R346" s="282"/>
      <c r="S346" s="282"/>
      <c r="T346" s="158"/>
    </row>
    <row r="347" spans="1:20" ht="12.75" customHeight="1" x14ac:dyDescent="0.3">
      <c r="A347" s="36" t="s">
        <v>224</v>
      </c>
      <c r="B347" s="29"/>
      <c r="C347" s="29"/>
      <c r="D347" s="29"/>
      <c r="E347" s="29"/>
      <c r="F347" s="29"/>
      <c r="G347" s="37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1"/>
      <c r="N347" s="451"/>
      <c r="O347" s="452"/>
      <c r="P347" s="452"/>
      <c r="Q347" s="452"/>
      <c r="R347" s="452"/>
      <c r="S347" s="452"/>
      <c r="T347" s="158"/>
    </row>
    <row r="348" spans="1:20" ht="12.75" customHeight="1" x14ac:dyDescent="0.3">
      <c r="A348" s="36" t="s">
        <v>304</v>
      </c>
      <c r="B348" s="29"/>
      <c r="C348" s="29"/>
      <c r="D348" s="29"/>
      <c r="E348" s="29"/>
      <c r="F348" s="29"/>
      <c r="G348" s="37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1"/>
      <c r="N348" s="451"/>
      <c r="O348" s="452"/>
      <c r="P348" s="452"/>
      <c r="Q348" s="452"/>
      <c r="R348" s="452"/>
      <c r="S348" s="452"/>
      <c r="T348" s="158"/>
    </row>
    <row r="349" spans="1:20" ht="12.75" customHeight="1" x14ac:dyDescent="0.3">
      <c r="A349" s="36" t="s">
        <v>253</v>
      </c>
      <c r="B349" s="29"/>
      <c r="C349" s="29"/>
      <c r="D349" s="29"/>
      <c r="E349" s="29"/>
      <c r="F349" s="29"/>
      <c r="G349" s="37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1"/>
      <c r="N349" s="451"/>
      <c r="O349" s="452"/>
      <c r="P349" s="452"/>
      <c r="Q349" s="452"/>
      <c r="R349" s="452"/>
      <c r="S349" s="452"/>
      <c r="T349" s="158"/>
    </row>
    <row r="350" spans="1:20" ht="12.75" customHeight="1" x14ac:dyDescent="0.3">
      <c r="A350" s="36" t="s">
        <v>254</v>
      </c>
      <c r="B350" s="29"/>
      <c r="C350" s="29"/>
      <c r="D350" s="29"/>
      <c r="E350" s="29"/>
      <c r="F350" s="29"/>
      <c r="G350" s="37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1"/>
      <c r="N350" s="451"/>
      <c r="O350" s="452"/>
      <c r="P350" s="452"/>
      <c r="Q350" s="452"/>
      <c r="R350" s="452"/>
      <c r="S350" s="452"/>
      <c r="T350" s="158"/>
    </row>
    <row r="351" spans="1:20" ht="12.75" customHeight="1" x14ac:dyDescent="0.3">
      <c r="A351" s="36" t="s">
        <v>256</v>
      </c>
      <c r="B351" s="29"/>
      <c r="C351" s="29"/>
      <c r="D351" s="29"/>
      <c r="E351" s="29"/>
      <c r="F351" s="29"/>
      <c r="G351" s="37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1"/>
      <c r="N351" s="451"/>
      <c r="O351" s="452"/>
      <c r="P351" s="452"/>
      <c r="Q351" s="452"/>
      <c r="R351" s="452"/>
      <c r="S351" s="452"/>
      <c r="T351" s="158"/>
    </row>
    <row r="352" spans="1:20" ht="12.75" customHeight="1" x14ac:dyDescent="0.3">
      <c r="A352" s="36" t="s">
        <v>257</v>
      </c>
      <c r="B352" s="29"/>
      <c r="C352" s="29"/>
      <c r="D352" s="29"/>
      <c r="E352" s="29"/>
      <c r="F352" s="29"/>
      <c r="G352" s="37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1"/>
      <c r="N352" s="451"/>
      <c r="O352" s="452"/>
      <c r="P352" s="452"/>
      <c r="Q352" s="452"/>
      <c r="R352" s="452"/>
      <c r="S352" s="452"/>
      <c r="T352" s="158"/>
    </row>
    <row r="353" spans="1:20" ht="12.75" customHeight="1" x14ac:dyDescent="0.3">
      <c r="A353" s="36" t="s">
        <v>226</v>
      </c>
      <c r="B353" s="29"/>
      <c r="C353" s="29"/>
      <c r="D353" s="29"/>
      <c r="E353" s="29"/>
      <c r="F353" s="29"/>
      <c r="G353" s="37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1"/>
      <c r="N353" s="451"/>
      <c r="O353" s="452"/>
      <c r="P353" s="452"/>
      <c r="Q353" s="452"/>
      <c r="R353" s="452"/>
      <c r="S353" s="452"/>
      <c r="T353" s="158"/>
    </row>
    <row r="354" spans="1:20" ht="12.75" customHeight="1" x14ac:dyDescent="0.3">
      <c r="A354" s="36" t="s">
        <v>363</v>
      </c>
      <c r="B354" s="29"/>
      <c r="C354" s="29"/>
      <c r="D354" s="29"/>
      <c r="E354" s="29"/>
      <c r="F354" s="29"/>
      <c r="G354" s="37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1"/>
      <c r="N354" s="451"/>
      <c r="O354" s="452"/>
      <c r="P354" s="452"/>
      <c r="Q354" s="452"/>
      <c r="R354" s="452"/>
      <c r="S354" s="452"/>
      <c r="T354" s="158"/>
    </row>
    <row r="355" spans="1:20" ht="12.75" customHeight="1" x14ac:dyDescent="0.3">
      <c r="A355" s="36" t="s">
        <v>364</v>
      </c>
      <c r="B355" s="29"/>
      <c r="C355" s="29"/>
      <c r="D355" s="29"/>
      <c r="E355" s="29"/>
      <c r="F355" s="29"/>
      <c r="G355" s="37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1"/>
      <c r="N355" s="451"/>
      <c r="O355" s="452"/>
      <c r="P355" s="452"/>
      <c r="Q355" s="452"/>
      <c r="R355" s="452"/>
      <c r="S355" s="452"/>
      <c r="T355" s="158"/>
    </row>
    <row r="356" spans="1:20" ht="12.75" customHeight="1" x14ac:dyDescent="0.3">
      <c r="A356" s="36"/>
      <c r="B356" s="36" t="s">
        <v>796</v>
      </c>
      <c r="C356" s="95"/>
      <c r="D356" s="29"/>
      <c r="E356" s="29"/>
      <c r="F356" s="29"/>
      <c r="G356" s="94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1"/>
      <c r="N356" s="451"/>
      <c r="O356" s="452"/>
      <c r="P356" s="452"/>
      <c r="Q356" s="452"/>
      <c r="R356" s="452"/>
      <c r="S356" s="452"/>
      <c r="T356" s="158"/>
    </row>
    <row r="357" spans="1:20" ht="12.75" customHeight="1" x14ac:dyDescent="0.3">
      <c r="A357" s="36"/>
      <c r="B357" s="36" t="s">
        <v>797</v>
      </c>
      <c r="C357" s="29"/>
      <c r="D357" s="29"/>
      <c r="E357" s="29"/>
      <c r="F357" s="29"/>
      <c r="G357" s="37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1"/>
      <c r="N357" s="451"/>
      <c r="O357" s="452"/>
      <c r="P357" s="452"/>
      <c r="Q357" s="452"/>
      <c r="R357" s="452"/>
      <c r="S357" s="452"/>
      <c r="T357" s="158"/>
    </row>
    <row r="358" spans="1:20" ht="12.75" customHeight="1" x14ac:dyDescent="0.3">
      <c r="A358" s="95"/>
      <c r="B358" s="95"/>
      <c r="C358" s="36" t="s">
        <v>1028</v>
      </c>
      <c r="D358" s="29"/>
      <c r="E358" s="29"/>
      <c r="F358" s="29"/>
      <c r="G358" s="37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1"/>
      <c r="N358" s="451"/>
      <c r="O358" s="452"/>
      <c r="P358" s="452"/>
      <c r="Q358" s="452"/>
      <c r="R358" s="452"/>
      <c r="S358" s="452"/>
      <c r="T358" s="158"/>
    </row>
    <row r="359" spans="1:20" ht="12.75" customHeight="1" x14ac:dyDescent="0.3">
      <c r="A359" s="95"/>
      <c r="B359" s="95"/>
      <c r="C359" s="36" t="s">
        <v>34</v>
      </c>
      <c r="D359" s="29"/>
      <c r="E359" s="29"/>
      <c r="F359" s="29"/>
      <c r="G359" s="37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1"/>
      <c r="N359" s="451"/>
      <c r="O359" s="452"/>
      <c r="P359" s="452"/>
      <c r="Q359" s="452"/>
      <c r="R359" s="452"/>
      <c r="S359" s="452"/>
      <c r="T359" s="158"/>
    </row>
    <row r="360" spans="1:20" ht="12.75" customHeight="1" x14ac:dyDescent="0.3">
      <c r="A360" s="36"/>
      <c r="B360" s="36" t="s">
        <v>325</v>
      </c>
      <c r="C360" s="29"/>
      <c r="D360" s="29"/>
      <c r="E360" s="29"/>
      <c r="F360" s="29"/>
      <c r="G360" s="37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1"/>
      <c r="N360" s="451"/>
      <c r="O360" s="452"/>
      <c r="P360" s="452"/>
      <c r="Q360" s="452"/>
      <c r="R360" s="452"/>
      <c r="S360" s="452"/>
      <c r="T360" s="158"/>
    </row>
    <row r="361" spans="1:20" ht="12.75" customHeight="1" x14ac:dyDescent="0.3">
      <c r="A361" s="36"/>
      <c r="B361" s="36" t="s">
        <v>798</v>
      </c>
      <c r="C361" s="29"/>
      <c r="D361" s="29"/>
      <c r="E361" s="29"/>
      <c r="F361" s="29"/>
      <c r="G361" s="37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1"/>
      <c r="N361" s="451"/>
      <c r="O361" s="452"/>
      <c r="P361" s="452"/>
      <c r="Q361" s="452"/>
      <c r="R361" s="452"/>
      <c r="S361" s="452"/>
      <c r="T361" s="158"/>
    </row>
    <row r="362" spans="1:20" ht="12.75" customHeight="1" x14ac:dyDescent="0.3">
      <c r="A362" s="36"/>
      <c r="B362" s="36" t="s">
        <v>799</v>
      </c>
      <c r="C362" s="29"/>
      <c r="D362" s="29"/>
      <c r="E362" s="29"/>
      <c r="F362" s="29"/>
      <c r="G362" s="37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1"/>
      <c r="N362" s="451"/>
      <c r="O362" s="452"/>
      <c r="P362" s="452"/>
      <c r="Q362" s="452"/>
      <c r="R362" s="452"/>
      <c r="S362" s="452"/>
      <c r="T362" s="158"/>
    </row>
    <row r="363" spans="1:20" ht="12.75" customHeight="1" x14ac:dyDescent="0.3">
      <c r="A363" s="36"/>
      <c r="B363" s="36"/>
      <c r="C363" s="36" t="s">
        <v>326</v>
      </c>
      <c r="D363" s="29"/>
      <c r="E363" s="29"/>
      <c r="F363" s="29"/>
      <c r="G363" s="94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1"/>
      <c r="N363" s="451"/>
      <c r="O363" s="452"/>
      <c r="P363" s="452"/>
      <c r="Q363" s="452"/>
      <c r="R363" s="452"/>
      <c r="S363" s="452"/>
      <c r="T363" s="158"/>
    </row>
    <row r="364" spans="1:20" ht="12.75" customHeight="1" x14ac:dyDescent="0.3">
      <c r="A364" s="36"/>
      <c r="B364" s="36"/>
      <c r="C364" s="36" t="s">
        <v>585</v>
      </c>
      <c r="D364" s="29"/>
      <c r="E364" s="29"/>
      <c r="F364" s="29"/>
      <c r="G364" s="94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1"/>
      <c r="N364" s="451"/>
      <c r="O364" s="452"/>
      <c r="P364" s="452"/>
      <c r="Q364" s="452"/>
      <c r="R364" s="452"/>
      <c r="S364" s="452"/>
      <c r="T364" s="158"/>
    </row>
    <row r="365" spans="1:20" ht="12.75" customHeight="1" x14ac:dyDescent="0.3">
      <c r="A365" s="36"/>
      <c r="B365" s="36"/>
      <c r="C365" s="36" t="s">
        <v>1451</v>
      </c>
      <c r="D365" s="29"/>
      <c r="E365" s="29"/>
      <c r="F365" s="29"/>
      <c r="G365" s="94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1"/>
      <c r="N365" s="451"/>
      <c r="O365" s="452"/>
      <c r="P365" s="452"/>
      <c r="Q365" s="452"/>
      <c r="R365" s="452"/>
      <c r="S365" s="452"/>
      <c r="T365" s="158"/>
    </row>
    <row r="366" spans="1:20" ht="12.75" customHeight="1" x14ac:dyDescent="0.3">
      <c r="A366" s="95"/>
      <c r="B366" s="95"/>
      <c r="C366" s="36" t="s">
        <v>766</v>
      </c>
      <c r="D366" s="29"/>
      <c r="E366" s="29"/>
      <c r="F366" s="29"/>
      <c r="G366" s="37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1"/>
      <c r="N366" s="451"/>
      <c r="O366" s="452"/>
      <c r="P366" s="452"/>
      <c r="Q366" s="452"/>
      <c r="R366" s="452"/>
      <c r="S366" s="452"/>
      <c r="T366" s="158"/>
    </row>
    <row r="367" spans="1:20" ht="12.75" customHeight="1" x14ac:dyDescent="0.3">
      <c r="A367" s="36"/>
      <c r="B367" s="36" t="s">
        <v>800</v>
      </c>
      <c r="C367" s="29"/>
      <c r="D367" s="29"/>
      <c r="E367" s="29"/>
      <c r="F367" s="29"/>
      <c r="G367" s="37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1"/>
      <c r="N367" s="451"/>
      <c r="O367" s="452"/>
      <c r="P367" s="452"/>
      <c r="Q367" s="452"/>
      <c r="R367" s="452"/>
      <c r="S367" s="452"/>
      <c r="T367" s="158"/>
    </row>
    <row r="368" spans="1:20" ht="12.75" customHeight="1" x14ac:dyDescent="0.3">
      <c r="A368" s="36"/>
      <c r="B368" s="36" t="s">
        <v>801</v>
      </c>
      <c r="C368" s="29"/>
      <c r="D368" s="29"/>
      <c r="E368" s="29"/>
      <c r="F368" s="29"/>
      <c r="G368" s="37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1"/>
      <c r="N368" s="451"/>
      <c r="O368" s="452"/>
      <c r="P368" s="452"/>
      <c r="Q368" s="452"/>
      <c r="R368" s="452"/>
      <c r="S368" s="452"/>
      <c r="T368" s="158"/>
    </row>
    <row r="369" spans="1:20" ht="12.75" customHeight="1" x14ac:dyDescent="0.3">
      <c r="A369" s="36"/>
      <c r="B369" s="36" t="s">
        <v>802</v>
      </c>
      <c r="C369" s="29"/>
      <c r="D369" s="29"/>
      <c r="E369" s="29"/>
      <c r="F369" s="29"/>
      <c r="G369" s="37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1"/>
      <c r="N369" s="451"/>
      <c r="O369" s="452"/>
      <c r="P369" s="452"/>
      <c r="Q369" s="452"/>
      <c r="R369" s="452"/>
      <c r="S369" s="452"/>
      <c r="T369" s="158"/>
    </row>
    <row r="370" spans="1:20" ht="12.75" customHeight="1" x14ac:dyDescent="0.3">
      <c r="A370" s="36"/>
      <c r="B370" s="36" t="s">
        <v>426</v>
      </c>
      <c r="C370" s="29"/>
      <c r="D370" s="29"/>
      <c r="E370" s="29"/>
      <c r="F370" s="29"/>
      <c r="G370" s="37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1"/>
      <c r="N370" s="451"/>
      <c r="O370" s="452"/>
      <c r="P370" s="452"/>
      <c r="Q370" s="452"/>
      <c r="R370" s="452"/>
      <c r="S370" s="452"/>
      <c r="T370" s="158"/>
    </row>
    <row r="371" spans="1:20" ht="12.75" customHeight="1" x14ac:dyDescent="0.3">
      <c r="A371" s="36"/>
      <c r="B371" s="36" t="s">
        <v>433</v>
      </c>
      <c r="C371" s="29"/>
      <c r="D371" s="29"/>
      <c r="E371" s="29"/>
      <c r="F371" s="29"/>
      <c r="G371" s="37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1"/>
      <c r="N371" s="451"/>
      <c r="O371" s="452"/>
      <c r="P371" s="452"/>
      <c r="Q371" s="452"/>
      <c r="R371" s="452"/>
      <c r="S371" s="452"/>
      <c r="T371" s="158"/>
    </row>
    <row r="372" spans="1:20" ht="12.75" customHeight="1" x14ac:dyDescent="0.3">
      <c r="A372" s="36"/>
      <c r="B372" s="36" t="s">
        <v>1057</v>
      </c>
      <c r="C372" s="29"/>
      <c r="D372" s="29"/>
      <c r="E372" s="29"/>
      <c r="F372" s="29"/>
      <c r="G372" s="94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1"/>
      <c r="N372" s="451"/>
      <c r="O372" s="452"/>
      <c r="P372" s="452"/>
      <c r="Q372" s="452"/>
      <c r="R372" s="452"/>
      <c r="S372" s="452"/>
      <c r="T372" s="158"/>
    </row>
    <row r="373" spans="1:20" ht="12.75" customHeight="1" x14ac:dyDescent="0.3">
      <c r="A373" s="36"/>
      <c r="B373" s="36" t="s">
        <v>1058</v>
      </c>
      <c r="C373" s="29"/>
      <c r="D373" s="29"/>
      <c r="E373" s="29"/>
      <c r="F373" s="29"/>
      <c r="G373" s="94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1"/>
      <c r="N373" s="451"/>
      <c r="O373" s="452"/>
      <c r="P373" s="452"/>
      <c r="Q373" s="452"/>
      <c r="R373" s="452"/>
      <c r="S373" s="452"/>
      <c r="T373" s="158"/>
    </row>
    <row r="374" spans="1:20" ht="12.75" customHeight="1" x14ac:dyDescent="0.3">
      <c r="A374" s="29"/>
      <c r="B374" s="36" t="s">
        <v>584</v>
      </c>
      <c r="C374" s="29"/>
      <c r="D374" s="29"/>
      <c r="E374" s="29"/>
      <c r="F374" s="29"/>
      <c r="G374" s="94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1"/>
      <c r="N374" s="451"/>
      <c r="O374" s="452"/>
      <c r="P374" s="452"/>
      <c r="Q374" s="452"/>
      <c r="R374" s="452"/>
      <c r="S374" s="452"/>
      <c r="T374" s="158"/>
    </row>
    <row r="375" spans="1:20" ht="12.75" customHeight="1" x14ac:dyDescent="0.3">
      <c r="A375" s="36"/>
      <c r="B375" s="29" t="s">
        <v>2228</v>
      </c>
      <c r="C375" s="29"/>
      <c r="D375" s="95"/>
      <c r="E375" s="95"/>
      <c r="F375" s="95"/>
      <c r="G375" s="37" t="s">
        <v>1470</v>
      </c>
      <c r="H375" s="29" t="s">
        <v>36</v>
      </c>
      <c r="I375" s="522">
        <f>regional!I215</f>
        <v>0</v>
      </c>
      <c r="J375" s="451"/>
      <c r="K375" s="451"/>
      <c r="L375" s="451"/>
      <c r="M375" s="451"/>
      <c r="N375" s="451">
        <v>1</v>
      </c>
      <c r="O375" s="452">
        <v>1</v>
      </c>
      <c r="P375" s="452">
        <v>1</v>
      </c>
      <c r="Q375" s="452">
        <v>1</v>
      </c>
      <c r="R375" s="452"/>
      <c r="S375" s="452">
        <v>1</v>
      </c>
      <c r="T375" s="158"/>
    </row>
    <row r="376" spans="1:20" ht="12.75" customHeight="1" x14ac:dyDescent="0.3">
      <c r="A376" s="36"/>
      <c r="B376" s="29" t="s">
        <v>2228</v>
      </c>
      <c r="C376" s="29"/>
      <c r="D376" s="95"/>
      <c r="E376" s="95"/>
      <c r="F376" s="95"/>
      <c r="G376" s="37" t="s">
        <v>1471</v>
      </c>
      <c r="H376" s="29" t="s">
        <v>36</v>
      </c>
      <c r="I376" s="522">
        <f>regional!I216</f>
        <v>0</v>
      </c>
      <c r="J376" s="451"/>
      <c r="K376" s="451"/>
      <c r="L376" s="451"/>
      <c r="M376" s="451"/>
      <c r="N376" s="451">
        <v>1</v>
      </c>
      <c r="O376" s="452">
        <v>1</v>
      </c>
      <c r="P376" s="452">
        <v>1</v>
      </c>
      <c r="Q376" s="452">
        <v>1</v>
      </c>
      <c r="R376" s="452"/>
      <c r="S376" s="452">
        <v>1</v>
      </c>
      <c r="T376" s="158"/>
    </row>
    <row r="377" spans="1:20" ht="12.75" customHeight="1" x14ac:dyDescent="0.3">
      <c r="A377" s="36"/>
      <c r="B377" s="29" t="s">
        <v>2228</v>
      </c>
      <c r="C377" s="29"/>
      <c r="D377" s="95"/>
      <c r="E377" s="95"/>
      <c r="F377" s="95"/>
      <c r="G377" s="37" t="s">
        <v>1472</v>
      </c>
      <c r="H377" s="29" t="s">
        <v>36</v>
      </c>
      <c r="I377" s="522">
        <f>regional!I217</f>
        <v>0</v>
      </c>
      <c r="J377" s="451"/>
      <c r="K377" s="451"/>
      <c r="L377" s="451"/>
      <c r="M377" s="451"/>
      <c r="N377" s="451">
        <v>1</v>
      </c>
      <c r="O377" s="452">
        <v>1</v>
      </c>
      <c r="P377" s="452">
        <v>1</v>
      </c>
      <c r="Q377" s="452">
        <v>1</v>
      </c>
      <c r="R377" s="452"/>
      <c r="S377" s="452">
        <v>1</v>
      </c>
      <c r="T377" s="158"/>
    </row>
    <row r="378" spans="1:20" ht="12.75" customHeight="1" x14ac:dyDescent="0.3">
      <c r="A378" s="134"/>
      <c r="B378" s="134"/>
      <c r="C378" s="134"/>
      <c r="D378" s="134"/>
      <c r="E378" s="134"/>
      <c r="F378" s="134"/>
      <c r="G378" s="134"/>
      <c r="H378" s="134"/>
      <c r="I378" s="457"/>
      <c r="J378" s="356"/>
      <c r="K378" s="356"/>
      <c r="L378" s="356"/>
      <c r="M378" s="356"/>
      <c r="N378" s="356"/>
      <c r="O378" s="471"/>
      <c r="P378" s="471"/>
      <c r="Q378" s="471"/>
      <c r="R378" s="471"/>
      <c r="S378" s="471"/>
      <c r="T378" s="158"/>
    </row>
    <row r="379" spans="1:20" ht="12.75" customHeight="1" x14ac:dyDescent="0.3">
      <c r="A379" s="29"/>
      <c r="B379" s="29"/>
      <c r="C379" s="29"/>
      <c r="D379" s="29"/>
      <c r="E379" s="29"/>
      <c r="F379" s="29"/>
      <c r="G379" s="29"/>
      <c r="H379" s="29"/>
      <c r="I379" s="342"/>
      <c r="J379" s="339"/>
      <c r="K379" s="339"/>
      <c r="L379" s="339"/>
      <c r="M379" s="339"/>
      <c r="N379" s="339"/>
      <c r="O379" s="282"/>
      <c r="P379" s="282"/>
      <c r="Q379" s="282"/>
      <c r="R379" s="282"/>
      <c r="S379" s="282"/>
      <c r="T379" s="158"/>
    </row>
    <row r="380" spans="1:20" ht="12.75" customHeight="1" x14ac:dyDescent="0.3">
      <c r="A380" s="44" t="s">
        <v>445</v>
      </c>
      <c r="B380" s="29"/>
      <c r="C380" s="29"/>
      <c r="D380" s="29"/>
      <c r="E380" s="29"/>
      <c r="F380" s="29"/>
      <c r="G380" s="29"/>
      <c r="H380" s="29"/>
      <c r="I380" s="342"/>
      <c r="J380" s="339"/>
      <c r="K380" s="339"/>
      <c r="L380" s="339"/>
      <c r="M380" s="339"/>
      <c r="N380" s="339"/>
      <c r="O380" s="282"/>
      <c r="P380" s="282"/>
      <c r="Q380" s="282"/>
      <c r="R380" s="282"/>
      <c r="S380" s="282"/>
      <c r="T380" s="158"/>
    </row>
    <row r="381" spans="1:20" ht="12.75" customHeight="1" x14ac:dyDescent="0.3">
      <c r="A381" s="96"/>
      <c r="B381" s="29"/>
      <c r="C381" s="29"/>
      <c r="D381" s="29"/>
      <c r="E381" s="29"/>
      <c r="F381" s="29"/>
      <c r="G381" s="29"/>
      <c r="H381" s="29"/>
      <c r="I381" s="457"/>
      <c r="J381" s="339"/>
      <c r="K381" s="339"/>
      <c r="L381" s="339"/>
      <c r="M381" s="339"/>
      <c r="N381" s="339"/>
      <c r="O381" s="282"/>
      <c r="P381" s="282"/>
      <c r="Q381" s="282"/>
      <c r="R381" s="282"/>
      <c r="S381" s="282"/>
      <c r="T381" s="158"/>
    </row>
    <row r="382" spans="1:20" ht="12.75" customHeight="1" x14ac:dyDescent="0.3">
      <c r="A382" s="97" t="s">
        <v>1310</v>
      </c>
      <c r="B382" s="97"/>
      <c r="C382" s="97"/>
      <c r="D382" s="97"/>
      <c r="E382" s="97"/>
      <c r="F382" s="97"/>
      <c r="G382" s="97"/>
      <c r="H382" s="97"/>
      <c r="I382" s="340" t="s">
        <v>754</v>
      </c>
      <c r="J382" s="364"/>
      <c r="K382" s="364"/>
      <c r="L382" s="364" t="s">
        <v>754</v>
      </c>
      <c r="M382" s="364" t="s">
        <v>754</v>
      </c>
      <c r="N382" s="364"/>
      <c r="O382" s="470"/>
      <c r="P382" s="470"/>
      <c r="Q382" s="470"/>
      <c r="R382" s="470"/>
      <c r="S382" s="470"/>
      <c r="T382" s="158"/>
    </row>
    <row r="383" spans="1:20" ht="12.75" customHeight="1" x14ac:dyDescent="0.3">
      <c r="A383" s="29"/>
      <c r="B383" s="29"/>
      <c r="C383" s="36"/>
      <c r="D383" s="36"/>
      <c r="E383" s="29"/>
      <c r="F383" s="29"/>
      <c r="G383" s="29"/>
      <c r="H383" s="29"/>
      <c r="I383" s="342"/>
      <c r="J383" s="339"/>
      <c r="K383" s="339"/>
      <c r="L383" s="339"/>
      <c r="M383" s="339"/>
      <c r="N383" s="339"/>
      <c r="O383" s="282"/>
      <c r="P383" s="282"/>
      <c r="Q383" s="282"/>
      <c r="R383" s="282"/>
      <c r="S383" s="282"/>
      <c r="T383" s="158"/>
    </row>
    <row r="384" spans="1:20" ht="12.75" customHeight="1" x14ac:dyDescent="0.3">
      <c r="A384" s="36" t="s">
        <v>1089</v>
      </c>
      <c r="B384" s="29"/>
      <c r="C384" s="29"/>
      <c r="D384" s="29"/>
      <c r="E384" s="29"/>
      <c r="F384" s="29"/>
      <c r="G384" s="37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1"/>
      <c r="N384" s="451"/>
      <c r="O384" s="452"/>
      <c r="P384" s="452"/>
      <c r="Q384" s="452"/>
      <c r="R384" s="452"/>
      <c r="S384" s="452"/>
      <c r="T384" s="158"/>
    </row>
    <row r="385" spans="1:20" ht="12.75" customHeight="1" x14ac:dyDescent="0.3">
      <c r="A385" s="36" t="s">
        <v>282</v>
      </c>
      <c r="B385" s="29"/>
      <c r="C385" s="29"/>
      <c r="D385" s="29"/>
      <c r="E385" s="29"/>
      <c r="F385" s="29"/>
      <c r="G385" s="37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1"/>
      <c r="N385" s="451"/>
      <c r="O385" s="452"/>
      <c r="P385" s="452"/>
      <c r="Q385" s="452"/>
      <c r="R385" s="452"/>
      <c r="S385" s="452"/>
      <c r="T385" s="158"/>
    </row>
    <row r="386" spans="1:20" ht="12.75" customHeight="1" x14ac:dyDescent="0.3">
      <c r="A386" s="36" t="s">
        <v>708</v>
      </c>
      <c r="B386" s="29"/>
      <c r="C386" s="29"/>
      <c r="D386" s="29"/>
      <c r="E386" s="29"/>
      <c r="F386" s="29"/>
      <c r="G386" s="37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1"/>
      <c r="N386" s="451"/>
      <c r="O386" s="452"/>
      <c r="P386" s="452"/>
      <c r="Q386" s="452"/>
      <c r="R386" s="452"/>
      <c r="S386" s="452"/>
      <c r="T386" s="158"/>
    </row>
    <row r="387" spans="1:20" ht="12.75" customHeight="1" x14ac:dyDescent="0.3">
      <c r="A387" s="36" t="s">
        <v>709</v>
      </c>
      <c r="B387" s="29"/>
      <c r="C387" s="29"/>
      <c r="D387" s="29"/>
      <c r="E387" s="29"/>
      <c r="F387" s="29"/>
      <c r="G387" s="37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1"/>
      <c r="N387" s="451"/>
      <c r="O387" s="452"/>
      <c r="P387" s="452"/>
      <c r="Q387" s="452"/>
      <c r="R387" s="452"/>
      <c r="S387" s="452"/>
      <c r="T387" s="158"/>
    </row>
    <row r="388" spans="1:20" ht="12.75" customHeight="1" x14ac:dyDescent="0.3">
      <c r="A388" s="36" t="s">
        <v>710</v>
      </c>
      <c r="B388" s="29"/>
      <c r="C388" s="29"/>
      <c r="D388" s="29"/>
      <c r="E388" s="29"/>
      <c r="F388" s="29"/>
      <c r="G388" s="37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1"/>
      <c r="N388" s="451"/>
      <c r="O388" s="452"/>
      <c r="P388" s="452"/>
      <c r="Q388" s="452"/>
      <c r="R388" s="452"/>
      <c r="S388" s="452"/>
      <c r="T388" s="158"/>
    </row>
    <row r="389" spans="1:20" ht="12.75" customHeight="1" x14ac:dyDescent="0.3">
      <c r="A389" s="36" t="s">
        <v>711</v>
      </c>
      <c r="B389" s="29"/>
      <c r="C389" s="29"/>
      <c r="D389" s="29"/>
      <c r="E389" s="29"/>
      <c r="F389" s="29"/>
      <c r="G389" s="37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1"/>
      <c r="N389" s="451"/>
      <c r="O389" s="452"/>
      <c r="P389" s="452"/>
      <c r="Q389" s="452"/>
      <c r="R389" s="452"/>
      <c r="S389" s="452"/>
      <c r="T389" s="158"/>
    </row>
    <row r="390" spans="1:20" ht="12.75" customHeight="1" x14ac:dyDescent="0.3">
      <c r="A390" s="36" t="s">
        <v>712</v>
      </c>
      <c r="B390" s="29"/>
      <c r="C390" s="29"/>
      <c r="D390" s="29"/>
      <c r="E390" s="29"/>
      <c r="F390" s="29"/>
      <c r="G390" s="37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1"/>
      <c r="N390" s="451"/>
      <c r="O390" s="452"/>
      <c r="P390" s="452"/>
      <c r="Q390" s="452"/>
      <c r="R390" s="452"/>
      <c r="S390" s="452"/>
      <c r="T390" s="158"/>
    </row>
    <row r="391" spans="1:20" ht="12.75" customHeight="1" x14ac:dyDescent="0.3">
      <c r="A391" s="36" t="s">
        <v>713</v>
      </c>
      <c r="B391" s="29"/>
      <c r="C391" s="29"/>
      <c r="D391" s="29"/>
      <c r="E391" s="29"/>
      <c r="F391" s="29"/>
      <c r="G391" s="37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1"/>
      <c r="N391" s="451"/>
      <c r="O391" s="452"/>
      <c r="P391" s="452"/>
      <c r="Q391" s="452"/>
      <c r="R391" s="452"/>
      <c r="S391" s="452"/>
      <c r="T391" s="158"/>
    </row>
    <row r="392" spans="1:20" ht="12.75" customHeight="1" x14ac:dyDescent="0.3">
      <c r="A392" s="36" t="s">
        <v>210</v>
      </c>
      <c r="B392" s="29"/>
      <c r="C392" s="29"/>
      <c r="D392" s="29"/>
      <c r="E392" s="29"/>
      <c r="F392" s="29"/>
      <c r="G392" s="37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1"/>
      <c r="N392" s="451"/>
      <c r="O392" s="452"/>
      <c r="P392" s="452"/>
      <c r="Q392" s="452"/>
      <c r="R392" s="452"/>
      <c r="S392" s="452"/>
      <c r="T392" s="158"/>
    </row>
    <row r="393" spans="1:20" ht="12.75" customHeight="1" x14ac:dyDescent="0.3">
      <c r="A393" s="36"/>
      <c r="B393" s="95" t="s">
        <v>1356</v>
      </c>
      <c r="C393" s="29"/>
      <c r="D393" s="29"/>
      <c r="E393" s="29"/>
      <c r="F393" s="29"/>
      <c r="G393" s="37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1"/>
      <c r="N393" s="451"/>
      <c r="O393" s="452"/>
      <c r="P393" s="452"/>
      <c r="Q393" s="452"/>
      <c r="R393" s="452"/>
      <c r="S393" s="452"/>
      <c r="T393" s="158"/>
    </row>
    <row r="394" spans="1:20" ht="12.75" customHeight="1" x14ac:dyDescent="0.3">
      <c r="A394" s="36"/>
      <c r="B394" s="36" t="s">
        <v>284</v>
      </c>
      <c r="C394" s="29"/>
      <c r="D394" s="29"/>
      <c r="E394" s="29"/>
      <c r="F394" s="29"/>
      <c r="G394" s="94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1"/>
      <c r="N394" s="451"/>
      <c r="O394" s="452"/>
      <c r="P394" s="452"/>
      <c r="Q394" s="452"/>
      <c r="R394" s="452"/>
      <c r="S394" s="452"/>
      <c r="T394" s="158"/>
    </row>
    <row r="395" spans="1:20" ht="12.75" customHeight="1" x14ac:dyDescent="0.3">
      <c r="A395" s="36"/>
      <c r="B395" s="36" t="s">
        <v>1091</v>
      </c>
      <c r="C395" s="29"/>
      <c r="D395" s="29"/>
      <c r="E395" s="29"/>
      <c r="F395" s="29"/>
      <c r="G395" s="94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1"/>
      <c r="N395" s="451"/>
      <c r="O395" s="452"/>
      <c r="P395" s="452"/>
      <c r="Q395" s="452"/>
      <c r="R395" s="452"/>
      <c r="S395" s="452"/>
      <c r="T395" s="158"/>
    </row>
    <row r="396" spans="1:20" ht="12.75" customHeight="1" x14ac:dyDescent="0.3">
      <c r="A396" s="36"/>
      <c r="B396" s="36" t="s">
        <v>1093</v>
      </c>
      <c r="C396" s="29"/>
      <c r="D396" s="29"/>
      <c r="E396" s="29"/>
      <c r="F396" s="29"/>
      <c r="G396" s="94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1"/>
      <c r="N396" s="451"/>
      <c r="O396" s="452"/>
      <c r="P396" s="452"/>
      <c r="Q396" s="452"/>
      <c r="R396" s="452"/>
      <c r="S396" s="452"/>
      <c r="T396" s="158"/>
    </row>
    <row r="397" spans="1:20" ht="12.75" customHeight="1" x14ac:dyDescent="0.3">
      <c r="A397" s="36"/>
      <c r="B397" s="36" t="s">
        <v>886</v>
      </c>
      <c r="C397" s="29"/>
      <c r="D397" s="29"/>
      <c r="E397" s="29"/>
      <c r="F397" s="29"/>
      <c r="G397" s="94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1"/>
      <c r="N397" s="451"/>
      <c r="O397" s="452"/>
      <c r="P397" s="452"/>
      <c r="Q397" s="452"/>
      <c r="R397" s="452"/>
      <c r="S397" s="452"/>
      <c r="T397" s="158"/>
    </row>
    <row r="398" spans="1:20" ht="12.75" customHeight="1" x14ac:dyDescent="0.3">
      <c r="A398" s="36"/>
      <c r="B398" s="36" t="s">
        <v>887</v>
      </c>
      <c r="C398" s="29"/>
      <c r="D398" s="29"/>
      <c r="E398" s="29"/>
      <c r="F398" s="29"/>
      <c r="G398" s="94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1"/>
      <c r="N398" s="451"/>
      <c r="O398" s="452"/>
      <c r="P398" s="452"/>
      <c r="Q398" s="452"/>
      <c r="R398" s="452"/>
      <c r="S398" s="452"/>
      <c r="T398" s="158"/>
    </row>
    <row r="399" spans="1:20" ht="12.75" customHeight="1" x14ac:dyDescent="0.3">
      <c r="A399" s="36"/>
      <c r="B399" s="36" t="s">
        <v>1092</v>
      </c>
      <c r="C399" s="29"/>
      <c r="D399" s="29"/>
      <c r="E399" s="29"/>
      <c r="F399" s="29"/>
      <c r="G399" s="94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1"/>
      <c r="N399" s="451"/>
      <c r="O399" s="452"/>
      <c r="P399" s="452"/>
      <c r="Q399" s="452"/>
      <c r="R399" s="452"/>
      <c r="S399" s="452"/>
      <c r="T399" s="158"/>
    </row>
    <row r="400" spans="1:20" ht="12.75" customHeight="1" x14ac:dyDescent="0.3">
      <c r="A400" s="36"/>
      <c r="B400" s="29"/>
      <c r="C400" s="36" t="s">
        <v>767</v>
      </c>
      <c r="D400" s="95"/>
      <c r="E400" s="95"/>
      <c r="F400" s="29"/>
      <c r="G400" s="94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1"/>
      <c r="N400" s="451"/>
      <c r="O400" s="452"/>
      <c r="P400" s="452"/>
      <c r="Q400" s="452"/>
      <c r="R400" s="452"/>
      <c r="S400" s="452"/>
      <c r="T400" s="158"/>
    </row>
    <row r="401" spans="1:20" ht="12.75" customHeight="1" x14ac:dyDescent="0.3">
      <c r="A401" s="36"/>
      <c r="B401" s="29"/>
      <c r="C401" s="36" t="s">
        <v>286</v>
      </c>
      <c r="D401" s="95"/>
      <c r="E401" s="95"/>
      <c r="F401" s="29"/>
      <c r="G401" s="94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1"/>
      <c r="N401" s="451"/>
      <c r="O401" s="452"/>
      <c r="P401" s="452"/>
      <c r="Q401" s="452"/>
      <c r="R401" s="452"/>
      <c r="S401" s="452"/>
      <c r="T401" s="158"/>
    </row>
    <row r="402" spans="1:20" ht="12.75" customHeight="1" x14ac:dyDescent="0.3">
      <c r="A402" s="36"/>
      <c r="B402" s="29"/>
      <c r="C402" s="36" t="s">
        <v>768</v>
      </c>
      <c r="D402" s="95"/>
      <c r="E402" s="95"/>
      <c r="F402" s="29"/>
      <c r="G402" s="94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1"/>
      <c r="N402" s="451"/>
      <c r="O402" s="452"/>
      <c r="P402" s="452"/>
      <c r="Q402" s="452"/>
      <c r="R402" s="452"/>
      <c r="S402" s="452"/>
      <c r="T402" s="158"/>
    </row>
    <row r="403" spans="1:20" ht="12.75" customHeight="1" x14ac:dyDescent="0.3">
      <c r="A403" s="36"/>
      <c r="B403" s="29"/>
      <c r="C403" s="36" t="s">
        <v>769</v>
      </c>
      <c r="D403" s="95"/>
      <c r="E403" s="95"/>
      <c r="F403" s="29"/>
      <c r="G403" s="94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1"/>
      <c r="N403" s="451"/>
      <c r="O403" s="452"/>
      <c r="P403" s="452"/>
      <c r="Q403" s="452"/>
      <c r="R403" s="452"/>
      <c r="S403" s="452"/>
      <c r="T403" s="158"/>
    </row>
    <row r="404" spans="1:20" ht="12.75" customHeight="1" x14ac:dyDescent="0.3">
      <c r="A404" s="36"/>
      <c r="B404" s="29"/>
      <c r="C404" s="36" t="s">
        <v>770</v>
      </c>
      <c r="D404" s="95"/>
      <c r="E404" s="95"/>
      <c r="F404" s="29"/>
      <c r="G404" s="94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1"/>
      <c r="N404" s="451"/>
      <c r="O404" s="452"/>
      <c r="P404" s="452"/>
      <c r="Q404" s="452"/>
      <c r="R404" s="452"/>
      <c r="S404" s="452"/>
      <c r="T404" s="158"/>
    </row>
    <row r="405" spans="1:20" ht="12.75" customHeight="1" x14ac:dyDescent="0.3">
      <c r="A405" s="36"/>
      <c r="B405" s="29"/>
      <c r="C405" s="36" t="s">
        <v>576</v>
      </c>
      <c r="D405" s="95"/>
      <c r="E405" s="95"/>
      <c r="F405" s="29"/>
      <c r="G405" s="94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1"/>
      <c r="N405" s="451"/>
      <c r="O405" s="452"/>
      <c r="P405" s="452"/>
      <c r="Q405" s="452"/>
      <c r="R405" s="452"/>
      <c r="S405" s="452"/>
      <c r="T405" s="158"/>
    </row>
    <row r="406" spans="1:20" ht="12.75" customHeight="1" x14ac:dyDescent="0.3">
      <c r="A406" s="36"/>
      <c r="B406" s="29"/>
      <c r="C406" s="36" t="s">
        <v>3964</v>
      </c>
      <c r="D406" s="95"/>
      <c r="E406" s="95"/>
      <c r="F406" s="29"/>
      <c r="G406" s="94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1"/>
      <c r="N406" s="451"/>
      <c r="O406" s="452"/>
      <c r="P406" s="452"/>
      <c r="Q406" s="452"/>
      <c r="R406" s="452"/>
      <c r="S406" s="452"/>
      <c r="T406" s="158"/>
    </row>
    <row r="407" spans="1:20" ht="12.75" customHeight="1" x14ac:dyDescent="0.3">
      <c r="A407" s="36"/>
      <c r="B407" s="29"/>
      <c r="C407" s="36" t="s">
        <v>3983</v>
      </c>
      <c r="D407" s="95"/>
      <c r="E407" s="95"/>
      <c r="F407" s="29"/>
      <c r="G407" s="94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1"/>
      <c r="N407" s="451"/>
      <c r="O407" s="452"/>
      <c r="P407" s="452"/>
      <c r="Q407" s="452"/>
      <c r="R407" s="452"/>
      <c r="S407" s="452"/>
      <c r="T407" s="158"/>
    </row>
    <row r="408" spans="1:20" ht="12.75" customHeight="1" x14ac:dyDescent="0.3">
      <c r="A408" s="36"/>
      <c r="B408" s="29"/>
      <c r="C408" s="36" t="s">
        <v>3966</v>
      </c>
      <c r="D408" s="95"/>
      <c r="E408" s="95"/>
      <c r="F408" s="29"/>
      <c r="G408" s="94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1"/>
      <c r="N408" s="451"/>
      <c r="O408" s="452"/>
      <c r="P408" s="452"/>
      <c r="Q408" s="452"/>
      <c r="R408" s="452"/>
      <c r="S408" s="452"/>
      <c r="T408" s="158"/>
    </row>
    <row r="409" spans="1:20" ht="12.75" customHeight="1" x14ac:dyDescent="0.3">
      <c r="A409" s="29"/>
      <c r="B409" s="29"/>
      <c r="C409" s="29" t="s">
        <v>216</v>
      </c>
      <c r="D409" s="29"/>
      <c r="E409" s="29"/>
      <c r="F409" s="29"/>
      <c r="G409" s="36" t="s">
        <v>3984</v>
      </c>
      <c r="H409" s="36" t="s">
        <v>722</v>
      </c>
      <c r="I409" s="522">
        <f>continental!I30</f>
        <v>0</v>
      </c>
      <c r="J409" s="451"/>
      <c r="K409" s="451"/>
      <c r="L409" s="451"/>
      <c r="M409" s="451"/>
      <c r="N409" s="451">
        <v>4.9999999999999995E-11</v>
      </c>
      <c r="O409" s="452">
        <v>4.9999999999999995E-11</v>
      </c>
      <c r="P409" s="452">
        <v>4.9999999999999995E-11</v>
      </c>
      <c r="Q409" s="452">
        <v>4.9999999999999995E-11</v>
      </c>
      <c r="R409" s="452">
        <v>4.9999999999999995E-11</v>
      </c>
      <c r="S409" s="452"/>
      <c r="T409" s="158"/>
    </row>
    <row r="410" spans="1:20" ht="12.75" customHeight="1" x14ac:dyDescent="0.3">
      <c r="A410" s="29"/>
      <c r="B410" s="29"/>
      <c r="C410" s="29" t="s">
        <v>217</v>
      </c>
      <c r="D410" s="29"/>
      <c r="E410" s="29"/>
      <c r="F410" s="29"/>
      <c r="G410" s="36" t="s">
        <v>3985</v>
      </c>
      <c r="H410" s="36" t="s">
        <v>722</v>
      </c>
      <c r="I410" s="522">
        <f>continental!I31</f>
        <v>0</v>
      </c>
      <c r="J410" s="451"/>
      <c r="K410" s="451"/>
      <c r="L410" s="451"/>
      <c r="M410" s="451"/>
      <c r="N410" s="451">
        <v>9.9999999999999995E-21</v>
      </c>
      <c r="O410" s="452">
        <v>9.9999999999999995E-21</v>
      </c>
      <c r="P410" s="452">
        <v>9.9999999999999995E-21</v>
      </c>
      <c r="Q410" s="452">
        <v>9.9999999999999995E-21</v>
      </c>
      <c r="R410" s="452">
        <v>9.9999999999999995E-21</v>
      </c>
      <c r="S410" s="452"/>
      <c r="T410" s="158"/>
    </row>
    <row r="411" spans="1:20" ht="12.75" customHeight="1" x14ac:dyDescent="0.3">
      <c r="A411" s="36"/>
      <c r="B411" s="29"/>
      <c r="C411" s="36" t="s">
        <v>536</v>
      </c>
      <c r="D411" s="95"/>
      <c r="E411" s="95"/>
      <c r="F411" s="29"/>
      <c r="G411" s="94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1"/>
      <c r="N411" s="451"/>
      <c r="O411" s="452"/>
      <c r="P411" s="452"/>
      <c r="Q411" s="452"/>
      <c r="R411" s="452"/>
      <c r="S411" s="452"/>
      <c r="T411" s="158"/>
    </row>
    <row r="412" spans="1:20" ht="12.75" customHeight="1" x14ac:dyDescent="0.3">
      <c r="A412" s="36"/>
      <c r="B412" s="29"/>
      <c r="C412" s="36" t="s">
        <v>418</v>
      </c>
      <c r="D412" s="95"/>
      <c r="E412" s="95"/>
      <c r="F412" s="29"/>
      <c r="G412" s="94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1"/>
      <c r="N412" s="451"/>
      <c r="O412" s="452"/>
      <c r="P412" s="452"/>
      <c r="Q412" s="452"/>
      <c r="R412" s="452"/>
      <c r="S412" s="452"/>
      <c r="T412" s="158"/>
    </row>
    <row r="413" spans="1:20" ht="12.75" customHeight="1" x14ac:dyDescent="0.3">
      <c r="A413" s="36"/>
      <c r="B413" s="29"/>
      <c r="C413" s="36" t="s">
        <v>794</v>
      </c>
      <c r="D413" s="95"/>
      <c r="E413" s="95"/>
      <c r="F413" s="29"/>
      <c r="G413" s="94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1"/>
      <c r="N413" s="451"/>
      <c r="O413" s="452"/>
      <c r="P413" s="452"/>
      <c r="Q413" s="452"/>
      <c r="R413" s="452"/>
      <c r="S413" s="452"/>
      <c r="T413" s="158"/>
    </row>
    <row r="414" spans="1:20" ht="12.75" customHeight="1" x14ac:dyDescent="0.3">
      <c r="A414" s="36"/>
      <c r="B414" s="29"/>
      <c r="C414" s="36" t="s">
        <v>795</v>
      </c>
      <c r="D414" s="95"/>
      <c r="E414" s="95"/>
      <c r="F414" s="29"/>
      <c r="G414" s="94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1"/>
      <c r="N414" s="451"/>
      <c r="O414" s="452"/>
      <c r="P414" s="452"/>
      <c r="Q414" s="452"/>
      <c r="R414" s="452"/>
      <c r="S414" s="452"/>
      <c r="T414" s="158"/>
    </row>
    <row r="415" spans="1:20" ht="12.75" customHeight="1" x14ac:dyDescent="0.3">
      <c r="A415" s="36"/>
      <c r="B415" s="29"/>
      <c r="C415" s="36" t="s">
        <v>534</v>
      </c>
      <c r="D415" s="95"/>
      <c r="E415" s="95"/>
      <c r="F415" s="29"/>
      <c r="G415" s="94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1"/>
      <c r="N415" s="451"/>
      <c r="O415" s="452"/>
      <c r="P415" s="452"/>
      <c r="Q415" s="452"/>
      <c r="R415" s="452"/>
      <c r="S415" s="452"/>
      <c r="T415" s="158"/>
    </row>
    <row r="416" spans="1:20" ht="12.75" customHeight="1" x14ac:dyDescent="0.3">
      <c r="A416" s="36"/>
      <c r="B416" s="29"/>
      <c r="C416" s="36" t="s">
        <v>535</v>
      </c>
      <c r="D416" s="95"/>
      <c r="E416" s="95"/>
      <c r="F416" s="29"/>
      <c r="G416" s="94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1"/>
      <c r="N416" s="451"/>
      <c r="O416" s="452"/>
      <c r="P416" s="452"/>
      <c r="Q416" s="452"/>
      <c r="R416" s="452"/>
      <c r="S416" s="452"/>
      <c r="T416" s="158"/>
    </row>
    <row r="417" spans="1:20" ht="12.75" customHeight="1" x14ac:dyDescent="0.3">
      <c r="A417" s="36"/>
      <c r="B417" s="29"/>
      <c r="C417" s="36" t="s">
        <v>1357</v>
      </c>
      <c r="D417" s="95"/>
      <c r="E417" s="95"/>
      <c r="F417" s="29"/>
      <c r="G417" s="94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1"/>
      <c r="N417" s="451"/>
      <c r="O417" s="452"/>
      <c r="P417" s="452"/>
      <c r="Q417" s="452"/>
      <c r="R417" s="452"/>
      <c r="S417" s="452"/>
      <c r="T417" s="158"/>
    </row>
    <row r="418" spans="1:20" ht="12.75" customHeight="1" x14ac:dyDescent="0.3">
      <c r="A418" s="36"/>
      <c r="B418" s="29"/>
      <c r="C418" s="36" t="s">
        <v>537</v>
      </c>
      <c r="D418" s="95"/>
      <c r="E418" s="95"/>
      <c r="F418" s="29"/>
      <c r="G418" s="94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1"/>
      <c r="N418" s="451"/>
      <c r="O418" s="452"/>
      <c r="P418" s="452"/>
      <c r="Q418" s="452"/>
      <c r="R418" s="452"/>
      <c r="S418" s="452"/>
      <c r="T418" s="158"/>
    </row>
    <row r="419" spans="1:20" ht="12.75" customHeight="1" x14ac:dyDescent="0.3">
      <c r="A419" s="36"/>
      <c r="B419" s="29"/>
      <c r="C419" s="36" t="s">
        <v>15</v>
      </c>
      <c r="D419" s="95"/>
      <c r="E419" s="95"/>
      <c r="F419" s="29"/>
      <c r="G419" s="94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1"/>
      <c r="N419" s="451"/>
      <c r="O419" s="452"/>
      <c r="P419" s="452"/>
      <c r="Q419" s="452"/>
      <c r="R419" s="452"/>
      <c r="S419" s="452"/>
      <c r="T419" s="158"/>
    </row>
    <row r="420" spans="1:20" ht="12.75" customHeight="1" x14ac:dyDescent="0.3">
      <c r="A420" s="36"/>
      <c r="B420" s="29"/>
      <c r="C420" s="36" t="s">
        <v>434</v>
      </c>
      <c r="D420" s="95"/>
      <c r="E420" s="95"/>
      <c r="F420" s="29"/>
      <c r="G420" s="94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1"/>
      <c r="N420" s="451"/>
      <c r="O420" s="452"/>
      <c r="P420" s="452"/>
      <c r="Q420" s="452"/>
      <c r="R420" s="452"/>
      <c r="S420" s="452"/>
      <c r="T420" s="158"/>
    </row>
    <row r="421" spans="1:20" ht="12.75" customHeight="1" x14ac:dyDescent="0.3">
      <c r="A421" s="36"/>
      <c r="B421" s="29"/>
      <c r="C421" s="36" t="s">
        <v>888</v>
      </c>
      <c r="D421" s="95"/>
      <c r="E421" s="95"/>
      <c r="F421" s="29"/>
      <c r="G421" s="94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1"/>
      <c r="N421" s="451"/>
      <c r="O421" s="452"/>
      <c r="P421" s="452"/>
      <c r="Q421" s="452"/>
      <c r="R421" s="452"/>
      <c r="S421" s="452"/>
      <c r="T421" s="158"/>
    </row>
    <row r="422" spans="1:20" ht="12.75" customHeight="1" x14ac:dyDescent="0.3">
      <c r="A422" s="92"/>
      <c r="B422" s="92"/>
      <c r="C422" s="92"/>
      <c r="D422" s="92"/>
      <c r="E422" s="92"/>
      <c r="F422" s="92"/>
      <c r="G422" s="93"/>
      <c r="H422" s="133"/>
      <c r="I422" s="524"/>
      <c r="J422" s="459"/>
      <c r="K422" s="459"/>
      <c r="L422" s="459"/>
      <c r="M422" s="459"/>
      <c r="N422" s="459"/>
      <c r="O422" s="460"/>
      <c r="P422" s="460"/>
      <c r="Q422" s="460"/>
      <c r="R422" s="460"/>
      <c r="S422" s="460"/>
      <c r="T422" s="158"/>
    </row>
    <row r="423" spans="1:20" ht="12.75" customHeight="1" x14ac:dyDescent="0.3">
      <c r="A423" s="36" t="s">
        <v>84</v>
      </c>
      <c r="B423" s="29"/>
      <c r="C423" s="29"/>
      <c r="D423" s="29"/>
      <c r="E423" s="29"/>
      <c r="F423" s="29"/>
      <c r="G423" s="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1"/>
      <c r="N423" s="451"/>
      <c r="O423" s="452"/>
      <c r="P423" s="452"/>
      <c r="Q423" s="452"/>
      <c r="R423" s="452"/>
      <c r="S423" s="452"/>
      <c r="T423" s="158"/>
    </row>
    <row r="424" spans="1:20" ht="12.75" customHeight="1" x14ac:dyDescent="0.3">
      <c r="A424" s="36" t="s">
        <v>83</v>
      </c>
      <c r="B424" s="29"/>
      <c r="C424" s="29"/>
      <c r="D424" s="29"/>
      <c r="E424" s="29"/>
      <c r="F424" s="29"/>
      <c r="G424" s="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1"/>
      <c r="N424" s="451"/>
      <c r="O424" s="452"/>
      <c r="P424" s="452"/>
      <c r="Q424" s="452"/>
      <c r="R424" s="452"/>
      <c r="S424" s="452"/>
      <c r="T424" s="158"/>
    </row>
    <row r="425" spans="1:20" ht="12.75" customHeight="1" x14ac:dyDescent="0.3">
      <c r="A425" s="36"/>
      <c r="B425" s="36" t="s">
        <v>1290</v>
      </c>
      <c r="C425" s="29"/>
      <c r="D425" s="29"/>
      <c r="E425" s="29"/>
      <c r="F425" s="29"/>
      <c r="G425" s="37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1"/>
      <c r="N425" s="451"/>
      <c r="O425" s="452"/>
      <c r="P425" s="452"/>
      <c r="Q425" s="452"/>
      <c r="R425" s="452"/>
      <c r="S425" s="452"/>
      <c r="T425" s="158"/>
    </row>
    <row r="426" spans="1:20" ht="12.75" customHeight="1" x14ac:dyDescent="0.3">
      <c r="A426" s="92"/>
      <c r="B426" s="92"/>
      <c r="C426" s="92"/>
      <c r="D426" s="92"/>
      <c r="E426" s="92"/>
      <c r="F426" s="92"/>
      <c r="G426" s="93"/>
      <c r="H426" s="133"/>
      <c r="I426" s="524"/>
      <c r="J426" s="459"/>
      <c r="K426" s="459"/>
      <c r="L426" s="459"/>
      <c r="M426" s="459"/>
      <c r="N426" s="459"/>
      <c r="O426" s="460"/>
      <c r="P426" s="460"/>
      <c r="Q426" s="460"/>
      <c r="R426" s="460"/>
      <c r="S426" s="460"/>
      <c r="T426" s="158"/>
    </row>
    <row r="427" spans="1:20" ht="12.75" customHeight="1" x14ac:dyDescent="0.3">
      <c r="A427" s="36" t="s">
        <v>339</v>
      </c>
      <c r="B427" s="29"/>
      <c r="C427" s="29"/>
      <c r="D427" s="29"/>
      <c r="E427" s="29"/>
      <c r="F427" s="29"/>
      <c r="G427" s="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1"/>
      <c r="N427" s="451"/>
      <c r="O427" s="452"/>
      <c r="P427" s="452"/>
      <c r="Q427" s="452"/>
      <c r="R427" s="452"/>
      <c r="S427" s="452"/>
      <c r="T427" s="158"/>
    </row>
    <row r="428" spans="1:20" ht="12.75" customHeight="1" x14ac:dyDescent="0.3">
      <c r="A428" s="36" t="s">
        <v>340</v>
      </c>
      <c r="B428" s="29"/>
      <c r="C428" s="29"/>
      <c r="D428" s="29"/>
      <c r="E428" s="29"/>
      <c r="F428" s="29"/>
      <c r="G428" s="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1"/>
      <c r="N428" s="451"/>
      <c r="O428" s="452"/>
      <c r="P428" s="452"/>
      <c r="Q428" s="452"/>
      <c r="R428" s="452"/>
      <c r="S428" s="452"/>
      <c r="T428" s="158"/>
    </row>
    <row r="429" spans="1:20" ht="12.75" customHeight="1" x14ac:dyDescent="0.3">
      <c r="A429" s="36" t="s">
        <v>341</v>
      </c>
      <c r="B429" s="29"/>
      <c r="C429" s="29"/>
      <c r="D429" s="29"/>
      <c r="E429" s="29"/>
      <c r="F429" s="29"/>
      <c r="G429" s="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1"/>
      <c r="N429" s="451"/>
      <c r="O429" s="452"/>
      <c r="P429" s="452"/>
      <c r="Q429" s="452"/>
      <c r="R429" s="452"/>
      <c r="S429" s="452"/>
      <c r="T429" s="158"/>
    </row>
    <row r="430" spans="1:20" ht="12.75" customHeight="1" x14ac:dyDescent="0.3">
      <c r="A430" s="36" t="s">
        <v>85</v>
      </c>
      <c r="B430" s="29"/>
      <c r="C430" s="29"/>
      <c r="D430" s="29"/>
      <c r="E430" s="29"/>
      <c r="F430" s="29"/>
      <c r="G430" s="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1"/>
      <c r="N430" s="451"/>
      <c r="O430" s="452"/>
      <c r="P430" s="452"/>
      <c r="Q430" s="452"/>
      <c r="R430" s="452"/>
      <c r="S430" s="452"/>
      <c r="T430" s="158"/>
    </row>
    <row r="431" spans="1:20" ht="12.75" customHeight="1" x14ac:dyDescent="0.3">
      <c r="A431" s="36" t="s">
        <v>86</v>
      </c>
      <c r="B431" s="29"/>
      <c r="C431" s="29"/>
      <c r="D431" s="29"/>
      <c r="E431" s="29"/>
      <c r="F431" s="29"/>
      <c r="G431" s="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1"/>
      <c r="N431" s="451"/>
      <c r="O431" s="452"/>
      <c r="P431" s="452"/>
      <c r="Q431" s="452"/>
      <c r="R431" s="452"/>
      <c r="S431" s="452"/>
      <c r="T431" s="158"/>
    </row>
    <row r="432" spans="1:20" ht="12.75" customHeight="1" x14ac:dyDescent="0.3">
      <c r="A432" s="36"/>
      <c r="B432" s="36" t="s">
        <v>336</v>
      </c>
      <c r="C432" s="29"/>
      <c r="D432" s="29"/>
      <c r="E432" s="95"/>
      <c r="F432" s="95"/>
      <c r="G432" s="94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1"/>
      <c r="N432" s="451"/>
      <c r="O432" s="452"/>
      <c r="P432" s="452"/>
      <c r="Q432" s="452"/>
      <c r="R432" s="452"/>
      <c r="S432" s="452"/>
      <c r="T432" s="158"/>
    </row>
    <row r="433" spans="1:20" ht="12.75" customHeight="1" x14ac:dyDescent="0.3">
      <c r="A433" s="36"/>
      <c r="B433" s="36" t="s">
        <v>337</v>
      </c>
      <c r="C433" s="29"/>
      <c r="D433" s="29"/>
      <c r="E433" s="95"/>
      <c r="F433" s="95"/>
      <c r="G433" s="94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1"/>
      <c r="N433" s="451"/>
      <c r="O433" s="452"/>
      <c r="P433" s="452"/>
      <c r="Q433" s="452"/>
      <c r="R433" s="452"/>
      <c r="S433" s="452"/>
      <c r="T433" s="158"/>
    </row>
    <row r="434" spans="1:20" ht="12.75" customHeight="1" x14ac:dyDescent="0.3">
      <c r="A434" s="36"/>
      <c r="B434" s="36" t="s">
        <v>338</v>
      </c>
      <c r="C434" s="29"/>
      <c r="D434" s="29"/>
      <c r="E434" s="95"/>
      <c r="F434" s="95"/>
      <c r="G434" s="94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1"/>
      <c r="N434" s="451"/>
      <c r="O434" s="452"/>
      <c r="P434" s="452"/>
      <c r="Q434" s="452"/>
      <c r="R434" s="452"/>
      <c r="S434" s="452"/>
      <c r="T434" s="158"/>
    </row>
    <row r="435" spans="1:20" ht="12.75" customHeight="1" x14ac:dyDescent="0.3">
      <c r="A435" s="36"/>
      <c r="B435" s="36" t="s">
        <v>1425</v>
      </c>
      <c r="C435" s="29"/>
      <c r="D435" s="29"/>
      <c r="E435" s="95"/>
      <c r="F435" s="95"/>
      <c r="G435" s="94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1"/>
      <c r="N435" s="451"/>
      <c r="O435" s="452"/>
      <c r="P435" s="452"/>
      <c r="Q435" s="452"/>
      <c r="R435" s="452"/>
      <c r="S435" s="452"/>
      <c r="T435" s="158"/>
    </row>
    <row r="436" spans="1:20" ht="12.75" customHeight="1" x14ac:dyDescent="0.3">
      <c r="A436" s="36"/>
      <c r="B436" s="36" t="s">
        <v>1426</v>
      </c>
      <c r="C436" s="29"/>
      <c r="D436" s="29"/>
      <c r="E436" s="95"/>
      <c r="F436" s="95"/>
      <c r="G436" s="94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1"/>
      <c r="N436" s="451"/>
      <c r="O436" s="452"/>
      <c r="P436" s="452"/>
      <c r="Q436" s="452"/>
      <c r="R436" s="452"/>
      <c r="S436" s="452"/>
      <c r="T436" s="158"/>
    </row>
    <row r="437" spans="1:20" ht="12.75" customHeight="1" x14ac:dyDescent="0.3">
      <c r="A437" s="36" t="s">
        <v>87</v>
      </c>
      <c r="B437" s="29"/>
      <c r="C437" s="29"/>
      <c r="D437" s="29"/>
      <c r="E437" s="29"/>
      <c r="F437" s="29"/>
      <c r="G437" s="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1"/>
      <c r="N437" s="451"/>
      <c r="O437" s="452"/>
      <c r="P437" s="452"/>
      <c r="Q437" s="452"/>
      <c r="R437" s="452"/>
      <c r="S437" s="452"/>
      <c r="T437" s="158"/>
    </row>
    <row r="438" spans="1:20" ht="12.75" customHeight="1" x14ac:dyDescent="0.3">
      <c r="A438" s="36" t="s">
        <v>88</v>
      </c>
      <c r="B438" s="29"/>
      <c r="C438" s="29"/>
      <c r="D438" s="29"/>
      <c r="E438" s="29"/>
      <c r="F438" s="29"/>
      <c r="G438" s="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1"/>
      <c r="N438" s="451"/>
      <c r="O438" s="452"/>
      <c r="P438" s="452"/>
      <c r="Q438" s="452"/>
      <c r="R438" s="452"/>
      <c r="S438" s="452"/>
      <c r="T438" s="158"/>
    </row>
    <row r="439" spans="1:20" ht="12.75" customHeight="1" x14ac:dyDescent="0.3">
      <c r="A439" s="36"/>
      <c r="B439" s="36" t="s">
        <v>1428</v>
      </c>
      <c r="C439" s="29"/>
      <c r="D439" s="29"/>
      <c r="E439" s="29"/>
      <c r="F439" s="29"/>
      <c r="G439" s="94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1"/>
      <c r="N439" s="451"/>
      <c r="O439" s="452"/>
      <c r="P439" s="452"/>
      <c r="Q439" s="452"/>
      <c r="R439" s="452"/>
      <c r="S439" s="452"/>
      <c r="T439" s="158"/>
    </row>
    <row r="440" spans="1:20" ht="12.75" customHeight="1" x14ac:dyDescent="0.3">
      <c r="A440" s="36"/>
      <c r="B440" s="36" t="s">
        <v>1429</v>
      </c>
      <c r="C440" s="29"/>
      <c r="D440" s="29"/>
      <c r="E440" s="95"/>
      <c r="F440" s="95"/>
      <c r="G440" s="94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1"/>
      <c r="N440" s="451"/>
      <c r="O440" s="452"/>
      <c r="P440" s="452"/>
      <c r="Q440" s="452"/>
      <c r="R440" s="452"/>
      <c r="S440" s="452"/>
      <c r="T440" s="158"/>
    </row>
    <row r="441" spans="1:20" ht="12.75" customHeight="1" x14ac:dyDescent="0.3">
      <c r="A441" s="36"/>
      <c r="B441" s="36"/>
      <c r="C441" s="36" t="s">
        <v>1427</v>
      </c>
      <c r="D441" s="29"/>
      <c r="E441" s="29"/>
      <c r="F441" s="29"/>
      <c r="G441" s="37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1"/>
      <c r="N441" s="451"/>
      <c r="O441" s="452"/>
      <c r="P441" s="452"/>
      <c r="Q441" s="452"/>
      <c r="R441" s="452"/>
      <c r="S441" s="452"/>
      <c r="T441" s="158"/>
    </row>
    <row r="442" spans="1:20" ht="12.75" customHeight="1" x14ac:dyDescent="0.3">
      <c r="A442" s="29"/>
      <c r="B442" s="29"/>
      <c r="C442" s="29"/>
      <c r="D442" s="29"/>
      <c r="E442" s="29"/>
      <c r="F442" s="29"/>
      <c r="G442" s="29"/>
      <c r="H442" s="29"/>
      <c r="I442" s="457"/>
      <c r="J442" s="339"/>
      <c r="K442" s="339"/>
      <c r="L442" s="339"/>
      <c r="M442" s="339"/>
      <c r="N442" s="339"/>
      <c r="O442" s="282"/>
      <c r="P442" s="282"/>
      <c r="Q442" s="282"/>
      <c r="R442" s="282"/>
      <c r="S442" s="282"/>
      <c r="T442" s="158"/>
    </row>
    <row r="443" spans="1:20" ht="12.75" customHeight="1" x14ac:dyDescent="0.3">
      <c r="A443" s="98" t="s">
        <v>209</v>
      </c>
      <c r="B443" s="97"/>
      <c r="C443" s="97"/>
      <c r="D443" s="97"/>
      <c r="E443" s="97"/>
      <c r="F443" s="97"/>
      <c r="G443" s="97"/>
      <c r="H443" s="97"/>
      <c r="I443" s="340" t="s">
        <v>754</v>
      </c>
      <c r="J443" s="364"/>
      <c r="K443" s="364"/>
      <c r="L443" s="364" t="s">
        <v>754</v>
      </c>
      <c r="M443" s="364" t="s">
        <v>754</v>
      </c>
      <c r="N443" s="364"/>
      <c r="O443" s="470"/>
      <c r="P443" s="470"/>
      <c r="Q443" s="470"/>
      <c r="R443" s="470"/>
      <c r="S443" s="470"/>
      <c r="T443" s="158"/>
    </row>
    <row r="444" spans="1:20" ht="12.75" customHeight="1" x14ac:dyDescent="0.3">
      <c r="A444" s="135"/>
      <c r="B444" s="631"/>
      <c r="C444" s="632"/>
      <c r="D444" s="632"/>
      <c r="E444" s="135"/>
      <c r="F444" s="135"/>
      <c r="G444" s="135"/>
      <c r="H444" s="135"/>
      <c r="I444" s="342"/>
      <c r="J444" s="321"/>
      <c r="K444" s="321"/>
      <c r="L444" s="321"/>
      <c r="M444" s="321"/>
      <c r="N444" s="321"/>
      <c r="O444" s="323"/>
      <c r="P444" s="323"/>
      <c r="Q444" s="323"/>
      <c r="R444" s="323"/>
      <c r="S444" s="323"/>
      <c r="T444" s="158"/>
    </row>
    <row r="445" spans="1:20" ht="12.75" customHeight="1" x14ac:dyDescent="0.3">
      <c r="A445" s="5"/>
      <c r="B445" s="36" t="s">
        <v>623</v>
      </c>
      <c r="C445" s="36"/>
      <c r="D445" s="36"/>
      <c r="E445" s="36"/>
      <c r="F445" s="36"/>
      <c r="G445" s="36" t="s">
        <v>3986</v>
      </c>
      <c r="H445" s="36" t="s">
        <v>36</v>
      </c>
      <c r="I445" s="522">
        <f>continental!I66</f>
        <v>0</v>
      </c>
      <c r="J445" s="451"/>
      <c r="K445" s="451"/>
      <c r="L445" s="451"/>
      <c r="M445" s="451"/>
      <c r="N445" s="451">
        <f t="shared" ref="N445:R445" si="6">1-(0.0000258)/(IF(Tm&gt;298,EXP(-6.79*(1-Tm/298))*Pvap25*EXP((H0vap/8.314)*(1/298-1/TEMP.C)),Pvap25*EXP((H0vap/8.314)*(1/298-1/TEMP.C)))+(0.0000258))</f>
        <v>0.12462796418239608</v>
      </c>
      <c r="O445" s="452">
        <f t="shared" si="6"/>
        <v>0.12462796418239608</v>
      </c>
      <c r="P445" s="452">
        <f t="shared" si="6"/>
        <v>0.12462796418239608</v>
      </c>
      <c r="Q445" s="452">
        <f t="shared" si="6"/>
        <v>0.12462796418239608</v>
      </c>
      <c r="R445" s="452">
        <f t="shared" si="6"/>
        <v>0.12462796418239608</v>
      </c>
      <c r="S445" s="452"/>
      <c r="T445" s="158"/>
    </row>
    <row r="446" spans="1:20" ht="12.75" customHeight="1" x14ac:dyDescent="0.3">
      <c r="A446" s="29"/>
      <c r="B446" s="29" t="s">
        <v>615</v>
      </c>
      <c r="C446" s="29"/>
      <c r="D446" s="29"/>
      <c r="E446" s="29"/>
      <c r="F446" s="29"/>
      <c r="G446" s="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1"/>
      <c r="N446" s="451"/>
      <c r="O446" s="452"/>
      <c r="P446" s="452"/>
      <c r="Q446" s="452"/>
      <c r="R446" s="452"/>
      <c r="S446" s="452"/>
      <c r="T446" s="158"/>
    </row>
    <row r="447" spans="1:20" ht="12.75" customHeight="1" x14ac:dyDescent="0.3">
      <c r="A447" s="29"/>
      <c r="B447" s="29" t="s">
        <v>616</v>
      </c>
      <c r="C447" s="29"/>
      <c r="D447" s="29"/>
      <c r="E447" s="29"/>
      <c r="F447" s="29"/>
      <c r="G447" s="29" t="s">
        <v>625</v>
      </c>
      <c r="H447" s="29" t="s">
        <v>36</v>
      </c>
      <c r="I447" s="522">
        <f>continental!I68</f>
        <v>0</v>
      </c>
      <c r="J447" s="451"/>
      <c r="K447" s="451"/>
      <c r="L447" s="451"/>
      <c r="M447" s="451"/>
      <c r="N447" s="451">
        <f t="shared" ref="N447:R447" si="7">(0.0000258)/(IF(Tm&gt;298,EXP(-6.79*(1-Tm/298))*Pvap25*EXP((H0vap/8.314)*(1/298-1/TEMP.C)),Pvap25*EXP((H0vap/8.314)*(1/298-1/TEMP.C)))+(0.0000258))</f>
        <v>0.87537203581760392</v>
      </c>
      <c r="O447" s="452">
        <f t="shared" si="7"/>
        <v>0.87537203581760392</v>
      </c>
      <c r="P447" s="452">
        <f t="shared" si="7"/>
        <v>0.87537203581760392</v>
      </c>
      <c r="Q447" s="452">
        <f t="shared" si="7"/>
        <v>0.87537203581760392</v>
      </c>
      <c r="R447" s="452">
        <f t="shared" si="7"/>
        <v>0.87537203581760392</v>
      </c>
      <c r="S447" s="452"/>
      <c r="T447" s="158"/>
    </row>
    <row r="448" spans="1:20" ht="12.75" customHeight="1" x14ac:dyDescent="0.3">
      <c r="A448" s="29"/>
      <c r="B448" s="29"/>
      <c r="C448" s="36" t="s">
        <v>1043</v>
      </c>
      <c r="D448" s="36"/>
      <c r="E448" s="36"/>
      <c r="F448" s="36"/>
      <c r="G448" s="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1"/>
      <c r="N448" s="451"/>
      <c r="O448" s="452"/>
      <c r="P448" s="452"/>
      <c r="Q448" s="452"/>
      <c r="R448" s="452"/>
      <c r="S448" s="452"/>
      <c r="T448" s="158"/>
    </row>
    <row r="449" spans="1:20" ht="12.75" customHeight="1" x14ac:dyDescent="0.35">
      <c r="A449" s="29"/>
      <c r="B449" s="29"/>
      <c r="C449" s="29" t="s">
        <v>612</v>
      </c>
      <c r="D449" s="29"/>
      <c r="E449" s="29"/>
      <c r="F449" s="29"/>
      <c r="G449" s="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1"/>
      <c r="N449" s="451"/>
      <c r="O449" s="452"/>
      <c r="P449" s="452"/>
      <c r="Q449" s="452"/>
      <c r="R449" s="452"/>
      <c r="S449" s="452"/>
      <c r="T449" s="158"/>
    </row>
    <row r="450" spans="1:20" ht="12.75" customHeight="1" x14ac:dyDescent="0.35">
      <c r="A450" s="29"/>
      <c r="B450" s="29"/>
      <c r="C450" s="29" t="s">
        <v>613</v>
      </c>
      <c r="D450" s="29"/>
      <c r="E450" s="29"/>
      <c r="F450" s="29"/>
      <c r="G450" s="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1"/>
      <c r="N450" s="451"/>
      <c r="O450" s="452"/>
      <c r="P450" s="452"/>
      <c r="Q450" s="452"/>
      <c r="R450" s="452"/>
      <c r="S450" s="452"/>
      <c r="T450" s="158"/>
    </row>
    <row r="451" spans="1:20" ht="12.75" customHeight="1" x14ac:dyDescent="0.3">
      <c r="A451" s="36"/>
      <c r="B451" s="36" t="s">
        <v>291</v>
      </c>
      <c r="C451" s="95"/>
      <c r="D451" s="29"/>
      <c r="E451" s="29"/>
      <c r="F451" s="29"/>
      <c r="G451" s="94" t="s">
        <v>342</v>
      </c>
      <c r="H451" s="36" t="s">
        <v>36</v>
      </c>
      <c r="I451" s="522">
        <f>continental!I72</f>
        <v>0</v>
      </c>
      <c r="J451" s="451"/>
      <c r="K451" s="451"/>
      <c r="L451" s="451"/>
      <c r="M451" s="451"/>
      <c r="N451" s="451">
        <f t="shared" ref="N451:R451" si="8">1/(1+Kp.susp0C*SUSP.w0C/1000+0.05*Kow*0.001/1000)</f>
        <v>0.99978338121031318</v>
      </c>
      <c r="O451" s="452">
        <f t="shared" si="8"/>
        <v>0.99978338121031318</v>
      </c>
      <c r="P451" s="452">
        <f t="shared" si="8"/>
        <v>0.99978338121031318</v>
      </c>
      <c r="Q451" s="452">
        <f t="shared" si="8"/>
        <v>0.99978338121031318</v>
      </c>
      <c r="R451" s="452">
        <f t="shared" si="8"/>
        <v>0.99978338121031318</v>
      </c>
      <c r="S451" s="452"/>
      <c r="T451" s="158"/>
    </row>
    <row r="452" spans="1:20" ht="12.75" customHeight="1" x14ac:dyDescent="0.3">
      <c r="A452" s="36"/>
      <c r="B452" s="29"/>
      <c r="C452" s="36" t="s">
        <v>706</v>
      </c>
      <c r="D452" s="29"/>
      <c r="E452" s="29"/>
      <c r="F452" s="29"/>
      <c r="G452" s="94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1"/>
      <c r="N452" s="451"/>
      <c r="O452" s="452"/>
      <c r="P452" s="452"/>
      <c r="Q452" s="452"/>
      <c r="R452" s="452"/>
      <c r="S452" s="452"/>
      <c r="T452" s="158"/>
    </row>
    <row r="453" spans="1:20" ht="12.75" customHeight="1" x14ac:dyDescent="0.3">
      <c r="A453" s="36"/>
      <c r="B453" s="29"/>
      <c r="C453" s="36" t="s">
        <v>1098</v>
      </c>
      <c r="D453" s="29"/>
      <c r="E453" s="29"/>
      <c r="F453" s="29"/>
      <c r="G453" s="94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1"/>
      <c r="N453" s="451"/>
      <c r="O453" s="452"/>
      <c r="P453" s="452"/>
      <c r="Q453" s="452"/>
      <c r="R453" s="452"/>
      <c r="S453" s="452"/>
      <c r="T453" s="158"/>
    </row>
    <row r="454" spans="1:20" ht="12.75" customHeight="1" x14ac:dyDescent="0.3">
      <c r="A454" s="36"/>
      <c r="B454" s="29"/>
      <c r="C454" s="36" t="s">
        <v>707</v>
      </c>
      <c r="D454" s="29"/>
      <c r="E454" s="29"/>
      <c r="F454" s="29"/>
      <c r="G454" s="94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1"/>
      <c r="N454" s="451"/>
      <c r="O454" s="452"/>
      <c r="P454" s="452"/>
      <c r="Q454" s="452"/>
      <c r="R454" s="452"/>
      <c r="S454" s="452"/>
      <c r="T454" s="158"/>
    </row>
    <row r="455" spans="1:20" ht="12.75" customHeight="1" x14ac:dyDescent="0.3">
      <c r="A455" s="36"/>
      <c r="B455" s="29"/>
      <c r="C455" s="36" t="s">
        <v>549</v>
      </c>
      <c r="D455" s="29"/>
      <c r="E455" s="29"/>
      <c r="F455" s="29"/>
      <c r="G455" s="94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1"/>
      <c r="N455" s="451"/>
      <c r="O455" s="452"/>
      <c r="P455" s="452"/>
      <c r="Q455" s="452"/>
      <c r="R455" s="452"/>
      <c r="S455" s="452"/>
      <c r="T455" s="158"/>
    </row>
    <row r="456" spans="1:20" ht="12.75" customHeight="1" x14ac:dyDescent="0.3">
      <c r="A456" s="36"/>
      <c r="B456" s="29"/>
      <c r="C456" s="36" t="s">
        <v>551</v>
      </c>
      <c r="D456" s="29"/>
      <c r="E456" s="29"/>
      <c r="F456" s="29"/>
      <c r="G456" s="94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1"/>
      <c r="N456" s="451"/>
      <c r="O456" s="452"/>
      <c r="P456" s="452"/>
      <c r="Q456" s="452"/>
      <c r="R456" s="452"/>
      <c r="S456" s="452"/>
      <c r="T456" s="158"/>
    </row>
    <row r="457" spans="1:20" ht="12.75" customHeight="1" x14ac:dyDescent="0.3">
      <c r="A457" s="36"/>
      <c r="B457" s="36" t="s">
        <v>3973</v>
      </c>
      <c r="C457" s="95"/>
      <c r="D457" s="29"/>
      <c r="E457" s="29"/>
      <c r="F457" s="29"/>
      <c r="G457" s="94" t="s">
        <v>572</v>
      </c>
      <c r="H457" s="36" t="s">
        <v>36</v>
      </c>
      <c r="I457" s="522">
        <f>continental!I78</f>
        <v>0</v>
      </c>
      <c r="J457" s="451"/>
      <c r="K457" s="451"/>
      <c r="L457" s="451"/>
      <c r="M457" s="451"/>
      <c r="N457" s="451">
        <f t="shared" ref="N457:R457" si="9">1/(1+Kp.susp1C*SUSP.w1C/1000+0.05*Kow*0.001/1000)</f>
        <v>0.99830430980414364</v>
      </c>
      <c r="O457" s="452">
        <f t="shared" si="9"/>
        <v>0.99830430980414364</v>
      </c>
      <c r="P457" s="452">
        <f t="shared" si="9"/>
        <v>0.99830430980414364</v>
      </c>
      <c r="Q457" s="452">
        <f t="shared" si="9"/>
        <v>0.99830430980414364</v>
      </c>
      <c r="R457" s="452">
        <f t="shared" si="9"/>
        <v>0.99830430980414364</v>
      </c>
      <c r="S457" s="452"/>
      <c r="T457" s="158"/>
    </row>
    <row r="458" spans="1:20" ht="12.75" customHeight="1" x14ac:dyDescent="0.3">
      <c r="A458" s="36"/>
      <c r="B458" s="29"/>
      <c r="C458" s="36" t="s">
        <v>706</v>
      </c>
      <c r="D458" s="29"/>
      <c r="E458" s="29"/>
      <c r="F458" s="29"/>
      <c r="G458" s="94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1"/>
      <c r="N458" s="451"/>
      <c r="O458" s="452"/>
      <c r="P458" s="452"/>
      <c r="Q458" s="452"/>
      <c r="R458" s="452"/>
      <c r="S458" s="452"/>
      <c r="T458" s="158"/>
    </row>
    <row r="459" spans="1:20" ht="12.75" customHeight="1" x14ac:dyDescent="0.3">
      <c r="A459" s="36"/>
      <c r="B459" s="29"/>
      <c r="C459" s="36" t="s">
        <v>1098</v>
      </c>
      <c r="D459" s="29"/>
      <c r="E459" s="29"/>
      <c r="F459" s="29"/>
      <c r="G459" s="94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1"/>
      <c r="N459" s="451"/>
      <c r="O459" s="452"/>
      <c r="P459" s="452"/>
      <c r="Q459" s="452"/>
      <c r="R459" s="452"/>
      <c r="S459" s="452"/>
      <c r="T459" s="158"/>
    </row>
    <row r="460" spans="1:20" ht="12.75" customHeight="1" x14ac:dyDescent="0.3">
      <c r="A460" s="36"/>
      <c r="B460" s="29"/>
      <c r="C460" s="36" t="s">
        <v>707</v>
      </c>
      <c r="D460" s="29"/>
      <c r="E460" s="29"/>
      <c r="F460" s="29"/>
      <c r="G460" s="94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1"/>
      <c r="N460" s="451"/>
      <c r="O460" s="452"/>
      <c r="P460" s="452"/>
      <c r="Q460" s="452"/>
      <c r="R460" s="452"/>
      <c r="S460" s="452"/>
      <c r="T460" s="158"/>
    </row>
    <row r="461" spans="1:20" ht="12.75" customHeight="1" x14ac:dyDescent="0.3">
      <c r="A461" s="36"/>
      <c r="B461" s="29"/>
      <c r="C461" s="36" t="s">
        <v>549</v>
      </c>
      <c r="D461" s="29"/>
      <c r="E461" s="29"/>
      <c r="F461" s="29"/>
      <c r="G461" s="94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1"/>
      <c r="N461" s="451"/>
      <c r="O461" s="452"/>
      <c r="P461" s="452"/>
      <c r="Q461" s="452"/>
      <c r="R461" s="452"/>
      <c r="S461" s="452"/>
      <c r="T461" s="158"/>
    </row>
    <row r="462" spans="1:20" ht="12.75" customHeight="1" x14ac:dyDescent="0.3">
      <c r="A462" s="36"/>
      <c r="B462" s="29"/>
      <c r="C462" s="36" t="s">
        <v>551</v>
      </c>
      <c r="D462" s="29"/>
      <c r="E462" s="29"/>
      <c r="F462" s="29"/>
      <c r="G462" s="94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1"/>
      <c r="N462" s="451"/>
      <c r="O462" s="452"/>
      <c r="P462" s="452"/>
      <c r="Q462" s="452"/>
      <c r="R462" s="452"/>
      <c r="S462" s="452"/>
      <c r="T462" s="158"/>
    </row>
    <row r="463" spans="1:20" ht="12.75" customHeight="1" x14ac:dyDescent="0.3">
      <c r="A463" s="36"/>
      <c r="B463" s="36" t="s">
        <v>3974</v>
      </c>
      <c r="C463" s="95"/>
      <c r="D463" s="29"/>
      <c r="E463" s="29"/>
      <c r="F463" s="29"/>
      <c r="G463" s="94" t="s">
        <v>573</v>
      </c>
      <c r="H463" s="36" t="s">
        <v>36</v>
      </c>
      <c r="I463" s="522">
        <f>continental!I84</f>
        <v>0</v>
      </c>
      <c r="J463" s="451"/>
      <c r="K463" s="451"/>
      <c r="L463" s="451"/>
      <c r="M463" s="451"/>
      <c r="N463" s="451">
        <f t="shared" ref="N463:R463" si="10">1/(1+Kp.susp2C*SUSP.w2C/1000+0.05*Kow*0.001/1000)</f>
        <v>0.99933769729472144</v>
      </c>
      <c r="O463" s="452">
        <f t="shared" si="10"/>
        <v>0.99933769729472144</v>
      </c>
      <c r="P463" s="452">
        <f t="shared" si="10"/>
        <v>0.99933769729472144</v>
      </c>
      <c r="Q463" s="452">
        <f t="shared" si="10"/>
        <v>0.99933769729472144</v>
      </c>
      <c r="R463" s="452">
        <f t="shared" si="10"/>
        <v>0.99933769729472144</v>
      </c>
      <c r="S463" s="452"/>
      <c r="T463" s="158"/>
    </row>
    <row r="464" spans="1:20" ht="12.75" customHeight="1" x14ac:dyDescent="0.3">
      <c r="A464" s="36"/>
      <c r="B464" s="29"/>
      <c r="C464" s="36" t="s">
        <v>706</v>
      </c>
      <c r="D464" s="29"/>
      <c r="E464" s="29"/>
      <c r="F464" s="29"/>
      <c r="G464" s="94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1"/>
      <c r="N464" s="451"/>
      <c r="O464" s="452"/>
      <c r="P464" s="452"/>
      <c r="Q464" s="452"/>
      <c r="R464" s="452"/>
      <c r="S464" s="452"/>
      <c r="T464" s="158"/>
    </row>
    <row r="465" spans="1:20" ht="12.75" customHeight="1" x14ac:dyDescent="0.3">
      <c r="A465" s="36"/>
      <c r="B465" s="29"/>
      <c r="C465" s="36" t="s">
        <v>1098</v>
      </c>
      <c r="D465" s="29"/>
      <c r="E465" s="29"/>
      <c r="F465" s="29"/>
      <c r="G465" s="94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1"/>
      <c r="N465" s="451"/>
      <c r="O465" s="452"/>
      <c r="P465" s="452"/>
      <c r="Q465" s="452"/>
      <c r="R465" s="452"/>
      <c r="S465" s="452"/>
      <c r="T465" s="158"/>
    </row>
    <row r="466" spans="1:20" ht="12.75" customHeight="1" x14ac:dyDescent="0.3">
      <c r="A466" s="36"/>
      <c r="B466" s="29"/>
      <c r="C466" s="36" t="s">
        <v>1504</v>
      </c>
      <c r="D466" s="29"/>
      <c r="E466" s="29"/>
      <c r="F466" s="29"/>
      <c r="G466" s="94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1"/>
      <c r="N466" s="451"/>
      <c r="O466" s="452"/>
      <c r="P466" s="452"/>
      <c r="Q466" s="452"/>
      <c r="R466" s="452"/>
      <c r="S466" s="452"/>
      <c r="T466" s="158"/>
    </row>
    <row r="467" spans="1:20" ht="12.75" customHeight="1" x14ac:dyDescent="0.3">
      <c r="A467" s="36"/>
      <c r="B467" s="29"/>
      <c r="C467" s="36" t="s">
        <v>549</v>
      </c>
      <c r="D467" s="29"/>
      <c r="E467" s="29"/>
      <c r="F467" s="29"/>
      <c r="G467" s="94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1"/>
      <c r="N467" s="451"/>
      <c r="O467" s="452"/>
      <c r="P467" s="452"/>
      <c r="Q467" s="452"/>
      <c r="R467" s="452"/>
      <c r="S467" s="452"/>
      <c r="T467" s="158"/>
    </row>
    <row r="468" spans="1:20" ht="12.75" customHeight="1" x14ac:dyDescent="0.3">
      <c r="A468" s="36"/>
      <c r="B468" s="29"/>
      <c r="C468" s="36" t="s">
        <v>551</v>
      </c>
      <c r="D468" s="29"/>
      <c r="E468" s="29"/>
      <c r="F468" s="29"/>
      <c r="G468" s="94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1"/>
      <c r="N468" s="451"/>
      <c r="O468" s="452"/>
      <c r="P468" s="452"/>
      <c r="Q468" s="452"/>
      <c r="R468" s="452"/>
      <c r="S468" s="452"/>
      <c r="T468" s="158"/>
    </row>
    <row r="469" spans="1:20" ht="12.75" customHeight="1" x14ac:dyDescent="0.3">
      <c r="A469" s="36"/>
      <c r="B469" s="36" t="s">
        <v>732</v>
      </c>
      <c r="C469" s="95"/>
      <c r="D469" s="29"/>
      <c r="E469" s="29"/>
      <c r="F469" s="29"/>
      <c r="G469" s="94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1"/>
      <c r="N469" s="451"/>
      <c r="O469" s="452"/>
      <c r="P469" s="452"/>
      <c r="Q469" s="452"/>
      <c r="R469" s="452"/>
      <c r="S469" s="452"/>
      <c r="T469" s="158"/>
    </row>
    <row r="470" spans="1:20" ht="12.75" customHeight="1" x14ac:dyDescent="0.3">
      <c r="A470" s="36"/>
      <c r="B470" s="29"/>
      <c r="C470" s="36" t="s">
        <v>1433</v>
      </c>
      <c r="D470" s="29"/>
      <c r="E470" s="29"/>
      <c r="F470" s="29"/>
      <c r="G470" s="94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1"/>
      <c r="N470" s="451"/>
      <c r="O470" s="452"/>
      <c r="P470" s="452"/>
      <c r="Q470" s="452"/>
      <c r="R470" s="452"/>
      <c r="S470" s="452"/>
      <c r="T470" s="158"/>
    </row>
    <row r="471" spans="1:20" ht="12.75" customHeight="1" x14ac:dyDescent="0.3">
      <c r="A471" s="36"/>
      <c r="B471" s="29"/>
      <c r="C471" s="36" t="s">
        <v>1276</v>
      </c>
      <c r="D471" s="29"/>
      <c r="E471" s="29"/>
      <c r="F471" s="29"/>
      <c r="G471" s="94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1"/>
      <c r="N471" s="451"/>
      <c r="O471" s="452"/>
      <c r="P471" s="452"/>
      <c r="Q471" s="452"/>
      <c r="R471" s="452"/>
      <c r="S471" s="452"/>
      <c r="T471" s="158"/>
    </row>
    <row r="472" spans="1:20" ht="12.75" customHeight="1" x14ac:dyDescent="0.3">
      <c r="A472" s="36"/>
      <c r="B472" s="36" t="s">
        <v>1434</v>
      </c>
      <c r="C472" s="95"/>
      <c r="D472" s="29"/>
      <c r="E472" s="29"/>
      <c r="F472" s="29"/>
      <c r="G472" s="94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1"/>
      <c r="N472" s="451"/>
      <c r="O472" s="452"/>
      <c r="P472" s="452"/>
      <c r="Q472" s="452"/>
      <c r="R472" s="452"/>
      <c r="S472" s="452"/>
      <c r="T472" s="158"/>
    </row>
    <row r="473" spans="1:20" ht="12.75" customHeight="1" x14ac:dyDescent="0.3">
      <c r="A473" s="36"/>
      <c r="B473" s="29"/>
      <c r="C473" s="36" t="s">
        <v>1435</v>
      </c>
      <c r="D473" s="29"/>
      <c r="E473" s="29"/>
      <c r="F473" s="29"/>
      <c r="G473" s="94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1"/>
      <c r="N473" s="451"/>
      <c r="O473" s="452"/>
      <c r="P473" s="452"/>
      <c r="Q473" s="452"/>
      <c r="R473" s="452"/>
      <c r="S473" s="452"/>
      <c r="T473" s="158"/>
    </row>
    <row r="474" spans="1:20" ht="12.75" customHeight="1" x14ac:dyDescent="0.3">
      <c r="A474" s="36"/>
      <c r="B474" s="29"/>
      <c r="C474" s="36" t="s">
        <v>1275</v>
      </c>
      <c r="D474" s="29"/>
      <c r="E474" s="29"/>
      <c r="F474" s="29"/>
      <c r="G474" s="94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1"/>
      <c r="N474" s="451"/>
      <c r="O474" s="452"/>
      <c r="P474" s="452"/>
      <c r="Q474" s="452"/>
      <c r="R474" s="452"/>
      <c r="S474" s="452"/>
      <c r="T474" s="158"/>
    </row>
    <row r="475" spans="1:20" ht="12.75" customHeight="1" x14ac:dyDescent="0.3">
      <c r="A475" s="36"/>
      <c r="B475" s="36" t="s">
        <v>1436</v>
      </c>
      <c r="C475" s="95"/>
      <c r="D475" s="29"/>
      <c r="E475" s="29"/>
      <c r="F475" s="29"/>
      <c r="G475" s="94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1"/>
      <c r="N475" s="451"/>
      <c r="O475" s="452"/>
      <c r="P475" s="452"/>
      <c r="Q475" s="452"/>
      <c r="R475" s="452"/>
      <c r="S475" s="452"/>
      <c r="T475" s="158"/>
    </row>
    <row r="476" spans="1:20" ht="12.75" customHeight="1" x14ac:dyDescent="0.3">
      <c r="A476" s="36"/>
      <c r="B476" s="36" t="s">
        <v>515</v>
      </c>
      <c r="C476" s="95"/>
      <c r="D476" s="29"/>
      <c r="E476" s="29"/>
      <c r="F476" s="29"/>
      <c r="G476" s="94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1"/>
      <c r="N476" s="451"/>
      <c r="O476" s="452"/>
      <c r="P476" s="452"/>
      <c r="Q476" s="452"/>
      <c r="R476" s="452"/>
      <c r="S476" s="452"/>
      <c r="T476" s="158"/>
    </row>
    <row r="477" spans="1:20" ht="12.75" customHeight="1" x14ac:dyDescent="0.3">
      <c r="A477" s="36"/>
      <c r="B477" s="36" t="s">
        <v>987</v>
      </c>
      <c r="C477" s="95"/>
      <c r="D477" s="29"/>
      <c r="E477" s="29"/>
      <c r="F477" s="29"/>
      <c r="G477" s="94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1"/>
      <c r="N477" s="451"/>
      <c r="O477" s="452"/>
      <c r="P477" s="452"/>
      <c r="Q477" s="452"/>
      <c r="R477" s="452"/>
      <c r="S477" s="452"/>
      <c r="T477" s="158"/>
    </row>
    <row r="478" spans="1:20" ht="12.75" customHeight="1" x14ac:dyDescent="0.3">
      <c r="A478" s="36"/>
      <c r="B478" s="29"/>
      <c r="C478" s="36" t="s">
        <v>1328</v>
      </c>
      <c r="D478" s="29"/>
      <c r="E478" s="29"/>
      <c r="F478" s="29"/>
      <c r="G478" s="94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1"/>
      <c r="N478" s="451"/>
      <c r="O478" s="452"/>
      <c r="P478" s="452"/>
      <c r="Q478" s="452"/>
      <c r="R478" s="452"/>
      <c r="S478" s="452"/>
      <c r="T478" s="158"/>
    </row>
    <row r="479" spans="1:20" ht="12.75" customHeight="1" x14ac:dyDescent="0.3">
      <c r="A479" s="36"/>
      <c r="B479" s="29"/>
      <c r="C479" s="36" t="s">
        <v>1274</v>
      </c>
      <c r="D479" s="29"/>
      <c r="E479" s="29"/>
      <c r="F479" s="29"/>
      <c r="G479" s="94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1"/>
      <c r="N479" s="451"/>
      <c r="O479" s="452"/>
      <c r="P479" s="452"/>
      <c r="Q479" s="452"/>
      <c r="R479" s="452"/>
      <c r="S479" s="452"/>
      <c r="T479" s="158"/>
    </row>
    <row r="480" spans="1:20" ht="12.75" customHeight="1" x14ac:dyDescent="0.3">
      <c r="A480" s="36"/>
      <c r="B480" s="36" t="s">
        <v>781</v>
      </c>
      <c r="C480" s="95"/>
      <c r="D480" s="29"/>
      <c r="E480" s="29"/>
      <c r="F480" s="29"/>
      <c r="G480" s="94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1"/>
      <c r="N480" s="451"/>
      <c r="O480" s="452"/>
      <c r="P480" s="452"/>
      <c r="Q480" s="452"/>
      <c r="R480" s="452"/>
      <c r="S480" s="452"/>
      <c r="T480" s="158"/>
    </row>
    <row r="481" spans="1:20" ht="12.75" customHeight="1" x14ac:dyDescent="0.3">
      <c r="A481" s="36"/>
      <c r="B481" s="36" t="s">
        <v>516</v>
      </c>
      <c r="C481" s="95"/>
      <c r="D481" s="29"/>
      <c r="E481" s="29"/>
      <c r="F481" s="29"/>
      <c r="G481" s="94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1"/>
      <c r="N481" s="451"/>
      <c r="O481" s="452"/>
      <c r="P481" s="452"/>
      <c r="Q481" s="452"/>
      <c r="R481" s="452"/>
      <c r="S481" s="452"/>
      <c r="T481" s="158"/>
    </row>
    <row r="482" spans="1:20" ht="12.75" customHeight="1" x14ac:dyDescent="0.3">
      <c r="A482" s="36"/>
      <c r="B482" s="36" t="s">
        <v>1102</v>
      </c>
      <c r="C482" s="95"/>
      <c r="D482" s="29"/>
      <c r="E482" s="29"/>
      <c r="F482" s="29"/>
      <c r="G482" s="94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1"/>
      <c r="N482" s="451"/>
      <c r="O482" s="452"/>
      <c r="P482" s="452"/>
      <c r="Q482" s="452"/>
      <c r="R482" s="452"/>
      <c r="S482" s="452"/>
      <c r="T482" s="158"/>
    </row>
    <row r="483" spans="1:20" ht="12.75" customHeight="1" x14ac:dyDescent="0.3">
      <c r="A483" s="36"/>
      <c r="B483" s="29"/>
      <c r="C483" s="36" t="s">
        <v>1233</v>
      </c>
      <c r="D483" s="29"/>
      <c r="E483" s="29"/>
      <c r="F483" s="29"/>
      <c r="G483" s="94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1"/>
      <c r="N483" s="451"/>
      <c r="O483" s="452"/>
      <c r="P483" s="452"/>
      <c r="Q483" s="452"/>
      <c r="R483" s="452"/>
      <c r="S483" s="452"/>
      <c r="T483" s="158"/>
    </row>
    <row r="484" spans="1:20" ht="12.75" customHeight="1" x14ac:dyDescent="0.3">
      <c r="A484" s="36"/>
      <c r="B484" s="29"/>
      <c r="C484" s="36" t="s">
        <v>1273</v>
      </c>
      <c r="D484" s="29"/>
      <c r="E484" s="29"/>
      <c r="F484" s="29"/>
      <c r="G484" s="94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1"/>
      <c r="N484" s="451"/>
      <c r="O484" s="452"/>
      <c r="P484" s="452"/>
      <c r="Q484" s="452"/>
      <c r="R484" s="452"/>
      <c r="S484" s="452"/>
      <c r="T484" s="158"/>
    </row>
    <row r="485" spans="1:20" ht="12.75" customHeight="1" x14ac:dyDescent="0.3">
      <c r="A485" s="36"/>
      <c r="B485" s="36" t="s">
        <v>785</v>
      </c>
      <c r="C485" s="95"/>
      <c r="D485" s="29"/>
      <c r="E485" s="29"/>
      <c r="F485" s="29"/>
      <c r="G485" s="94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1"/>
      <c r="N485" s="451"/>
      <c r="O485" s="452"/>
      <c r="P485" s="452"/>
      <c r="Q485" s="452"/>
      <c r="R485" s="452"/>
      <c r="S485" s="452"/>
      <c r="T485" s="158"/>
    </row>
    <row r="486" spans="1:20" ht="12.75" customHeight="1" x14ac:dyDescent="0.3">
      <c r="A486" s="36"/>
      <c r="B486" s="36" t="s">
        <v>517</v>
      </c>
      <c r="C486" s="95"/>
      <c r="D486" s="29"/>
      <c r="E486" s="29"/>
      <c r="F486" s="29"/>
      <c r="G486" s="94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1"/>
      <c r="N486" s="451"/>
      <c r="O486" s="452"/>
      <c r="P486" s="452"/>
      <c r="Q486" s="452"/>
      <c r="R486" s="452"/>
      <c r="S486" s="452"/>
      <c r="T486" s="158"/>
    </row>
    <row r="487" spans="1:20" ht="12.75" customHeight="1" x14ac:dyDescent="0.3">
      <c r="A487" s="36"/>
      <c r="B487" s="36" t="s">
        <v>933</v>
      </c>
      <c r="C487" s="95"/>
      <c r="D487" s="29"/>
      <c r="E487" s="29"/>
      <c r="F487" s="29"/>
      <c r="G487" s="94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1"/>
      <c r="N487" s="451"/>
      <c r="O487" s="452"/>
      <c r="P487" s="452"/>
      <c r="Q487" s="452"/>
      <c r="R487" s="452"/>
      <c r="S487" s="452"/>
      <c r="T487" s="158"/>
    </row>
    <row r="488" spans="1:20" ht="12.75" customHeight="1" x14ac:dyDescent="0.3">
      <c r="A488" s="36"/>
      <c r="B488" s="29"/>
      <c r="C488" s="36" t="s">
        <v>1065</v>
      </c>
      <c r="D488" s="29"/>
      <c r="E488" s="29"/>
      <c r="F488" s="29"/>
      <c r="G488" s="94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1"/>
      <c r="N488" s="451"/>
      <c r="O488" s="452"/>
      <c r="P488" s="452"/>
      <c r="Q488" s="452"/>
      <c r="R488" s="452"/>
      <c r="S488" s="452"/>
      <c r="T488" s="158"/>
    </row>
    <row r="489" spans="1:20" ht="12.75" customHeight="1" x14ac:dyDescent="0.3">
      <c r="A489" s="36"/>
      <c r="B489" s="29"/>
      <c r="C489" s="36" t="s">
        <v>1405</v>
      </c>
      <c r="D489" s="29"/>
      <c r="E489" s="29"/>
      <c r="F489" s="29"/>
      <c r="G489" s="94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1"/>
      <c r="N489" s="451"/>
      <c r="O489" s="452"/>
      <c r="P489" s="452"/>
      <c r="Q489" s="452"/>
      <c r="R489" s="452"/>
      <c r="S489" s="452"/>
      <c r="T489" s="158"/>
    </row>
    <row r="490" spans="1:20" ht="12.75" customHeight="1" x14ac:dyDescent="0.3">
      <c r="A490" s="36"/>
      <c r="B490" s="29"/>
      <c r="C490" s="36"/>
      <c r="D490" s="29"/>
      <c r="E490" s="29"/>
      <c r="F490" s="29"/>
      <c r="G490" s="29"/>
      <c r="H490" s="29"/>
      <c r="I490" s="457"/>
      <c r="J490" s="339"/>
      <c r="K490" s="339"/>
      <c r="L490" s="339"/>
      <c r="M490" s="339"/>
      <c r="N490" s="339"/>
      <c r="O490" s="282"/>
      <c r="P490" s="282"/>
      <c r="Q490" s="282"/>
      <c r="R490" s="282"/>
      <c r="S490" s="282"/>
      <c r="T490" s="158"/>
    </row>
    <row r="491" spans="1:20" ht="12.75" customHeight="1" x14ac:dyDescent="0.3">
      <c r="A491" s="98" t="s">
        <v>1311</v>
      </c>
      <c r="B491" s="97"/>
      <c r="C491" s="97"/>
      <c r="D491" s="97"/>
      <c r="E491" s="97"/>
      <c r="F491" s="97"/>
      <c r="G491" s="97"/>
      <c r="H491" s="97"/>
      <c r="I491" s="340" t="s">
        <v>754</v>
      </c>
      <c r="J491" s="364"/>
      <c r="K491" s="364"/>
      <c r="L491" s="364" t="s">
        <v>754</v>
      </c>
      <c r="M491" s="364" t="s">
        <v>754</v>
      </c>
      <c r="N491" s="364"/>
      <c r="O491" s="470"/>
      <c r="P491" s="470"/>
      <c r="Q491" s="470"/>
      <c r="R491" s="470"/>
      <c r="S491" s="470"/>
      <c r="T491" s="158"/>
    </row>
    <row r="492" spans="1:20" ht="12.75" customHeight="1" x14ac:dyDescent="0.3">
      <c r="A492" s="29"/>
      <c r="B492" s="29"/>
      <c r="C492" s="29"/>
      <c r="D492" s="29"/>
      <c r="E492" s="29"/>
      <c r="F492" s="29"/>
      <c r="G492" s="29"/>
      <c r="H492" s="29"/>
      <c r="I492" s="342"/>
      <c r="J492" s="339"/>
      <c r="K492" s="339"/>
      <c r="L492" s="339"/>
      <c r="M492" s="339"/>
      <c r="N492" s="339"/>
      <c r="O492" s="282"/>
      <c r="P492" s="282"/>
      <c r="Q492" s="282"/>
      <c r="R492" s="282"/>
      <c r="S492" s="282"/>
      <c r="T492" s="158"/>
    </row>
    <row r="493" spans="1:20" ht="12.75" customHeight="1" x14ac:dyDescent="0.3">
      <c r="A493" s="36" t="s">
        <v>298</v>
      </c>
      <c r="B493" s="29"/>
      <c r="C493" s="29"/>
      <c r="D493" s="29"/>
      <c r="E493" s="29"/>
      <c r="F493" s="29"/>
      <c r="G493" s="36" t="s">
        <v>348</v>
      </c>
      <c r="H493" s="36" t="s">
        <v>2308</v>
      </c>
      <c r="I493" s="522">
        <f>continental!I114</f>
        <v>0</v>
      </c>
      <c r="J493" s="451"/>
      <c r="K493" s="451"/>
      <c r="L493" s="451"/>
      <c r="M493" s="451"/>
      <c r="N493" s="451">
        <f>((DRYDEPaerosol.C+AerosolWashout.C+GasWashout.C+GASABS.aC.wC)/HEIGHT.aC)*AREAFRAC.w0C</f>
        <v>8.8983611508293877E-6</v>
      </c>
      <c r="O493" s="451">
        <f>((DRYDEPaerosol.C+AerosolWashout.C+GasWashout.C+GASABS.aC.wC)/HEIGHT.aC)*AREAFRAC.w0C</f>
        <v>8.8983611508293877E-6</v>
      </c>
      <c r="P493" s="451">
        <f>((DRYDEPaerosol.C+AerosolWashout.C+GasWashout.C+GASABS.aC.wC)/HEIGHT.aC)*AREAFRAC.w0C</f>
        <v>8.8983611508293877E-6</v>
      </c>
      <c r="Q493" s="451">
        <f>((DRYDEPaerosol.C+AerosolWashout.C+GasWashout.C+GASABS.aC.wC)/HEIGHT.aC)*AREAFRAC.w0C</f>
        <v>8.8983611508293877E-6</v>
      </c>
      <c r="R493" s="451">
        <f>((DRYDEPaerosol.C+AerosolWashout.C+GasWashout.C+GASABS.aC.wC)/HEIGHT.aC)*AREAFRAC.w0C</f>
        <v>8.8983611508293877E-6</v>
      </c>
      <c r="S493" s="452"/>
      <c r="T493" s="158"/>
    </row>
    <row r="494" spans="1:20" ht="12.75" customHeight="1" x14ac:dyDescent="0.3">
      <c r="A494" s="36" t="s">
        <v>66</v>
      </c>
      <c r="B494" s="29"/>
      <c r="C494" s="29"/>
      <c r="D494" s="29"/>
      <c r="E494" s="29"/>
      <c r="F494" s="29"/>
      <c r="G494" s="36" t="s">
        <v>264</v>
      </c>
      <c r="H494" s="36" t="s">
        <v>2308</v>
      </c>
      <c r="I494" s="522">
        <f>continental!I115</f>
        <v>0</v>
      </c>
      <c r="J494" s="451"/>
      <c r="K494" s="451"/>
      <c r="L494" s="451"/>
      <c r="M494" s="451"/>
      <c r="N494" s="451">
        <f>((DRYDEPaerosol.C+AerosolWashout.C+GasWashout.C+GASABS.aC.wC)/HEIGHT.aC)*AREAFRAC.w1C</f>
        <v>9.7881972659123254E-5</v>
      </c>
      <c r="O494" s="451">
        <f>((DRYDEPaerosol.C+AerosolWashout.C+GasWashout.C+GASABS.aC.wC)/HEIGHT.aC)*AREAFRAC.w1C</f>
        <v>9.7881972659123254E-5</v>
      </c>
      <c r="P494" s="451">
        <f>((DRYDEPaerosol.C+AerosolWashout.C+GasWashout.C+GASABS.aC.wC)/HEIGHT.aC)*AREAFRAC.w1C</f>
        <v>9.7881972659123254E-5</v>
      </c>
      <c r="Q494" s="451">
        <f>((DRYDEPaerosol.C+AerosolWashout.C+GasWashout.C+GASABS.aC.wC)/HEIGHT.aC)*AREAFRAC.w1C</f>
        <v>9.7881972659123254E-5</v>
      </c>
      <c r="R494" s="451">
        <f>((DRYDEPaerosol.C+AerosolWashout.C+GasWashout.C+GASABS.aC.wC)/HEIGHT.aC)*AREAFRAC.w1C</f>
        <v>9.7881972659123254E-5</v>
      </c>
      <c r="S494" s="452"/>
      <c r="T494" s="158"/>
    </row>
    <row r="495" spans="1:20" ht="12.75" customHeight="1" x14ac:dyDescent="0.3">
      <c r="A495" s="36" t="s">
        <v>67</v>
      </c>
      <c r="B495" s="29"/>
      <c r="C495" s="29"/>
      <c r="D495" s="29"/>
      <c r="E495" s="29"/>
      <c r="F495" s="29"/>
      <c r="G495" s="36" t="s">
        <v>265</v>
      </c>
      <c r="H495" s="36" t="s">
        <v>2308</v>
      </c>
      <c r="I495" s="522">
        <f>continental!I116</f>
        <v>0</v>
      </c>
      <c r="J495" s="451"/>
      <c r="K495" s="451"/>
      <c r="L495" s="451"/>
      <c r="M495" s="451"/>
      <c r="N495" s="451">
        <f>((DRYDEPaerosol.C+AerosolWashout.C+GasWashout.C+GASABS.aC.wC)/HEIGHT.aC)*AREAFRAC.w2C</f>
        <v>3.7917131344067834E-3</v>
      </c>
      <c r="O495" s="451">
        <f>((DRYDEPaerosol.C+AerosolWashout.C+GasWashout.C+GASABS.aC.wC)/HEIGHT.aC)*AREAFRAC.w2C</f>
        <v>3.7917131344067834E-3</v>
      </c>
      <c r="P495" s="451">
        <f>((DRYDEPaerosol.C+AerosolWashout.C+GasWashout.C+GASABS.aC.wC)/HEIGHT.aC)*AREAFRAC.w2C</f>
        <v>3.7917131344067834E-3</v>
      </c>
      <c r="Q495" s="451">
        <f>((DRYDEPaerosol.C+AerosolWashout.C+GasWashout.C+GASABS.aC.wC)/HEIGHT.aC)*AREAFRAC.w2C</f>
        <v>3.7917131344067834E-3</v>
      </c>
      <c r="R495" s="451">
        <f>((DRYDEPaerosol.C+AerosolWashout.C+GasWashout.C+GASABS.aC.wC)/HEIGHT.aC)*AREAFRAC.w2C</f>
        <v>3.7917131344067834E-3</v>
      </c>
      <c r="S495" s="452"/>
      <c r="T495" s="158"/>
    </row>
    <row r="496" spans="1:20" ht="12.75" customHeight="1" x14ac:dyDescent="0.3">
      <c r="A496" s="36" t="s">
        <v>68</v>
      </c>
      <c r="B496" s="29"/>
      <c r="C496" s="29"/>
      <c r="D496" s="29"/>
      <c r="E496" s="29"/>
      <c r="F496" s="29"/>
      <c r="G496" s="36" t="s">
        <v>266</v>
      </c>
      <c r="H496" s="36" t="s">
        <v>2308</v>
      </c>
      <c r="I496" s="522">
        <f>continental!I117</f>
        <v>0</v>
      </c>
      <c r="J496" s="451"/>
      <c r="K496" s="451"/>
      <c r="L496" s="451"/>
      <c r="M496" s="451"/>
      <c r="N496" s="451">
        <f>((DRYDEPaerosol.C+AerosolWashout.C+GasWashout.C+GASABS.aC.sC)/HEIGHT.aC)*AREAFRAC.s1C</f>
        <v>9.6066332871172879E-4</v>
      </c>
      <c r="O496" s="451">
        <f>((DRYDEPaerosol.C+AerosolWashout.C+GasWashout.C+GASABS.aC.sC)/HEIGHT.aC)*AREAFRAC.s1C</f>
        <v>9.6066332871172879E-4</v>
      </c>
      <c r="P496" s="451">
        <f>((DRYDEPaerosol.C+AerosolWashout.C+GasWashout.C+GASABS.aC.sC)/HEIGHT.aC)*AREAFRAC.s1C</f>
        <v>9.6066332871172879E-4</v>
      </c>
      <c r="Q496" s="451">
        <f>((DRYDEPaerosol.C+AerosolWashout.C+GasWashout.C+GASABS.aC.sC)/HEIGHT.aC)*AREAFRAC.s1C</f>
        <v>9.6066332871172879E-4</v>
      </c>
      <c r="R496" s="451">
        <f>((DRYDEPaerosol.C+AerosolWashout.C+GasWashout.C+GASABS.aC.sC)/HEIGHT.aC)*AREAFRAC.s1C</f>
        <v>9.6066332871172879E-4</v>
      </c>
      <c r="S496" s="452"/>
      <c r="T496" s="158"/>
    </row>
    <row r="497" spans="1:20" ht="12.75" customHeight="1" x14ac:dyDescent="0.3">
      <c r="A497" s="36" t="s">
        <v>69</v>
      </c>
      <c r="B497" s="29"/>
      <c r="C497" s="29"/>
      <c r="D497" s="29"/>
      <c r="E497" s="29"/>
      <c r="F497" s="29"/>
      <c r="G497" s="36" t="s">
        <v>816</v>
      </c>
      <c r="H497" s="36" t="s">
        <v>2308</v>
      </c>
      <c r="I497" s="522">
        <f>continental!I118</f>
        <v>0</v>
      </c>
      <c r="J497" s="451"/>
      <c r="K497" s="451"/>
      <c r="L497" s="451"/>
      <c r="M497" s="451"/>
      <c r="N497" s="451">
        <f>((DRYDEPaerosol.C+AerosolWashout.C+GasWashout.C+GASABS.aC.sC)/HEIGHT.aC)*AREAFRAC.s2C</f>
        <v>2.134807397137175E-3</v>
      </c>
      <c r="O497" s="451">
        <f>((DRYDEPaerosol.C+AerosolWashout.C+GasWashout.C+GASABS.aC.sC)/HEIGHT.aC)*AREAFRAC.s2C</f>
        <v>2.134807397137175E-3</v>
      </c>
      <c r="P497" s="451">
        <f>((DRYDEPaerosol.C+AerosolWashout.C+GasWashout.C+GASABS.aC.sC)/HEIGHT.aC)*AREAFRAC.s2C</f>
        <v>2.134807397137175E-3</v>
      </c>
      <c r="Q497" s="451">
        <f>((DRYDEPaerosol.C+AerosolWashout.C+GasWashout.C+GASABS.aC.sC)/HEIGHT.aC)*AREAFRAC.s2C</f>
        <v>2.134807397137175E-3</v>
      </c>
      <c r="R497" s="451">
        <f>((DRYDEPaerosol.C+AerosolWashout.C+GasWashout.C+GASABS.aC.sC)/HEIGHT.aC)*AREAFRAC.s2C</f>
        <v>2.134807397137175E-3</v>
      </c>
      <c r="S497" s="452"/>
      <c r="T497" s="158"/>
    </row>
    <row r="498" spans="1:20" ht="12.75" customHeight="1" x14ac:dyDescent="0.3">
      <c r="A498" s="36" t="s">
        <v>70</v>
      </c>
      <c r="B498" s="29"/>
      <c r="C498" s="29"/>
      <c r="D498" s="29"/>
      <c r="E498" s="29"/>
      <c r="F498" s="29"/>
      <c r="G498" s="36" t="s">
        <v>817</v>
      </c>
      <c r="H498" s="36" t="s">
        <v>2308</v>
      </c>
      <c r="I498" s="522">
        <f>continental!I119</f>
        <v>0</v>
      </c>
      <c r="J498" s="451"/>
      <c r="K498" s="451"/>
      <c r="L498" s="451"/>
      <c r="M498" s="451"/>
      <c r="N498" s="451">
        <f>((DRYDEPaerosol.C+AerosolWashout.C+GasWashout.C+GASABS.aC.sC)/HEIGHT.aC)*AREAFRAC.s3C</f>
        <v>3.5580123285619574E-4</v>
      </c>
      <c r="O498" s="451">
        <f>((DRYDEPaerosol.C+AerosolWashout.C+GasWashout.C+GASABS.aC.sC)/HEIGHT.aC)*AREAFRAC.s3C</f>
        <v>3.5580123285619574E-4</v>
      </c>
      <c r="P498" s="451">
        <f>((DRYDEPaerosol.C+AerosolWashout.C+GasWashout.C+GASABS.aC.sC)/HEIGHT.aC)*AREAFRAC.s3C</f>
        <v>3.5580123285619574E-4</v>
      </c>
      <c r="Q498" s="451">
        <f>((DRYDEPaerosol.C+AerosolWashout.C+GasWashout.C+GASABS.aC.sC)/HEIGHT.aC)*AREAFRAC.s3C</f>
        <v>3.5580123285619574E-4</v>
      </c>
      <c r="R498" s="451">
        <f>((DRYDEPaerosol.C+AerosolWashout.C+GasWashout.C+GASABS.aC.sC)/HEIGHT.aC)*AREAFRAC.s3C</f>
        <v>3.5580123285619574E-4</v>
      </c>
      <c r="S498" s="452"/>
      <c r="T498" s="158"/>
    </row>
    <row r="499" spans="1:20" ht="12.75" customHeight="1" x14ac:dyDescent="0.3">
      <c r="A499" s="36" t="s">
        <v>71</v>
      </c>
      <c r="B499" s="29"/>
      <c r="C499" s="29"/>
      <c r="D499" s="29"/>
      <c r="E499" s="29"/>
      <c r="F499" s="29"/>
      <c r="G499" s="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1"/>
      <c r="N499" s="451"/>
      <c r="O499" s="452"/>
      <c r="P499" s="452"/>
      <c r="Q499" s="452"/>
      <c r="R499" s="452"/>
      <c r="S499" s="452"/>
      <c r="T499" s="158"/>
    </row>
    <row r="500" spans="1:20" ht="12.75" customHeight="1" x14ac:dyDescent="0.3">
      <c r="A500" s="36" t="s">
        <v>71</v>
      </c>
      <c r="B500" s="29"/>
      <c r="C500" s="29"/>
      <c r="D500" s="29"/>
      <c r="E500" s="29"/>
      <c r="F500" s="29"/>
      <c r="G500" s="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1"/>
      <c r="N500" s="451"/>
      <c r="O500" s="452"/>
      <c r="P500" s="452"/>
      <c r="Q500" s="452"/>
      <c r="R500" s="452"/>
      <c r="S500" s="452"/>
      <c r="T500" s="158"/>
    </row>
    <row r="501" spans="1:20" ht="12.75" customHeight="1" x14ac:dyDescent="0.3">
      <c r="A501" s="36" t="s">
        <v>72</v>
      </c>
      <c r="B501" s="29"/>
      <c r="C501" s="29"/>
      <c r="D501" s="29"/>
      <c r="E501" s="29"/>
      <c r="F501" s="29"/>
      <c r="G501" s="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1"/>
      <c r="N501" s="451"/>
      <c r="O501" s="452"/>
      <c r="P501" s="452"/>
      <c r="Q501" s="452"/>
      <c r="R501" s="452"/>
      <c r="S501" s="452"/>
      <c r="T501" s="158"/>
    </row>
    <row r="502" spans="1:20" ht="12.75" customHeight="1" x14ac:dyDescent="0.3">
      <c r="A502" s="36" t="s">
        <v>73</v>
      </c>
      <c r="B502" s="29"/>
      <c r="C502" s="29"/>
      <c r="D502" s="29"/>
      <c r="E502" s="29"/>
      <c r="F502" s="29"/>
      <c r="G502" s="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1"/>
      <c r="N502" s="451"/>
      <c r="O502" s="452"/>
      <c r="P502" s="452"/>
      <c r="Q502" s="452"/>
      <c r="R502" s="452"/>
      <c r="S502" s="452"/>
      <c r="T502" s="158"/>
    </row>
    <row r="503" spans="1:20" ht="12.75" customHeight="1" x14ac:dyDescent="0.3">
      <c r="A503" s="36" t="s">
        <v>74</v>
      </c>
      <c r="B503" s="29"/>
      <c r="C503" s="29"/>
      <c r="D503" s="29"/>
      <c r="E503" s="29"/>
      <c r="F503" s="29"/>
      <c r="G503" s="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1"/>
      <c r="N503" s="451"/>
      <c r="O503" s="452"/>
      <c r="P503" s="452"/>
      <c r="Q503" s="452"/>
      <c r="R503" s="452"/>
      <c r="S503" s="452"/>
      <c r="T503" s="158"/>
    </row>
    <row r="504" spans="1:20" ht="12.75" customHeight="1" x14ac:dyDescent="0.3">
      <c r="A504" s="36" t="s">
        <v>75</v>
      </c>
      <c r="B504" s="29"/>
      <c r="C504" s="29"/>
      <c r="D504" s="29"/>
      <c r="E504" s="29"/>
      <c r="F504" s="29"/>
      <c r="G504" s="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1"/>
      <c r="N504" s="451"/>
      <c r="O504" s="452"/>
      <c r="P504" s="452"/>
      <c r="Q504" s="452"/>
      <c r="R504" s="452"/>
      <c r="S504" s="452"/>
      <c r="T504" s="158"/>
    </row>
    <row r="505" spans="1:20" ht="12.75" customHeight="1" x14ac:dyDescent="0.3">
      <c r="A505" s="36"/>
      <c r="B505" s="36" t="s">
        <v>3975</v>
      </c>
      <c r="C505" s="29"/>
      <c r="D505" s="29"/>
      <c r="E505" s="29"/>
      <c r="F505" s="29"/>
      <c r="G505" s="37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1"/>
      <c r="N505" s="451"/>
      <c r="O505" s="452"/>
      <c r="P505" s="452"/>
      <c r="Q505" s="452"/>
      <c r="R505" s="452"/>
      <c r="S505" s="452"/>
      <c r="T505" s="158"/>
    </row>
    <row r="506" spans="1:20" ht="12.75" customHeight="1" x14ac:dyDescent="0.3">
      <c r="A506" s="36"/>
      <c r="B506" s="36"/>
      <c r="C506" s="29" t="s">
        <v>3976</v>
      </c>
      <c r="D506" s="29"/>
      <c r="E506" s="29"/>
      <c r="F506" s="29"/>
      <c r="G506" s="37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1"/>
      <c r="N506" s="451"/>
      <c r="O506" s="452"/>
      <c r="P506" s="452"/>
      <c r="Q506" s="452"/>
      <c r="R506" s="452"/>
      <c r="S506" s="452"/>
      <c r="T506" s="158"/>
    </row>
    <row r="507" spans="1:20" ht="12.75" customHeight="1" x14ac:dyDescent="0.3">
      <c r="A507" s="36"/>
      <c r="B507" s="36"/>
      <c r="C507" s="36"/>
      <c r="D507" s="36" t="s">
        <v>3977</v>
      </c>
      <c r="E507" s="29"/>
      <c r="F507" s="29"/>
      <c r="G507" s="37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1"/>
      <c r="N507" s="451"/>
      <c r="O507" s="452"/>
      <c r="P507" s="452"/>
      <c r="Q507" s="452"/>
      <c r="R507" s="452"/>
      <c r="S507" s="452"/>
      <c r="T507" s="158"/>
    </row>
    <row r="508" spans="1:20" ht="12.75" customHeight="1" x14ac:dyDescent="0.3">
      <c r="A508" s="36"/>
      <c r="B508" s="36"/>
      <c r="C508" s="36"/>
      <c r="D508" s="36" t="s">
        <v>3978</v>
      </c>
      <c r="E508" s="29"/>
      <c r="F508" s="29"/>
      <c r="G508" s="37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1"/>
      <c r="N508" s="451"/>
      <c r="O508" s="452"/>
      <c r="P508" s="452"/>
      <c r="Q508" s="452"/>
      <c r="R508" s="452"/>
      <c r="S508" s="452"/>
      <c r="T508" s="158"/>
    </row>
    <row r="509" spans="1:20" ht="12.75" customHeight="1" x14ac:dyDescent="0.3">
      <c r="A509" s="36"/>
      <c r="B509" s="29" t="s">
        <v>929</v>
      </c>
      <c r="C509" s="29"/>
      <c r="D509" s="29"/>
      <c r="E509" s="29"/>
      <c r="F509" s="29"/>
      <c r="G509" s="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1"/>
      <c r="N509" s="451"/>
      <c r="O509" s="452"/>
      <c r="P509" s="452"/>
      <c r="Q509" s="452"/>
      <c r="R509" s="452"/>
      <c r="S509" s="452"/>
      <c r="T509" s="158"/>
    </row>
    <row r="510" spans="1:20" ht="12.75" customHeight="1" x14ac:dyDescent="0.3">
      <c r="A510" s="36"/>
      <c r="B510" s="29" t="s">
        <v>931</v>
      </c>
      <c r="C510" s="29"/>
      <c r="D510" s="29"/>
      <c r="E510" s="29"/>
      <c r="F510" s="29"/>
      <c r="G510" s="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1"/>
      <c r="N510" s="451"/>
      <c r="O510" s="452"/>
      <c r="P510" s="452"/>
      <c r="Q510" s="452"/>
      <c r="R510" s="452"/>
      <c r="S510" s="452"/>
      <c r="T510" s="158"/>
    </row>
    <row r="511" spans="1:20" ht="12.75" customHeight="1" x14ac:dyDescent="0.3">
      <c r="A511" s="36"/>
      <c r="B511" s="36" t="s">
        <v>493</v>
      </c>
      <c r="C511" s="29"/>
      <c r="D511" s="29"/>
      <c r="E511" s="29"/>
      <c r="F511" s="29"/>
      <c r="G511" s="94" t="s">
        <v>459</v>
      </c>
      <c r="H511" s="95" t="s">
        <v>2322</v>
      </c>
      <c r="I511" s="522">
        <f>continental!I132</f>
        <v>0</v>
      </c>
      <c r="J511" s="451"/>
      <c r="K511" s="451"/>
      <c r="L511" s="451"/>
      <c r="M511" s="451"/>
      <c r="N511" s="451">
        <f>AEROSOLdeprate.C*FRaers.aC</f>
        <v>2.352999540191509E-5</v>
      </c>
      <c r="O511" s="452">
        <f>AEROSOLdeprate.C*FRaers.aC</f>
        <v>2.352999540191509E-5</v>
      </c>
      <c r="P511" s="452">
        <f>AEROSOLdeprate.C*FRaers.aC</f>
        <v>2.352999540191509E-5</v>
      </c>
      <c r="Q511" s="452">
        <f>AEROSOLdeprate.C*FRaers.aC</f>
        <v>2.352999540191509E-5</v>
      </c>
      <c r="R511" s="452">
        <f>AEROSOLdeprate.C*FRaers.aC</f>
        <v>2.352999540191509E-5</v>
      </c>
      <c r="S511" s="452"/>
      <c r="T511" s="158"/>
    </row>
    <row r="512" spans="1:20" ht="12.75" customHeight="1" x14ac:dyDescent="0.3">
      <c r="A512" s="36"/>
      <c r="B512" s="36" t="s">
        <v>745</v>
      </c>
      <c r="C512" s="29"/>
      <c r="D512" s="29"/>
      <c r="E512" s="29"/>
      <c r="F512" s="29"/>
      <c r="G512" s="37" t="s">
        <v>1291</v>
      </c>
      <c r="H512" s="95" t="s">
        <v>2322</v>
      </c>
      <c r="I512" s="522">
        <f>continental!I133</f>
        <v>0</v>
      </c>
      <c r="J512" s="451"/>
      <c r="K512" s="451"/>
      <c r="L512" s="451"/>
      <c r="M512" s="451"/>
      <c r="N512" s="451">
        <f t="shared" ref="N512:R512" si="11">(1-FRgas.aC)*COLLECTeff.C*RAINrate.C</f>
        <v>1.0622130094040873E-4</v>
      </c>
      <c r="O512" s="452">
        <f t="shared" si="11"/>
        <v>1.0622130094040873E-4</v>
      </c>
      <c r="P512" s="452">
        <f t="shared" si="11"/>
        <v>1.0622130094040873E-4</v>
      </c>
      <c r="Q512" s="452">
        <f t="shared" si="11"/>
        <v>1.0622130094040873E-4</v>
      </c>
      <c r="R512" s="452">
        <f t="shared" si="11"/>
        <v>1.0622130094040873E-4</v>
      </c>
      <c r="S512" s="452"/>
      <c r="T512" s="158"/>
    </row>
    <row r="513" spans="1:20" ht="12.75" customHeight="1" x14ac:dyDescent="0.3">
      <c r="A513" s="36"/>
      <c r="B513" s="36" t="s">
        <v>746</v>
      </c>
      <c r="C513" s="29"/>
      <c r="D513" s="29"/>
      <c r="E513" s="29"/>
      <c r="F513" s="29"/>
      <c r="G513" s="37" t="s">
        <v>934</v>
      </c>
      <c r="H513" s="95" t="s">
        <v>2322</v>
      </c>
      <c r="I513" s="522">
        <f>continental!I134</f>
        <v>0</v>
      </c>
      <c r="J513" s="451"/>
      <c r="K513" s="451"/>
      <c r="L513" s="451"/>
      <c r="M513" s="451"/>
      <c r="N513" s="451">
        <f t="shared" ref="N513:R513" si="12">FRgas.aC*RAINrate.C/Kaw.C</f>
        <v>0.44073100068471405</v>
      </c>
      <c r="O513" s="452">
        <f t="shared" si="12"/>
        <v>0.44073100068471405</v>
      </c>
      <c r="P513" s="452">
        <f t="shared" si="12"/>
        <v>0.44073100068471405</v>
      </c>
      <c r="Q513" s="452">
        <f t="shared" si="12"/>
        <v>0.44073100068471405</v>
      </c>
      <c r="R513" s="452">
        <f t="shared" si="12"/>
        <v>0.44073100068471405</v>
      </c>
      <c r="S513" s="452"/>
      <c r="T513" s="158"/>
    </row>
    <row r="514" spans="1:20" ht="12.75" customHeight="1" x14ac:dyDescent="0.3">
      <c r="A514" s="36"/>
      <c r="B514" s="29"/>
      <c r="C514" s="95" t="s">
        <v>747</v>
      </c>
      <c r="D514" s="95"/>
      <c r="E514" s="95"/>
      <c r="F514" s="95"/>
      <c r="G514" s="94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1"/>
      <c r="N514" s="451"/>
      <c r="O514" s="452"/>
      <c r="P514" s="452"/>
      <c r="Q514" s="452"/>
      <c r="R514" s="452"/>
      <c r="S514" s="452"/>
      <c r="T514" s="158"/>
    </row>
    <row r="515" spans="1:20" ht="12.75" customHeight="1" x14ac:dyDescent="0.3">
      <c r="A515" s="36"/>
      <c r="B515" s="29"/>
      <c r="C515" s="36" t="s">
        <v>444</v>
      </c>
      <c r="D515" s="29"/>
      <c r="E515" s="29"/>
      <c r="F515" s="29"/>
      <c r="G515" s="94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1"/>
      <c r="N515" s="451"/>
      <c r="O515" s="452"/>
      <c r="P515" s="452"/>
      <c r="Q515" s="452"/>
      <c r="R515" s="452"/>
      <c r="S515" s="452"/>
      <c r="T515" s="158"/>
    </row>
    <row r="516" spans="1:20" ht="12.75" customHeight="1" x14ac:dyDescent="0.3">
      <c r="A516" s="36"/>
      <c r="B516" s="36" t="s">
        <v>2218</v>
      </c>
      <c r="C516" s="29"/>
      <c r="D516" s="29"/>
      <c r="E516" s="95"/>
      <c r="F516" s="95"/>
      <c r="G516" s="37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1"/>
      <c r="N516" s="451"/>
      <c r="O516" s="452"/>
      <c r="P516" s="452"/>
      <c r="Q516" s="452"/>
      <c r="R516" s="452"/>
      <c r="S516" s="452"/>
      <c r="T516" s="158"/>
    </row>
    <row r="517" spans="1:20" ht="12.75" customHeight="1" x14ac:dyDescent="0.3">
      <c r="A517" s="36"/>
      <c r="B517" s="36" t="s">
        <v>2219</v>
      </c>
      <c r="C517" s="29"/>
      <c r="D517" s="29"/>
      <c r="E517" s="95"/>
      <c r="F517" s="95"/>
      <c r="G517" s="37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1"/>
      <c r="N517" s="451"/>
      <c r="O517" s="452"/>
      <c r="P517" s="452"/>
      <c r="Q517" s="452"/>
      <c r="R517" s="452"/>
      <c r="S517" s="452"/>
      <c r="T517" s="158"/>
    </row>
    <row r="518" spans="1:20" ht="12.75" customHeight="1" x14ac:dyDescent="0.3">
      <c r="A518" s="36"/>
      <c r="B518" s="36" t="s">
        <v>2212</v>
      </c>
      <c r="C518" s="29"/>
      <c r="D518" s="29"/>
      <c r="E518" s="95"/>
      <c r="F518" s="95"/>
      <c r="G518" s="37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1"/>
      <c r="N518" s="451"/>
      <c r="O518" s="452"/>
      <c r="P518" s="452"/>
      <c r="Q518" s="452"/>
      <c r="R518" s="452"/>
      <c r="S518" s="452"/>
      <c r="T518" s="158"/>
    </row>
    <row r="519" spans="1:20" ht="12.75" customHeight="1" x14ac:dyDescent="0.3">
      <c r="A519" s="36"/>
      <c r="B519" s="36" t="s">
        <v>2213</v>
      </c>
      <c r="C519" s="29"/>
      <c r="D519" s="29"/>
      <c r="E519" s="95"/>
      <c r="F519" s="95"/>
      <c r="G519" s="37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1"/>
      <c r="N519" s="451"/>
      <c r="O519" s="452"/>
      <c r="P519" s="452"/>
      <c r="Q519" s="452"/>
      <c r="R519" s="452"/>
      <c r="S519" s="452"/>
      <c r="T519" s="158"/>
    </row>
    <row r="520" spans="1:20" ht="12.75" customHeight="1" x14ac:dyDescent="0.3">
      <c r="A520" s="36"/>
      <c r="B520" s="36" t="s">
        <v>2214</v>
      </c>
      <c r="C520" s="29"/>
      <c r="D520" s="29"/>
      <c r="E520" s="29"/>
      <c r="F520" s="29"/>
      <c r="G520" s="37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1"/>
      <c r="N520" s="451"/>
      <c r="O520" s="452"/>
      <c r="P520" s="452"/>
      <c r="Q520" s="452"/>
      <c r="R520" s="452"/>
      <c r="S520" s="452"/>
      <c r="T520" s="158"/>
    </row>
    <row r="521" spans="1:20" ht="12.75" customHeight="1" x14ac:dyDescent="0.3">
      <c r="A521" s="36"/>
      <c r="B521" s="36"/>
      <c r="C521" s="29" t="s">
        <v>1077</v>
      </c>
      <c r="D521" s="29"/>
      <c r="E521" s="95"/>
      <c r="F521" s="95"/>
      <c r="G521" s="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1"/>
      <c r="N521" s="451"/>
      <c r="O521" s="452"/>
      <c r="P521" s="452"/>
      <c r="Q521" s="452"/>
      <c r="R521" s="452"/>
      <c r="S521" s="452"/>
      <c r="T521" s="158"/>
    </row>
    <row r="522" spans="1:20" ht="12.75" customHeight="1" x14ac:dyDescent="0.3">
      <c r="A522" s="36"/>
      <c r="B522" s="36"/>
      <c r="C522" s="29" t="s">
        <v>1048</v>
      </c>
      <c r="D522" s="29"/>
      <c r="E522" s="95"/>
      <c r="F522" s="95"/>
      <c r="G522" s="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1"/>
      <c r="N522" s="451"/>
      <c r="O522" s="452"/>
      <c r="P522" s="452"/>
      <c r="Q522" s="452"/>
      <c r="R522" s="452"/>
      <c r="S522" s="452"/>
      <c r="T522" s="158"/>
    </row>
    <row r="523" spans="1:20" ht="12.75" customHeight="1" x14ac:dyDescent="0.3">
      <c r="A523" s="36"/>
      <c r="B523" s="36" t="s">
        <v>2215</v>
      </c>
      <c r="C523" s="29"/>
      <c r="D523" s="29"/>
      <c r="E523" s="95"/>
      <c r="F523" s="95"/>
      <c r="G523" s="37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1"/>
      <c r="N523" s="451"/>
      <c r="O523" s="452"/>
      <c r="P523" s="452"/>
      <c r="Q523" s="452"/>
      <c r="R523" s="452"/>
      <c r="S523" s="452"/>
      <c r="T523" s="158"/>
    </row>
    <row r="524" spans="1:20" ht="12.75" customHeight="1" x14ac:dyDescent="0.3">
      <c r="A524" s="36"/>
      <c r="B524" s="36" t="s">
        <v>2216</v>
      </c>
      <c r="C524" s="29"/>
      <c r="D524" s="29"/>
      <c r="E524" s="95"/>
      <c r="F524" s="95"/>
      <c r="G524" s="37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1"/>
      <c r="N524" s="451"/>
      <c r="O524" s="452"/>
      <c r="P524" s="452"/>
      <c r="Q524" s="452"/>
      <c r="R524" s="452"/>
      <c r="S524" s="452"/>
      <c r="T524" s="158"/>
    </row>
    <row r="525" spans="1:20" ht="12.75" customHeight="1" x14ac:dyDescent="0.3">
      <c r="A525" s="36"/>
      <c r="B525" s="36" t="s">
        <v>2217</v>
      </c>
      <c r="C525" s="29"/>
      <c r="D525" s="29"/>
      <c r="E525" s="95"/>
      <c r="F525" s="95"/>
      <c r="G525" s="37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1"/>
      <c r="N525" s="451"/>
      <c r="O525" s="452"/>
      <c r="P525" s="452"/>
      <c r="Q525" s="452"/>
      <c r="R525" s="452"/>
      <c r="S525" s="452"/>
      <c r="T525" s="158"/>
    </row>
    <row r="526" spans="1:20" ht="12.75" customHeight="1" x14ac:dyDescent="0.3">
      <c r="A526" s="36"/>
      <c r="B526" s="36"/>
      <c r="C526" s="29" t="s">
        <v>1049</v>
      </c>
      <c r="D526" s="29"/>
      <c r="E526" s="95"/>
      <c r="F526" s="95"/>
      <c r="G526" s="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1"/>
      <c r="N526" s="451"/>
      <c r="O526" s="452"/>
      <c r="P526" s="452"/>
      <c r="Q526" s="452"/>
      <c r="R526" s="452"/>
      <c r="S526" s="452"/>
      <c r="T526" s="158"/>
    </row>
    <row r="527" spans="1:20" ht="12.75" customHeight="1" x14ac:dyDescent="0.3">
      <c r="A527" s="36"/>
      <c r="B527" s="36"/>
      <c r="C527" s="29" t="s">
        <v>872</v>
      </c>
      <c r="D527" s="29"/>
      <c r="E527" s="29"/>
      <c r="F527" s="95"/>
      <c r="G527" s="29" t="s">
        <v>3991</v>
      </c>
      <c r="H527" s="95" t="s">
        <v>2322</v>
      </c>
      <c r="I527" s="522">
        <f>continental!I148</f>
        <v>0</v>
      </c>
      <c r="J527" s="451"/>
      <c r="K527" s="451"/>
      <c r="L527" s="451"/>
      <c r="M527" s="451"/>
      <c r="N527" s="451">
        <v>1.1468924229780271E-8</v>
      </c>
      <c r="O527" s="452">
        <v>1.1468924229780271E-8</v>
      </c>
      <c r="P527" s="452">
        <v>1.1468924229780271E-8</v>
      </c>
      <c r="Q527" s="452">
        <v>1.1468924229780271E-8</v>
      </c>
      <c r="R527" s="452"/>
      <c r="S527" s="452">
        <v>1.1468924229780271E-8</v>
      </c>
      <c r="T527" s="158"/>
    </row>
    <row r="528" spans="1:20" ht="12.75" customHeight="1" x14ac:dyDescent="0.3">
      <c r="A528" s="36"/>
      <c r="B528" s="36"/>
      <c r="C528" s="29" t="s">
        <v>185</v>
      </c>
      <c r="D528" s="29"/>
      <c r="E528" s="95"/>
      <c r="F528" s="95"/>
      <c r="G528" s="37" t="s">
        <v>1473</v>
      </c>
      <c r="H528" s="29" t="s">
        <v>36</v>
      </c>
      <c r="I528" s="522">
        <f>continental!I149</f>
        <v>0</v>
      </c>
      <c r="J528" s="451"/>
      <c r="K528" s="451"/>
      <c r="L528" s="451"/>
      <c r="M528" s="451"/>
      <c r="N528" s="451">
        <v>1</v>
      </c>
      <c r="O528" s="452">
        <v>1</v>
      </c>
      <c r="P528" s="452">
        <v>1</v>
      </c>
      <c r="Q528" s="452">
        <v>1</v>
      </c>
      <c r="R528" s="452"/>
      <c r="S528" s="452">
        <v>1</v>
      </c>
      <c r="T528" s="158"/>
    </row>
    <row r="529" spans="1:20" ht="12.75" customHeight="1" x14ac:dyDescent="0.3">
      <c r="A529" s="36"/>
      <c r="B529" s="36"/>
      <c r="C529" s="29" t="s">
        <v>185</v>
      </c>
      <c r="D529" s="29"/>
      <c r="E529" s="95"/>
      <c r="F529" s="95"/>
      <c r="G529" s="37" t="s">
        <v>1474</v>
      </c>
      <c r="H529" s="29" t="s">
        <v>36</v>
      </c>
      <c r="I529" s="522">
        <f>continental!I150</f>
        <v>0</v>
      </c>
      <c r="J529" s="451"/>
      <c r="K529" s="451"/>
      <c r="L529" s="451"/>
      <c r="M529" s="451"/>
      <c r="N529" s="451">
        <v>1</v>
      </c>
      <c r="O529" s="452">
        <v>1</v>
      </c>
      <c r="P529" s="452">
        <v>1</v>
      </c>
      <c r="Q529" s="452">
        <v>1</v>
      </c>
      <c r="R529" s="452"/>
      <c r="S529" s="452">
        <v>1</v>
      </c>
      <c r="T529" s="158"/>
    </row>
    <row r="530" spans="1:20" ht="12.75" customHeight="1" x14ac:dyDescent="0.3">
      <c r="A530" s="36"/>
      <c r="B530" s="36"/>
      <c r="C530" s="29" t="s">
        <v>185</v>
      </c>
      <c r="D530" s="29"/>
      <c r="E530" s="95"/>
      <c r="F530" s="95"/>
      <c r="G530" s="37" t="s">
        <v>907</v>
      </c>
      <c r="H530" s="29" t="s">
        <v>36</v>
      </c>
      <c r="I530" s="522">
        <f>continental!I151</f>
        <v>0</v>
      </c>
      <c r="J530" s="451"/>
      <c r="K530" s="451"/>
      <c r="L530" s="451"/>
      <c r="M530" s="451"/>
      <c r="N530" s="451">
        <v>1</v>
      </c>
      <c r="O530" s="452">
        <v>1</v>
      </c>
      <c r="P530" s="452">
        <v>1</v>
      </c>
      <c r="Q530" s="452">
        <v>1</v>
      </c>
      <c r="R530" s="452"/>
      <c r="S530" s="452">
        <v>1</v>
      </c>
      <c r="T530" s="158"/>
    </row>
    <row r="531" spans="1:20" ht="12.75" customHeight="1" x14ac:dyDescent="0.3">
      <c r="A531" s="36"/>
      <c r="B531" s="29"/>
      <c r="C531" s="36"/>
      <c r="D531" s="95"/>
      <c r="E531" s="95"/>
      <c r="F531" s="29"/>
      <c r="G531" s="94"/>
      <c r="H531" s="94"/>
      <c r="I531" s="525"/>
      <c r="J531" s="342"/>
      <c r="K531" s="342"/>
      <c r="L531" s="342"/>
      <c r="M531" s="342"/>
      <c r="N531" s="342"/>
      <c r="O531" s="360"/>
      <c r="P531" s="360"/>
      <c r="Q531" s="360"/>
      <c r="R531" s="360"/>
      <c r="S531" s="472"/>
      <c r="T531" s="158"/>
    </row>
    <row r="532" spans="1:20" ht="12.75" customHeight="1" x14ac:dyDescent="0.3">
      <c r="A532" s="36" t="s">
        <v>76</v>
      </c>
      <c r="B532" s="29"/>
      <c r="C532" s="29"/>
      <c r="D532" s="29"/>
      <c r="E532" s="29"/>
      <c r="F532" s="29"/>
      <c r="G532" s="37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1"/>
      <c r="N532" s="451"/>
      <c r="O532" s="452"/>
      <c r="P532" s="452"/>
      <c r="Q532" s="452"/>
      <c r="R532" s="452"/>
      <c r="S532" s="452"/>
      <c r="T532" s="158"/>
    </row>
    <row r="533" spans="1:20" ht="12.75" customHeight="1" x14ac:dyDescent="0.3">
      <c r="A533" s="36" t="s">
        <v>77</v>
      </c>
      <c r="B533" s="29"/>
      <c r="C533" s="29"/>
      <c r="D533" s="29"/>
      <c r="E533" s="29"/>
      <c r="F533" s="29"/>
      <c r="G533" s="37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1"/>
      <c r="N533" s="451"/>
      <c r="O533" s="452"/>
      <c r="P533" s="452"/>
      <c r="Q533" s="452"/>
      <c r="R533" s="452"/>
      <c r="S533" s="452"/>
      <c r="T533" s="158"/>
    </row>
    <row r="534" spans="1:20" ht="12.75" customHeight="1" x14ac:dyDescent="0.3">
      <c r="A534" s="36" t="s">
        <v>78</v>
      </c>
      <c r="B534" s="29"/>
      <c r="C534" s="29"/>
      <c r="D534" s="29"/>
      <c r="E534" s="29"/>
      <c r="F534" s="29"/>
      <c r="G534" s="37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1"/>
      <c r="N534" s="451"/>
      <c r="O534" s="452"/>
      <c r="P534" s="452"/>
      <c r="Q534" s="452"/>
      <c r="R534" s="452"/>
      <c r="S534" s="452"/>
      <c r="T534" s="158"/>
    </row>
    <row r="535" spans="1:20" ht="12.75" customHeight="1" x14ac:dyDescent="0.3">
      <c r="A535" s="36" t="s">
        <v>79</v>
      </c>
      <c r="B535" s="29"/>
      <c r="C535" s="29"/>
      <c r="D535" s="29"/>
      <c r="E535" s="29"/>
      <c r="F535" s="29"/>
      <c r="G535" s="37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1"/>
      <c r="N535" s="451"/>
      <c r="O535" s="452"/>
      <c r="P535" s="452"/>
      <c r="Q535" s="452"/>
      <c r="R535" s="452"/>
      <c r="S535" s="452"/>
      <c r="T535" s="158"/>
    </row>
    <row r="536" spans="1:20" ht="12.75" customHeight="1" x14ac:dyDescent="0.3">
      <c r="A536" s="36"/>
      <c r="B536" s="36" t="s">
        <v>2230</v>
      </c>
      <c r="C536" s="29"/>
      <c r="D536" s="29"/>
      <c r="E536" s="29"/>
      <c r="F536" s="29"/>
      <c r="G536" s="37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1"/>
      <c r="N536" s="451"/>
      <c r="O536" s="452"/>
      <c r="P536" s="452"/>
      <c r="Q536" s="452"/>
      <c r="R536" s="452"/>
      <c r="S536" s="452"/>
      <c r="T536" s="158"/>
    </row>
    <row r="537" spans="1:20" ht="12.75" customHeight="1" x14ac:dyDescent="0.3">
      <c r="A537" s="36"/>
      <c r="B537" s="36" t="s">
        <v>2231</v>
      </c>
      <c r="C537" s="29"/>
      <c r="D537" s="29"/>
      <c r="E537" s="29"/>
      <c r="F537" s="29"/>
      <c r="G537" s="37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1"/>
      <c r="N537" s="451"/>
      <c r="O537" s="452"/>
      <c r="P537" s="452"/>
      <c r="Q537" s="452"/>
      <c r="R537" s="452"/>
      <c r="S537" s="452"/>
      <c r="T537" s="158"/>
    </row>
    <row r="538" spans="1:20" ht="12.75" customHeight="1" x14ac:dyDescent="0.3">
      <c r="A538" s="36"/>
      <c r="B538" s="36" t="s">
        <v>2232</v>
      </c>
      <c r="C538" s="29"/>
      <c r="D538" s="29"/>
      <c r="E538" s="29"/>
      <c r="F538" s="29"/>
      <c r="G538" s="37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1"/>
      <c r="N538" s="451"/>
      <c r="O538" s="452"/>
      <c r="P538" s="452"/>
      <c r="Q538" s="452"/>
      <c r="R538" s="452"/>
      <c r="S538" s="452"/>
      <c r="T538" s="158"/>
    </row>
    <row r="539" spans="1:20" ht="12.75" customHeight="1" x14ac:dyDescent="0.3">
      <c r="A539" s="36"/>
      <c r="B539" s="36" t="s">
        <v>2233</v>
      </c>
      <c r="C539" s="29"/>
      <c r="D539" s="29"/>
      <c r="E539" s="29"/>
      <c r="F539" s="29"/>
      <c r="G539" s="37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1"/>
      <c r="N539" s="451"/>
      <c r="O539" s="452"/>
      <c r="P539" s="452"/>
      <c r="Q539" s="452"/>
      <c r="R539" s="452"/>
      <c r="S539" s="452"/>
      <c r="T539" s="158"/>
    </row>
    <row r="540" spans="1:20" ht="12.75" customHeight="1" x14ac:dyDescent="0.3">
      <c r="A540" s="36"/>
      <c r="B540" s="36"/>
      <c r="C540" s="36" t="s">
        <v>1228</v>
      </c>
      <c r="D540" s="29"/>
      <c r="E540" s="29"/>
      <c r="F540" s="29"/>
      <c r="G540" s="94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1"/>
      <c r="N540" s="451"/>
      <c r="O540" s="452"/>
      <c r="P540" s="452"/>
      <c r="Q540" s="452"/>
      <c r="R540" s="452"/>
      <c r="S540" s="452"/>
      <c r="T540" s="158"/>
    </row>
    <row r="541" spans="1:20" ht="12.75" customHeight="1" x14ac:dyDescent="0.3">
      <c r="A541" s="36"/>
      <c r="B541" s="36"/>
      <c r="C541" s="36" t="s">
        <v>1229</v>
      </c>
      <c r="D541" s="29"/>
      <c r="E541" s="29"/>
      <c r="F541" s="29"/>
      <c r="G541" s="94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1"/>
      <c r="N541" s="451"/>
      <c r="O541" s="452"/>
      <c r="P541" s="452"/>
      <c r="Q541" s="452"/>
      <c r="R541" s="452"/>
      <c r="S541" s="452"/>
      <c r="T541" s="158"/>
    </row>
    <row r="542" spans="1:20" ht="12.75" customHeight="1" x14ac:dyDescent="0.3">
      <c r="A542" s="36"/>
      <c r="B542" s="36"/>
      <c r="C542" s="29"/>
      <c r="D542" s="36" t="s">
        <v>582</v>
      </c>
      <c r="E542" s="95"/>
      <c r="F542" s="95"/>
      <c r="G542" s="94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1"/>
      <c r="N542" s="451"/>
      <c r="O542" s="452"/>
      <c r="P542" s="452"/>
      <c r="Q542" s="452"/>
      <c r="R542" s="452"/>
      <c r="S542" s="452"/>
      <c r="T542" s="158"/>
    </row>
    <row r="543" spans="1:20" ht="12.75" customHeight="1" x14ac:dyDescent="0.3">
      <c r="A543" s="36"/>
      <c r="B543" s="36"/>
      <c r="C543" s="29"/>
      <c r="D543" s="36" t="s">
        <v>1329</v>
      </c>
      <c r="E543" s="95"/>
      <c r="F543" s="95"/>
      <c r="G543" s="94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1"/>
      <c r="N543" s="451"/>
      <c r="O543" s="452"/>
      <c r="P543" s="452"/>
      <c r="Q543" s="452"/>
      <c r="R543" s="452"/>
      <c r="S543" s="452"/>
      <c r="T543" s="158"/>
    </row>
    <row r="544" spans="1:20" ht="12.75" customHeight="1" x14ac:dyDescent="0.3">
      <c r="A544" s="36"/>
      <c r="B544" s="36"/>
      <c r="C544" s="29"/>
      <c r="D544" s="36" t="s">
        <v>436</v>
      </c>
      <c r="E544" s="95"/>
      <c r="F544" s="95"/>
      <c r="G544" s="94" t="s">
        <v>660</v>
      </c>
      <c r="H544" s="95" t="s">
        <v>2322</v>
      </c>
      <c r="I544" s="522">
        <f>continental!I165</f>
        <v>0</v>
      </c>
      <c r="J544" s="451"/>
      <c r="K544" s="451"/>
      <c r="L544" s="451"/>
      <c r="M544" s="451"/>
      <c r="N544" s="451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452">
        <v>2.24071533297921E-13</v>
      </c>
      <c r="S544" s="452">
        <v>2.24071533297921E-13</v>
      </c>
      <c r="T544" s="158"/>
    </row>
    <row r="545" spans="1:20" ht="12.75" customHeight="1" x14ac:dyDescent="0.3">
      <c r="A545" s="36"/>
      <c r="B545" s="36"/>
      <c r="C545" s="29"/>
      <c r="D545" s="29"/>
      <c r="E545" s="36" t="s">
        <v>440</v>
      </c>
      <c r="F545" s="36"/>
      <c r="G545" s="94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1"/>
      <c r="N545" s="451"/>
      <c r="O545" s="452"/>
      <c r="P545" s="452"/>
      <c r="Q545" s="452"/>
      <c r="R545" s="452"/>
      <c r="S545" s="452"/>
      <c r="T545" s="158"/>
    </row>
    <row r="546" spans="1:20" ht="12.75" customHeight="1" x14ac:dyDescent="0.3">
      <c r="A546" s="36"/>
      <c r="B546" s="36"/>
      <c r="C546" s="29"/>
      <c r="D546" s="29"/>
      <c r="E546" s="36" t="s">
        <v>1378</v>
      </c>
      <c r="F546" s="36"/>
      <c r="G546" s="94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1"/>
      <c r="N546" s="451"/>
      <c r="O546" s="452"/>
      <c r="P546" s="452"/>
      <c r="Q546" s="452"/>
      <c r="R546" s="452"/>
      <c r="S546" s="452"/>
      <c r="T546" s="158"/>
    </row>
    <row r="547" spans="1:20" ht="12.75" customHeight="1" x14ac:dyDescent="0.3">
      <c r="A547" s="29"/>
      <c r="B547" s="29" t="s">
        <v>2234</v>
      </c>
      <c r="C547" s="95"/>
      <c r="D547" s="95"/>
      <c r="E547" s="29"/>
      <c r="F547" s="29"/>
      <c r="G547" s="37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1"/>
      <c r="N547" s="451"/>
      <c r="O547" s="452"/>
      <c r="P547" s="452"/>
      <c r="Q547" s="452"/>
      <c r="R547" s="452"/>
      <c r="S547" s="452"/>
      <c r="T547" s="158"/>
    </row>
    <row r="548" spans="1:20" ht="12.75" customHeight="1" x14ac:dyDescent="0.3">
      <c r="A548" s="29"/>
      <c r="B548" s="29" t="s">
        <v>2235</v>
      </c>
      <c r="C548" s="95"/>
      <c r="D548" s="95"/>
      <c r="E548" s="29"/>
      <c r="F548" s="29"/>
      <c r="G548" s="37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1"/>
      <c r="N548" s="451"/>
      <c r="O548" s="452"/>
      <c r="P548" s="452"/>
      <c r="Q548" s="452"/>
      <c r="R548" s="452"/>
      <c r="S548" s="452"/>
      <c r="T548" s="158"/>
    </row>
    <row r="549" spans="1:20" ht="12.75" customHeight="1" x14ac:dyDescent="0.3">
      <c r="A549" s="29"/>
      <c r="B549" s="29" t="s">
        <v>2236</v>
      </c>
      <c r="C549" s="95"/>
      <c r="D549" s="95"/>
      <c r="E549" s="29"/>
      <c r="F549" s="95"/>
      <c r="G549" s="37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1"/>
      <c r="N549" s="451"/>
      <c r="O549" s="452"/>
      <c r="P549" s="452"/>
      <c r="Q549" s="452"/>
      <c r="R549" s="452"/>
      <c r="S549" s="452"/>
      <c r="T549" s="158"/>
    </row>
    <row r="550" spans="1:20" ht="12.75" customHeight="1" x14ac:dyDescent="0.3">
      <c r="A550" s="29"/>
      <c r="B550" s="29" t="s">
        <v>2237</v>
      </c>
      <c r="C550" s="95"/>
      <c r="D550" s="95"/>
      <c r="E550" s="29"/>
      <c r="F550" s="95"/>
      <c r="G550" s="37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1"/>
      <c r="N550" s="451"/>
      <c r="O550" s="452"/>
      <c r="P550" s="452"/>
      <c r="Q550" s="452"/>
      <c r="R550" s="452"/>
      <c r="S550" s="452"/>
      <c r="T550" s="158"/>
    </row>
    <row r="551" spans="1:20" ht="12.75" customHeight="1" x14ac:dyDescent="0.3">
      <c r="A551" s="36"/>
      <c r="B551" s="36"/>
      <c r="C551" s="29" t="s">
        <v>1076</v>
      </c>
      <c r="D551" s="29"/>
      <c r="E551" s="95"/>
      <c r="F551" s="95"/>
      <c r="G551" s="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1"/>
      <c r="N551" s="451"/>
      <c r="O551" s="452"/>
      <c r="P551" s="452"/>
      <c r="Q551" s="452"/>
      <c r="R551" s="452"/>
      <c r="S551" s="452"/>
      <c r="T551" s="158"/>
    </row>
    <row r="552" spans="1:20" ht="12.75" customHeight="1" x14ac:dyDescent="0.3">
      <c r="A552" s="36"/>
      <c r="B552" s="36"/>
      <c r="C552" s="29" t="s">
        <v>1230</v>
      </c>
      <c r="D552" s="29"/>
      <c r="E552" s="95"/>
      <c r="F552" s="95"/>
      <c r="G552" s="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1"/>
      <c r="N552" s="451"/>
      <c r="O552" s="452"/>
      <c r="P552" s="452"/>
      <c r="Q552" s="452"/>
      <c r="R552" s="452"/>
      <c r="S552" s="452"/>
      <c r="T552" s="158"/>
    </row>
    <row r="553" spans="1:20" ht="12.75" customHeight="1" x14ac:dyDescent="0.3">
      <c r="A553" s="36"/>
      <c r="B553" s="29"/>
      <c r="C553" s="36"/>
      <c r="D553" s="95"/>
      <c r="E553" s="95"/>
      <c r="F553" s="29"/>
      <c r="G553" s="94"/>
      <c r="H553" s="94"/>
      <c r="I553" s="525"/>
      <c r="J553" s="342"/>
      <c r="K553" s="342"/>
      <c r="L553" s="342"/>
      <c r="M553" s="342"/>
      <c r="N553" s="342"/>
      <c r="O553" s="360"/>
      <c r="P553" s="360"/>
      <c r="Q553" s="360"/>
      <c r="R553" s="360"/>
      <c r="S553" s="472"/>
      <c r="T553" s="158"/>
    </row>
    <row r="554" spans="1:20" ht="12.75" customHeight="1" x14ac:dyDescent="0.3">
      <c r="A554" s="36" t="s">
        <v>80</v>
      </c>
      <c r="B554" s="29"/>
      <c r="C554" s="29"/>
      <c r="D554" s="29"/>
      <c r="E554" s="29"/>
      <c r="F554" s="29"/>
      <c r="G554" s="37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1"/>
      <c r="N554" s="451"/>
      <c r="O554" s="452"/>
      <c r="P554" s="452"/>
      <c r="Q554" s="452"/>
      <c r="R554" s="452"/>
      <c r="S554" s="452"/>
      <c r="T554" s="158"/>
    </row>
    <row r="555" spans="1:20" ht="12.75" customHeight="1" x14ac:dyDescent="0.3">
      <c r="A555" s="36" t="s">
        <v>81</v>
      </c>
      <c r="B555" s="29"/>
      <c r="C555" s="29"/>
      <c r="D555" s="29"/>
      <c r="E555" s="29"/>
      <c r="F555" s="29"/>
      <c r="G555" s="37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1"/>
      <c r="N555" s="451"/>
      <c r="O555" s="452"/>
      <c r="P555" s="452"/>
      <c r="Q555" s="452"/>
      <c r="R555" s="452"/>
      <c r="S555" s="452"/>
      <c r="T555" s="158"/>
    </row>
    <row r="556" spans="1:20" ht="12.75" customHeight="1" x14ac:dyDescent="0.3">
      <c r="A556" s="36" t="s">
        <v>82</v>
      </c>
      <c r="B556" s="29"/>
      <c r="C556" s="29"/>
      <c r="D556" s="29"/>
      <c r="E556" s="29"/>
      <c r="F556" s="29"/>
      <c r="G556" s="37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1"/>
      <c r="N556" s="451"/>
      <c r="O556" s="452"/>
      <c r="P556" s="452"/>
      <c r="Q556" s="452"/>
      <c r="R556" s="452"/>
      <c r="S556" s="452"/>
      <c r="T556" s="158"/>
    </row>
    <row r="557" spans="1:20" ht="12.75" customHeight="1" x14ac:dyDescent="0.3">
      <c r="A557" s="36" t="s">
        <v>3945</v>
      </c>
      <c r="B557" s="29"/>
      <c r="C557" s="29"/>
      <c r="D557" s="29"/>
      <c r="E557" s="29"/>
      <c r="F557" s="29"/>
      <c r="G557" s="37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1"/>
      <c r="N557" s="451"/>
      <c r="O557" s="452"/>
      <c r="P557" s="452"/>
      <c r="Q557" s="452"/>
      <c r="R557" s="452"/>
      <c r="S557" s="452"/>
      <c r="T557" s="158"/>
    </row>
    <row r="558" spans="1:20" ht="12.75" customHeight="1" x14ac:dyDescent="0.3">
      <c r="A558" s="36" t="s">
        <v>3946</v>
      </c>
      <c r="B558" s="29"/>
      <c r="C558" s="29"/>
      <c r="D558" s="29"/>
      <c r="E558" s="29"/>
      <c r="F558" s="29"/>
      <c r="G558" s="37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1"/>
      <c r="N558" s="451"/>
      <c r="O558" s="452"/>
      <c r="P558" s="452"/>
      <c r="Q558" s="452"/>
      <c r="R558" s="452"/>
      <c r="S558" s="452"/>
      <c r="T558" s="158"/>
    </row>
    <row r="559" spans="1:20" ht="12.75" customHeight="1" x14ac:dyDescent="0.3">
      <c r="A559" s="36" t="s">
        <v>3947</v>
      </c>
      <c r="B559" s="29"/>
      <c r="C559" s="29"/>
      <c r="D559" s="29"/>
      <c r="E559" s="29"/>
      <c r="F559" s="29"/>
      <c r="G559" s="37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1"/>
      <c r="N559" s="451"/>
      <c r="O559" s="452"/>
      <c r="P559" s="452"/>
      <c r="Q559" s="452"/>
      <c r="R559" s="452"/>
      <c r="S559" s="452"/>
      <c r="T559" s="158"/>
    </row>
    <row r="560" spans="1:20" ht="12.75" customHeight="1" x14ac:dyDescent="0.3">
      <c r="A560" s="36"/>
      <c r="B560" s="95" t="s">
        <v>1087</v>
      </c>
      <c r="C560" s="29"/>
      <c r="D560" s="95"/>
      <c r="E560" s="95"/>
      <c r="F560" s="95"/>
      <c r="G560" s="94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1"/>
      <c r="N560" s="451"/>
      <c r="O560" s="452"/>
      <c r="P560" s="452"/>
      <c r="Q560" s="452"/>
      <c r="R560" s="452"/>
      <c r="S560" s="452"/>
      <c r="T560" s="158"/>
    </row>
    <row r="561" spans="1:20" ht="12.75" customHeight="1" x14ac:dyDescent="0.3">
      <c r="A561" s="36"/>
      <c r="B561" s="95" t="s">
        <v>1088</v>
      </c>
      <c r="C561" s="29"/>
      <c r="D561" s="95"/>
      <c r="E561" s="95"/>
      <c r="F561" s="95"/>
      <c r="G561" s="94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1"/>
      <c r="N561" s="451"/>
      <c r="O561" s="452"/>
      <c r="P561" s="452"/>
      <c r="Q561" s="452"/>
      <c r="R561" s="452"/>
      <c r="S561" s="452"/>
      <c r="T561" s="158"/>
    </row>
    <row r="562" spans="1:20" ht="12.75" customHeight="1" x14ac:dyDescent="0.3">
      <c r="A562" s="36"/>
      <c r="B562" s="95" t="s">
        <v>461</v>
      </c>
      <c r="C562" s="29"/>
      <c r="D562" s="95"/>
      <c r="E562" s="95"/>
      <c r="F562" s="95"/>
      <c r="G562" s="94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1"/>
      <c r="N562" s="451"/>
      <c r="O562" s="452"/>
      <c r="P562" s="452"/>
      <c r="Q562" s="452"/>
      <c r="R562" s="452"/>
      <c r="S562" s="452"/>
      <c r="T562" s="158"/>
    </row>
    <row r="563" spans="1:20" ht="12.75" customHeight="1" x14ac:dyDescent="0.3">
      <c r="A563" s="36"/>
      <c r="B563" s="36" t="s">
        <v>17</v>
      </c>
      <c r="C563" s="29"/>
      <c r="D563" s="95"/>
      <c r="E563" s="95"/>
      <c r="F563" s="95"/>
      <c r="G563" s="94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1"/>
      <c r="N563" s="451"/>
      <c r="O563" s="452"/>
      <c r="P563" s="452"/>
      <c r="Q563" s="452"/>
      <c r="R563" s="452"/>
      <c r="S563" s="452"/>
      <c r="T563" s="158"/>
    </row>
    <row r="564" spans="1:20" ht="12.75" customHeight="1" x14ac:dyDescent="0.3">
      <c r="A564" s="36"/>
      <c r="B564" s="36" t="s">
        <v>733</v>
      </c>
      <c r="C564" s="29"/>
      <c r="D564" s="95"/>
      <c r="E564" s="95"/>
      <c r="F564" s="95"/>
      <c r="G564" s="94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1"/>
      <c r="N564" s="451"/>
      <c r="O564" s="452"/>
      <c r="P564" s="452"/>
      <c r="Q564" s="452"/>
      <c r="R564" s="452"/>
      <c r="S564" s="452"/>
      <c r="T564" s="158"/>
    </row>
    <row r="565" spans="1:20" ht="12.75" customHeight="1" x14ac:dyDescent="0.3">
      <c r="A565" s="36"/>
      <c r="B565" s="36" t="s">
        <v>870</v>
      </c>
      <c r="C565" s="29"/>
      <c r="D565" s="95"/>
      <c r="E565" s="95"/>
      <c r="F565" s="95"/>
      <c r="G565" s="94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1"/>
      <c r="N565" s="451"/>
      <c r="O565" s="452"/>
      <c r="P565" s="452"/>
      <c r="Q565" s="452"/>
      <c r="R565" s="452"/>
      <c r="S565" s="452"/>
      <c r="T565" s="158"/>
    </row>
    <row r="566" spans="1:20" ht="12.75" customHeight="1" x14ac:dyDescent="0.3">
      <c r="A566" s="36"/>
      <c r="B566" s="29" t="s">
        <v>185</v>
      </c>
      <c r="C566" s="29"/>
      <c r="D566" s="95"/>
      <c r="E566" s="95"/>
      <c r="F566" s="95"/>
      <c r="G566" s="37" t="s">
        <v>908</v>
      </c>
      <c r="H566" s="29" t="s">
        <v>36</v>
      </c>
      <c r="I566" s="522">
        <f>continental!I187</f>
        <v>0</v>
      </c>
      <c r="J566" s="451"/>
      <c r="K566" s="451"/>
      <c r="L566" s="451"/>
      <c r="M566" s="451"/>
      <c r="N566" s="451">
        <v>1</v>
      </c>
      <c r="O566" s="452">
        <v>1</v>
      </c>
      <c r="P566" s="452">
        <v>1</v>
      </c>
      <c r="Q566" s="452">
        <v>1</v>
      </c>
      <c r="R566" s="452"/>
      <c r="S566" s="452">
        <v>1</v>
      </c>
      <c r="T566" s="158"/>
    </row>
    <row r="567" spans="1:20" ht="12.75" customHeight="1" x14ac:dyDescent="0.3">
      <c r="A567" s="36"/>
      <c r="B567" s="29" t="s">
        <v>185</v>
      </c>
      <c r="C567" s="29"/>
      <c r="D567" s="95"/>
      <c r="E567" s="95"/>
      <c r="F567" s="95"/>
      <c r="G567" s="37" t="s">
        <v>909</v>
      </c>
      <c r="H567" s="29" t="s">
        <v>36</v>
      </c>
      <c r="I567" s="522">
        <f>continental!I188</f>
        <v>0</v>
      </c>
      <c r="J567" s="451"/>
      <c r="K567" s="451"/>
      <c r="L567" s="451"/>
      <c r="M567" s="451"/>
      <c r="N567" s="451">
        <v>1</v>
      </c>
      <c r="O567" s="452">
        <v>1</v>
      </c>
      <c r="P567" s="452">
        <v>1</v>
      </c>
      <c r="Q567" s="452">
        <v>1</v>
      </c>
      <c r="R567" s="452"/>
      <c r="S567" s="452">
        <v>1</v>
      </c>
      <c r="T567" s="158"/>
    </row>
    <row r="568" spans="1:20" ht="12.75" customHeight="1" x14ac:dyDescent="0.3">
      <c r="A568" s="36"/>
      <c r="B568" s="29" t="s">
        <v>185</v>
      </c>
      <c r="C568" s="29"/>
      <c r="D568" s="95"/>
      <c r="E568" s="95"/>
      <c r="F568" s="95"/>
      <c r="G568" s="37" t="s">
        <v>910</v>
      </c>
      <c r="H568" s="29" t="s">
        <v>36</v>
      </c>
      <c r="I568" s="522">
        <f>continental!I189</f>
        <v>0</v>
      </c>
      <c r="J568" s="451"/>
      <c r="K568" s="451"/>
      <c r="L568" s="451"/>
      <c r="M568" s="451"/>
      <c r="N568" s="451">
        <v>1</v>
      </c>
      <c r="O568" s="452">
        <v>1</v>
      </c>
      <c r="P568" s="452">
        <v>1</v>
      </c>
      <c r="Q568" s="452">
        <v>1</v>
      </c>
      <c r="R568" s="452"/>
      <c r="S568" s="452">
        <v>1</v>
      </c>
      <c r="T568" s="158"/>
    </row>
    <row r="569" spans="1:20" ht="12.75" customHeight="1" x14ac:dyDescent="0.3">
      <c r="A569" s="29"/>
      <c r="B569" s="29"/>
      <c r="C569" s="29"/>
      <c r="D569" s="29"/>
      <c r="E569" s="29"/>
      <c r="F569" s="29"/>
      <c r="G569" s="29"/>
      <c r="H569" s="29"/>
      <c r="I569" s="457"/>
      <c r="J569" s="339"/>
      <c r="K569" s="339"/>
      <c r="L569" s="339"/>
      <c r="M569" s="339"/>
      <c r="N569" s="339"/>
      <c r="O569" s="282"/>
      <c r="P569" s="282"/>
      <c r="Q569" s="282"/>
      <c r="R569" s="282"/>
      <c r="S569" s="282"/>
      <c r="T569" s="158"/>
    </row>
    <row r="570" spans="1:20" ht="12.75" customHeight="1" x14ac:dyDescent="0.3">
      <c r="A570" s="98" t="s">
        <v>419</v>
      </c>
      <c r="B570" s="97"/>
      <c r="C570" s="97"/>
      <c r="D570" s="97"/>
      <c r="E570" s="97"/>
      <c r="F570" s="97"/>
      <c r="G570" s="97"/>
      <c r="H570" s="97"/>
      <c r="I570" s="340" t="s">
        <v>754</v>
      </c>
      <c r="J570" s="364"/>
      <c r="K570" s="364"/>
      <c r="L570" s="364" t="s">
        <v>754</v>
      </c>
      <c r="M570" s="364" t="s">
        <v>754</v>
      </c>
      <c r="N570" s="364"/>
      <c r="O570" s="470"/>
      <c r="P570" s="470"/>
      <c r="Q570" s="470"/>
      <c r="R570" s="470"/>
      <c r="S570" s="470"/>
      <c r="T570" s="158"/>
    </row>
    <row r="571" spans="1:20" ht="12.75" customHeight="1" x14ac:dyDescent="0.3">
      <c r="A571" s="36"/>
      <c r="B571" s="29"/>
      <c r="C571" s="29"/>
      <c r="D571" s="29"/>
      <c r="E571" s="29"/>
      <c r="F571" s="29"/>
      <c r="G571" s="29"/>
      <c r="H571" s="29"/>
      <c r="I571" s="342"/>
      <c r="J571" s="339"/>
      <c r="K571" s="339"/>
      <c r="L571" s="339"/>
      <c r="M571" s="339"/>
      <c r="N571" s="339"/>
      <c r="O571" s="282"/>
      <c r="P571" s="282"/>
      <c r="Q571" s="282"/>
      <c r="R571" s="282"/>
      <c r="S571" s="282"/>
      <c r="T571" s="158"/>
    </row>
    <row r="572" spans="1:20" ht="12.75" customHeight="1" x14ac:dyDescent="0.3">
      <c r="A572" s="36" t="s">
        <v>224</v>
      </c>
      <c r="B572" s="29"/>
      <c r="C572" s="29"/>
      <c r="D572" s="29"/>
      <c r="E572" s="29"/>
      <c r="F572" s="29"/>
      <c r="G572" s="37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1"/>
      <c r="N572" s="451"/>
      <c r="O572" s="452"/>
      <c r="P572" s="452"/>
      <c r="Q572" s="452"/>
      <c r="R572" s="452"/>
      <c r="S572" s="452"/>
      <c r="T572" s="158"/>
    </row>
    <row r="573" spans="1:20" ht="12.75" customHeight="1" x14ac:dyDescent="0.3">
      <c r="A573" s="36" t="s">
        <v>304</v>
      </c>
      <c r="B573" s="29"/>
      <c r="C573" s="29"/>
      <c r="D573" s="29"/>
      <c r="E573" s="29"/>
      <c r="F573" s="29"/>
      <c r="G573" s="37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1"/>
      <c r="N573" s="451"/>
      <c r="O573" s="452"/>
      <c r="P573" s="452"/>
      <c r="Q573" s="452"/>
      <c r="R573" s="452"/>
      <c r="S573" s="452"/>
      <c r="T573" s="158"/>
    </row>
    <row r="574" spans="1:20" ht="12.75" customHeight="1" x14ac:dyDescent="0.3">
      <c r="A574" s="36" t="s">
        <v>253</v>
      </c>
      <c r="B574" s="29"/>
      <c r="C574" s="29"/>
      <c r="D574" s="29"/>
      <c r="E574" s="29"/>
      <c r="F574" s="29"/>
      <c r="G574" s="37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1"/>
      <c r="N574" s="451"/>
      <c r="O574" s="452"/>
      <c r="P574" s="452"/>
      <c r="Q574" s="452"/>
      <c r="R574" s="452"/>
      <c r="S574" s="452"/>
      <c r="T574" s="158"/>
    </row>
    <row r="575" spans="1:20" ht="12.75" customHeight="1" x14ac:dyDescent="0.3">
      <c r="A575" s="36" t="s">
        <v>254</v>
      </c>
      <c r="B575" s="29"/>
      <c r="C575" s="29"/>
      <c r="D575" s="29"/>
      <c r="E575" s="29"/>
      <c r="F575" s="29"/>
      <c r="G575" s="37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1"/>
      <c r="N575" s="451"/>
      <c r="O575" s="452"/>
      <c r="P575" s="452"/>
      <c r="Q575" s="452"/>
      <c r="R575" s="452"/>
      <c r="S575" s="452"/>
      <c r="T575" s="158"/>
    </row>
    <row r="576" spans="1:20" ht="12.75" customHeight="1" x14ac:dyDescent="0.3">
      <c r="A576" s="36" t="s">
        <v>256</v>
      </c>
      <c r="B576" s="29"/>
      <c r="C576" s="29"/>
      <c r="D576" s="29"/>
      <c r="E576" s="29"/>
      <c r="F576" s="29"/>
      <c r="G576" s="37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1"/>
      <c r="N576" s="451"/>
      <c r="O576" s="452"/>
      <c r="P576" s="452"/>
      <c r="Q576" s="452"/>
      <c r="R576" s="452"/>
      <c r="S576" s="452"/>
      <c r="T576" s="158"/>
    </row>
    <row r="577" spans="1:20" ht="12.75" customHeight="1" x14ac:dyDescent="0.3">
      <c r="A577" s="36" t="s">
        <v>257</v>
      </c>
      <c r="B577" s="29"/>
      <c r="C577" s="29"/>
      <c r="D577" s="29"/>
      <c r="E577" s="29"/>
      <c r="F577" s="29"/>
      <c r="G577" s="37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1"/>
      <c r="N577" s="451"/>
      <c r="O577" s="452"/>
      <c r="P577" s="452"/>
      <c r="Q577" s="452"/>
      <c r="R577" s="452"/>
      <c r="S577" s="452"/>
      <c r="T577" s="158"/>
    </row>
    <row r="578" spans="1:20" ht="12.75" customHeight="1" x14ac:dyDescent="0.3">
      <c r="A578" s="36" t="s">
        <v>226</v>
      </c>
      <c r="B578" s="29"/>
      <c r="C578" s="29"/>
      <c r="D578" s="29"/>
      <c r="E578" s="29"/>
      <c r="F578" s="29"/>
      <c r="G578" s="37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1"/>
      <c r="N578" s="451"/>
      <c r="O578" s="452"/>
      <c r="P578" s="452"/>
      <c r="Q578" s="452"/>
      <c r="R578" s="452"/>
      <c r="S578" s="452"/>
      <c r="T578" s="158"/>
    </row>
    <row r="579" spans="1:20" ht="12.75" customHeight="1" x14ac:dyDescent="0.3">
      <c r="A579" s="36" t="s">
        <v>226</v>
      </c>
      <c r="B579" s="29"/>
      <c r="C579" s="29"/>
      <c r="D579" s="29"/>
      <c r="E579" s="29"/>
      <c r="F579" s="29"/>
      <c r="G579" s="37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1"/>
      <c r="N579" s="451"/>
      <c r="O579" s="452"/>
      <c r="P579" s="452"/>
      <c r="Q579" s="452"/>
      <c r="R579" s="452"/>
      <c r="S579" s="452"/>
      <c r="T579" s="158"/>
    </row>
    <row r="580" spans="1:20" ht="12.75" customHeight="1" x14ac:dyDescent="0.3">
      <c r="A580" s="36" t="s">
        <v>226</v>
      </c>
      <c r="B580" s="29"/>
      <c r="C580" s="29"/>
      <c r="D580" s="29"/>
      <c r="E580" s="29"/>
      <c r="F580" s="29"/>
      <c r="G580" s="37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1"/>
      <c r="N580" s="451"/>
      <c r="O580" s="452"/>
      <c r="P580" s="452"/>
      <c r="Q580" s="452"/>
      <c r="R580" s="452"/>
      <c r="S580" s="452"/>
      <c r="T580" s="158"/>
    </row>
    <row r="581" spans="1:20" ht="12.75" customHeight="1" x14ac:dyDescent="0.3">
      <c r="A581" s="36"/>
      <c r="B581" s="36" t="s">
        <v>796</v>
      </c>
      <c r="C581" s="95"/>
      <c r="D581" s="29"/>
      <c r="E581" s="29"/>
      <c r="F581" s="29"/>
      <c r="G581" s="94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1"/>
      <c r="N581" s="451"/>
      <c r="O581" s="452"/>
      <c r="P581" s="452"/>
      <c r="Q581" s="452"/>
      <c r="R581" s="452"/>
      <c r="S581" s="452"/>
      <c r="T581" s="158"/>
    </row>
    <row r="582" spans="1:20" ht="12.75" customHeight="1" x14ac:dyDescent="0.3">
      <c r="A582" s="36"/>
      <c r="B582" s="36" t="s">
        <v>797</v>
      </c>
      <c r="C582" s="29"/>
      <c r="D582" s="29"/>
      <c r="E582" s="29"/>
      <c r="F582" s="29"/>
      <c r="G582" s="37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1"/>
      <c r="N582" s="451"/>
      <c r="O582" s="452"/>
      <c r="P582" s="452"/>
      <c r="Q582" s="452"/>
      <c r="R582" s="452"/>
      <c r="S582" s="452"/>
      <c r="T582" s="158"/>
    </row>
    <row r="583" spans="1:20" ht="12.75" customHeight="1" x14ac:dyDescent="0.3">
      <c r="A583" s="95"/>
      <c r="B583" s="95"/>
      <c r="C583" s="36" t="s">
        <v>187</v>
      </c>
      <c r="D583" s="29"/>
      <c r="E583" s="29"/>
      <c r="F583" s="29"/>
      <c r="G583" s="37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1"/>
      <c r="N583" s="451"/>
      <c r="O583" s="452"/>
      <c r="P583" s="452"/>
      <c r="Q583" s="452"/>
      <c r="R583" s="452"/>
      <c r="S583" s="452"/>
      <c r="T583" s="158"/>
    </row>
    <row r="584" spans="1:20" ht="12.75" customHeight="1" x14ac:dyDescent="0.3">
      <c r="A584" s="95"/>
      <c r="B584" s="95"/>
      <c r="C584" s="36" t="s">
        <v>35</v>
      </c>
      <c r="D584" s="29"/>
      <c r="E584" s="29"/>
      <c r="F584" s="29"/>
      <c r="G584" s="37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1"/>
      <c r="N584" s="451"/>
      <c r="O584" s="452"/>
      <c r="P584" s="452"/>
      <c r="Q584" s="452"/>
      <c r="R584" s="452"/>
      <c r="S584" s="452"/>
      <c r="T584" s="158"/>
    </row>
    <row r="585" spans="1:20" ht="12.75" customHeight="1" x14ac:dyDescent="0.3">
      <c r="A585" s="36"/>
      <c r="B585" s="36" t="s">
        <v>325</v>
      </c>
      <c r="C585" s="29"/>
      <c r="D585" s="29"/>
      <c r="E585" s="29"/>
      <c r="F585" s="29"/>
      <c r="G585" s="37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1"/>
      <c r="N585" s="451"/>
      <c r="O585" s="452"/>
      <c r="P585" s="452"/>
      <c r="Q585" s="452"/>
      <c r="R585" s="452"/>
      <c r="S585" s="452"/>
      <c r="T585" s="158"/>
    </row>
    <row r="586" spans="1:20" ht="12.75" customHeight="1" x14ac:dyDescent="0.3">
      <c r="A586" s="36"/>
      <c r="B586" s="36" t="s">
        <v>798</v>
      </c>
      <c r="C586" s="29"/>
      <c r="D586" s="29"/>
      <c r="E586" s="29"/>
      <c r="F586" s="29"/>
      <c r="G586" s="37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1"/>
      <c r="N586" s="451"/>
      <c r="O586" s="452"/>
      <c r="P586" s="452"/>
      <c r="Q586" s="452"/>
      <c r="R586" s="452"/>
      <c r="S586" s="452"/>
      <c r="T586" s="158"/>
    </row>
    <row r="587" spans="1:20" ht="12.75" customHeight="1" x14ac:dyDescent="0.3">
      <c r="A587" s="36"/>
      <c r="B587" s="36" t="s">
        <v>799</v>
      </c>
      <c r="C587" s="29"/>
      <c r="D587" s="29"/>
      <c r="E587" s="29"/>
      <c r="F587" s="29"/>
      <c r="G587" s="37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1"/>
      <c r="N587" s="451"/>
      <c r="O587" s="452"/>
      <c r="P587" s="452"/>
      <c r="Q587" s="452"/>
      <c r="R587" s="452"/>
      <c r="S587" s="452"/>
      <c r="T587" s="158"/>
    </row>
    <row r="588" spans="1:20" ht="12.75" customHeight="1" x14ac:dyDescent="0.3">
      <c r="A588" s="36"/>
      <c r="B588" s="36"/>
      <c r="C588" s="36" t="s">
        <v>326</v>
      </c>
      <c r="D588" s="29"/>
      <c r="E588" s="29"/>
      <c r="F588" s="29"/>
      <c r="G588" s="94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1"/>
      <c r="N588" s="451"/>
      <c r="O588" s="452"/>
      <c r="P588" s="452"/>
      <c r="Q588" s="452"/>
      <c r="R588" s="452"/>
      <c r="S588" s="452"/>
      <c r="T588" s="158"/>
    </row>
    <row r="589" spans="1:20" ht="12.75" customHeight="1" x14ac:dyDescent="0.3">
      <c r="A589" s="36"/>
      <c r="B589" s="36"/>
      <c r="C589" s="36" t="s">
        <v>585</v>
      </c>
      <c r="D589" s="29"/>
      <c r="E589" s="29"/>
      <c r="F589" s="29"/>
      <c r="G589" s="94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1"/>
      <c r="N589" s="451"/>
      <c r="O589" s="452"/>
      <c r="P589" s="452"/>
      <c r="Q589" s="452"/>
      <c r="R589" s="452"/>
      <c r="S589" s="452"/>
      <c r="T589" s="158"/>
    </row>
    <row r="590" spans="1:20" ht="12.75" customHeight="1" x14ac:dyDescent="0.3">
      <c r="A590" s="36"/>
      <c r="B590" s="36"/>
      <c r="C590" s="36" t="s">
        <v>1451</v>
      </c>
      <c r="D590" s="29"/>
      <c r="E590" s="29"/>
      <c r="F590" s="29"/>
      <c r="G590" s="94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1"/>
      <c r="N590" s="451"/>
      <c r="O590" s="452"/>
      <c r="P590" s="452"/>
      <c r="Q590" s="452"/>
      <c r="R590" s="452"/>
      <c r="S590" s="452"/>
      <c r="T590" s="158"/>
    </row>
    <row r="591" spans="1:20" ht="12.75" customHeight="1" x14ac:dyDescent="0.3">
      <c r="A591" s="95"/>
      <c r="B591" s="95"/>
      <c r="C591" s="36" t="s">
        <v>766</v>
      </c>
      <c r="D591" s="29"/>
      <c r="E591" s="29"/>
      <c r="F591" s="29"/>
      <c r="G591" s="37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1"/>
      <c r="N591" s="451"/>
      <c r="O591" s="452"/>
      <c r="P591" s="452"/>
      <c r="Q591" s="452"/>
      <c r="R591" s="452"/>
      <c r="S591" s="452"/>
      <c r="T591" s="158"/>
    </row>
    <row r="592" spans="1:20" ht="12.75" customHeight="1" x14ac:dyDescent="0.3">
      <c r="A592" s="36"/>
      <c r="B592" s="36" t="s">
        <v>800</v>
      </c>
      <c r="C592" s="29"/>
      <c r="D592" s="29"/>
      <c r="E592" s="29"/>
      <c r="F592" s="29"/>
      <c r="G592" s="37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1"/>
      <c r="N592" s="451"/>
      <c r="O592" s="452"/>
      <c r="P592" s="452"/>
      <c r="Q592" s="452"/>
      <c r="R592" s="452"/>
      <c r="S592" s="452"/>
      <c r="T592" s="158"/>
    </row>
    <row r="593" spans="1:20" ht="12.75" customHeight="1" x14ac:dyDescent="0.3">
      <c r="A593" s="36"/>
      <c r="B593" s="36" t="s">
        <v>801</v>
      </c>
      <c r="C593" s="29"/>
      <c r="D593" s="29"/>
      <c r="E593" s="29"/>
      <c r="F593" s="29"/>
      <c r="G593" s="37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1"/>
      <c r="N593" s="451"/>
      <c r="O593" s="452"/>
      <c r="P593" s="452"/>
      <c r="Q593" s="452"/>
      <c r="R593" s="452"/>
      <c r="S593" s="452"/>
      <c r="T593" s="158"/>
    </row>
    <row r="594" spans="1:20" ht="12.75" customHeight="1" x14ac:dyDescent="0.3">
      <c r="A594" s="36"/>
      <c r="B594" s="36" t="s">
        <v>802</v>
      </c>
      <c r="C594" s="29"/>
      <c r="D594" s="29"/>
      <c r="E594" s="29"/>
      <c r="F594" s="29"/>
      <c r="G594" s="37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1"/>
      <c r="N594" s="451"/>
      <c r="O594" s="452"/>
      <c r="P594" s="452"/>
      <c r="Q594" s="452"/>
      <c r="R594" s="452"/>
      <c r="S594" s="452"/>
      <c r="T594" s="158"/>
    </row>
    <row r="595" spans="1:20" ht="12.75" customHeight="1" x14ac:dyDescent="0.3">
      <c r="A595" s="36"/>
      <c r="B595" s="36" t="s">
        <v>426</v>
      </c>
      <c r="C595" s="29"/>
      <c r="D595" s="29"/>
      <c r="E595" s="29"/>
      <c r="F595" s="29"/>
      <c r="G595" s="37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1"/>
      <c r="N595" s="451"/>
      <c r="O595" s="452"/>
      <c r="P595" s="452"/>
      <c r="Q595" s="452"/>
      <c r="R595" s="452"/>
      <c r="S595" s="452"/>
      <c r="T595" s="158"/>
    </row>
    <row r="596" spans="1:20" ht="12.75" customHeight="1" x14ac:dyDescent="0.3">
      <c r="A596" s="36"/>
      <c r="B596" s="36" t="s">
        <v>433</v>
      </c>
      <c r="C596" s="29"/>
      <c r="D596" s="29"/>
      <c r="E596" s="29"/>
      <c r="F596" s="29"/>
      <c r="G596" s="37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1"/>
      <c r="N596" s="451"/>
      <c r="O596" s="452"/>
      <c r="P596" s="452"/>
      <c r="Q596" s="452"/>
      <c r="R596" s="452"/>
      <c r="S596" s="452"/>
      <c r="T596" s="158"/>
    </row>
    <row r="597" spans="1:20" ht="12.75" customHeight="1" x14ac:dyDescent="0.3">
      <c r="A597" s="36"/>
      <c r="B597" s="36" t="s">
        <v>1057</v>
      </c>
      <c r="C597" s="29"/>
      <c r="D597" s="29"/>
      <c r="E597" s="29"/>
      <c r="F597" s="29"/>
      <c r="G597" s="94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1"/>
      <c r="N597" s="451"/>
      <c r="O597" s="452"/>
      <c r="P597" s="452"/>
      <c r="Q597" s="452"/>
      <c r="R597" s="452"/>
      <c r="S597" s="452"/>
      <c r="T597" s="158"/>
    </row>
    <row r="598" spans="1:20" ht="12.75" customHeight="1" x14ac:dyDescent="0.3">
      <c r="A598" s="36"/>
      <c r="B598" s="36" t="s">
        <v>1058</v>
      </c>
      <c r="C598" s="29"/>
      <c r="D598" s="29"/>
      <c r="E598" s="29"/>
      <c r="F598" s="29"/>
      <c r="G598" s="94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1"/>
      <c r="N598" s="451"/>
      <c r="O598" s="452"/>
      <c r="P598" s="452"/>
      <c r="Q598" s="452"/>
      <c r="R598" s="452"/>
      <c r="S598" s="452"/>
      <c r="T598" s="158"/>
    </row>
    <row r="599" spans="1:20" ht="12.75" customHeight="1" x14ac:dyDescent="0.3">
      <c r="A599" s="29"/>
      <c r="B599" s="36" t="s">
        <v>584</v>
      </c>
      <c r="C599" s="29"/>
      <c r="D599" s="29"/>
      <c r="E599" s="29"/>
      <c r="F599" s="29"/>
      <c r="G599" s="94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1"/>
      <c r="N599" s="451"/>
      <c r="O599" s="452"/>
      <c r="P599" s="452"/>
      <c r="Q599" s="452"/>
      <c r="R599" s="452"/>
      <c r="S599" s="452"/>
      <c r="T599" s="158"/>
    </row>
    <row r="600" spans="1:20" ht="12.75" customHeight="1" x14ac:dyDescent="0.3">
      <c r="A600" s="36"/>
      <c r="B600" s="29" t="s">
        <v>185</v>
      </c>
      <c r="C600" s="29"/>
      <c r="D600" s="95"/>
      <c r="E600" s="95"/>
      <c r="F600" s="95"/>
      <c r="G600" s="37" t="s">
        <v>911</v>
      </c>
      <c r="H600" s="29" t="s">
        <v>36</v>
      </c>
      <c r="I600" s="522">
        <f>continental!I221</f>
        <v>0</v>
      </c>
      <c r="J600" s="451"/>
      <c r="K600" s="451"/>
      <c r="L600" s="451"/>
      <c r="M600" s="451"/>
      <c r="N600" s="451">
        <v>1</v>
      </c>
      <c r="O600" s="452">
        <v>1</v>
      </c>
      <c r="P600" s="452">
        <v>1</v>
      </c>
      <c r="Q600" s="452">
        <v>1</v>
      </c>
      <c r="R600" s="452"/>
      <c r="S600" s="452">
        <v>1</v>
      </c>
      <c r="T600" s="158"/>
    </row>
    <row r="601" spans="1:20" ht="12.75" customHeight="1" x14ac:dyDescent="0.3">
      <c r="A601" s="36"/>
      <c r="B601" s="29" t="s">
        <v>185</v>
      </c>
      <c r="C601" s="29"/>
      <c r="D601" s="95"/>
      <c r="E601" s="95"/>
      <c r="F601" s="95"/>
      <c r="G601" s="37" t="s">
        <v>912</v>
      </c>
      <c r="H601" s="29" t="s">
        <v>36</v>
      </c>
      <c r="I601" s="522">
        <f>continental!I222</f>
        <v>0</v>
      </c>
      <c r="J601" s="451"/>
      <c r="K601" s="451"/>
      <c r="L601" s="451"/>
      <c r="M601" s="451"/>
      <c r="N601" s="451">
        <v>1</v>
      </c>
      <c r="O601" s="452">
        <v>1</v>
      </c>
      <c r="P601" s="452">
        <v>1</v>
      </c>
      <c r="Q601" s="452">
        <v>1</v>
      </c>
      <c r="R601" s="452"/>
      <c r="S601" s="452">
        <v>1</v>
      </c>
      <c r="T601" s="158"/>
    </row>
    <row r="602" spans="1:20" ht="12.75" customHeight="1" x14ac:dyDescent="0.3">
      <c r="A602" s="36"/>
      <c r="B602" s="29" t="s">
        <v>185</v>
      </c>
      <c r="C602" s="29"/>
      <c r="D602" s="95"/>
      <c r="E602" s="95"/>
      <c r="F602" s="95"/>
      <c r="G602" s="37" t="s">
        <v>913</v>
      </c>
      <c r="H602" s="29" t="s">
        <v>36</v>
      </c>
      <c r="I602" s="522">
        <f>continental!I223</f>
        <v>0</v>
      </c>
      <c r="J602" s="451"/>
      <c r="K602" s="451"/>
      <c r="L602" s="451"/>
      <c r="M602" s="451"/>
      <c r="N602" s="451">
        <v>1</v>
      </c>
      <c r="O602" s="452">
        <v>1</v>
      </c>
      <c r="P602" s="452">
        <v>1</v>
      </c>
      <c r="Q602" s="452">
        <v>1</v>
      </c>
      <c r="R602" s="452"/>
      <c r="S602" s="452">
        <v>1</v>
      </c>
      <c r="T602" s="158"/>
    </row>
    <row r="603" spans="1:20" ht="12.75" customHeight="1" x14ac:dyDescent="0.3">
      <c r="A603" s="134"/>
      <c r="B603" s="134"/>
      <c r="C603" s="134"/>
      <c r="D603" s="134"/>
      <c r="E603" s="134"/>
      <c r="F603" s="134"/>
      <c r="G603" s="134"/>
      <c r="H603" s="134"/>
      <c r="I603" s="526"/>
      <c r="J603" s="356"/>
      <c r="K603" s="356"/>
      <c r="L603" s="356"/>
      <c r="M603" s="356"/>
      <c r="N603" s="356"/>
      <c r="O603" s="471"/>
      <c r="P603" s="471"/>
      <c r="Q603" s="471"/>
      <c r="R603" s="471"/>
      <c r="S603" s="471"/>
      <c r="T603" s="158"/>
    </row>
    <row r="604" spans="1:20" ht="12.75" customHeight="1" x14ac:dyDescent="0.3">
      <c r="A604" s="29"/>
      <c r="B604" s="29"/>
      <c r="C604" s="29"/>
      <c r="D604" s="29"/>
      <c r="E604" s="29"/>
      <c r="F604" s="29"/>
      <c r="G604" s="29"/>
      <c r="H604" s="29"/>
      <c r="I604" s="523"/>
      <c r="J604" s="339"/>
      <c r="K604" s="339"/>
      <c r="L604" s="339"/>
      <c r="M604" s="339"/>
      <c r="N604" s="339"/>
      <c r="O604" s="282"/>
      <c r="P604" s="282"/>
      <c r="Q604" s="282"/>
      <c r="R604" s="282"/>
      <c r="S604" s="282"/>
      <c r="T604" s="158"/>
    </row>
    <row r="605" spans="1:20" ht="12.75" customHeight="1" x14ac:dyDescent="0.3">
      <c r="A605" s="62" t="s">
        <v>1326</v>
      </c>
      <c r="B605" s="29"/>
      <c r="C605" s="29"/>
      <c r="D605" s="29"/>
      <c r="E605" s="29"/>
      <c r="F605" s="29"/>
      <c r="G605" s="29"/>
      <c r="H605" s="29"/>
      <c r="I605" s="523"/>
      <c r="J605" s="339"/>
      <c r="K605" s="339"/>
      <c r="L605" s="339"/>
      <c r="M605" s="339"/>
      <c r="N605" s="339"/>
      <c r="O605" s="282"/>
      <c r="P605" s="282"/>
      <c r="Q605" s="282"/>
      <c r="R605" s="282"/>
      <c r="S605" s="282"/>
      <c r="T605" s="158"/>
    </row>
    <row r="606" spans="1:20" ht="12.75" customHeight="1" x14ac:dyDescent="0.3">
      <c r="A606" s="96"/>
      <c r="B606" s="29"/>
      <c r="C606" s="29"/>
      <c r="D606" s="29"/>
      <c r="E606" s="29"/>
      <c r="F606" s="29"/>
      <c r="G606" s="29"/>
      <c r="H606" s="29"/>
      <c r="I606" s="457"/>
      <c r="J606" s="339"/>
      <c r="K606" s="339"/>
      <c r="L606" s="339"/>
      <c r="M606" s="339"/>
      <c r="N606" s="339"/>
      <c r="O606" s="282"/>
      <c r="P606" s="282"/>
      <c r="Q606" s="282"/>
      <c r="R606" s="282"/>
      <c r="S606" s="282"/>
      <c r="T606" s="158"/>
    </row>
    <row r="607" spans="1:20" ht="12.75" customHeight="1" x14ac:dyDescent="0.3">
      <c r="A607" s="97" t="s">
        <v>1310</v>
      </c>
      <c r="B607" s="97"/>
      <c r="C607" s="97"/>
      <c r="D607" s="97"/>
      <c r="E607" s="97"/>
      <c r="F607" s="97"/>
      <c r="G607" s="97"/>
      <c r="H607" s="97"/>
      <c r="I607" s="340" t="s">
        <v>754</v>
      </c>
      <c r="J607" s="364"/>
      <c r="K607" s="364"/>
      <c r="L607" s="364" t="s">
        <v>754</v>
      </c>
      <c r="M607" s="364" t="s">
        <v>754</v>
      </c>
      <c r="N607" s="364"/>
      <c r="O607" s="470"/>
      <c r="P607" s="470"/>
      <c r="Q607" s="470"/>
      <c r="R607" s="470"/>
      <c r="S607" s="470"/>
      <c r="T607" s="158"/>
    </row>
    <row r="608" spans="1:20" ht="12.75" customHeight="1" x14ac:dyDescent="0.3">
      <c r="A608" s="29"/>
      <c r="B608" s="29"/>
      <c r="C608" s="29"/>
      <c r="D608" s="29"/>
      <c r="E608" s="29"/>
      <c r="F608" s="29"/>
      <c r="G608" s="29"/>
      <c r="H608" s="29"/>
      <c r="I608" s="342"/>
      <c r="J608" s="339"/>
      <c r="K608" s="339"/>
      <c r="L608" s="339"/>
      <c r="M608" s="339"/>
      <c r="N608" s="339"/>
      <c r="O608" s="282"/>
      <c r="P608" s="282"/>
      <c r="Q608" s="282"/>
      <c r="R608" s="282"/>
      <c r="S608" s="282"/>
      <c r="T608" s="158"/>
    </row>
    <row r="609" spans="1:20" ht="12.75" customHeight="1" x14ac:dyDescent="0.3">
      <c r="A609" s="36" t="s">
        <v>1089</v>
      </c>
      <c r="B609" s="29"/>
      <c r="C609" s="29"/>
      <c r="D609" s="29"/>
      <c r="E609" s="29"/>
      <c r="F609" s="29"/>
      <c r="G609" s="37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1"/>
      <c r="N609" s="451"/>
      <c r="O609" s="452"/>
      <c r="P609" s="452"/>
      <c r="Q609" s="452"/>
      <c r="R609" s="452"/>
      <c r="S609" s="452"/>
      <c r="T609" s="158"/>
    </row>
    <row r="610" spans="1:20" ht="12.75" customHeight="1" x14ac:dyDescent="0.3">
      <c r="A610" s="36" t="s">
        <v>937</v>
      </c>
      <c r="B610" s="29"/>
      <c r="C610" s="29"/>
      <c r="D610" s="29"/>
      <c r="E610" s="29"/>
      <c r="F610" s="29"/>
      <c r="G610" s="37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1"/>
      <c r="N610" s="451"/>
      <c r="O610" s="452"/>
      <c r="P610" s="452"/>
      <c r="Q610" s="452"/>
      <c r="R610" s="452"/>
      <c r="S610" s="452"/>
      <c r="T610" s="158"/>
    </row>
    <row r="611" spans="1:20" ht="12.75" customHeight="1" x14ac:dyDescent="0.3">
      <c r="A611" s="36" t="s">
        <v>939</v>
      </c>
      <c r="B611" s="29"/>
      <c r="C611" s="29"/>
      <c r="D611" s="29"/>
      <c r="E611" s="29"/>
      <c r="F611" s="29"/>
      <c r="G611" s="37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1"/>
      <c r="N611" s="451"/>
      <c r="O611" s="452"/>
      <c r="P611" s="452"/>
      <c r="Q611" s="452"/>
      <c r="R611" s="452"/>
      <c r="S611" s="452"/>
      <c r="T611" s="158"/>
    </row>
    <row r="612" spans="1:20" ht="12.75" customHeight="1" x14ac:dyDescent="0.3">
      <c r="A612" s="36" t="s">
        <v>734</v>
      </c>
      <c r="B612" s="29"/>
      <c r="C612" s="29"/>
      <c r="D612" s="29"/>
      <c r="E612" s="29"/>
      <c r="F612" s="29"/>
      <c r="G612" s="37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1"/>
      <c r="N612" s="451"/>
      <c r="O612" s="452"/>
      <c r="P612" s="452"/>
      <c r="Q612" s="452"/>
      <c r="R612" s="452"/>
      <c r="S612" s="452"/>
      <c r="T612" s="158"/>
    </row>
    <row r="613" spans="1:20" ht="12.75" customHeight="1" x14ac:dyDescent="0.3">
      <c r="A613" s="36" t="s">
        <v>735</v>
      </c>
      <c r="B613" s="29"/>
      <c r="C613" s="29"/>
      <c r="D613" s="29"/>
      <c r="E613" s="29"/>
      <c r="F613" s="29"/>
      <c r="G613" s="37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1"/>
      <c r="N613" s="451"/>
      <c r="O613" s="452"/>
      <c r="P613" s="452"/>
      <c r="Q613" s="452"/>
      <c r="R613" s="452"/>
      <c r="S613" s="452"/>
      <c r="T613" s="158"/>
    </row>
    <row r="614" spans="1:20" ht="12.75" customHeight="1" x14ac:dyDescent="0.3">
      <c r="A614" s="29"/>
      <c r="B614" s="36" t="s">
        <v>1020</v>
      </c>
      <c r="C614" s="29"/>
      <c r="D614" s="29"/>
      <c r="E614" s="29"/>
      <c r="F614" s="29"/>
      <c r="G614" s="37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1"/>
      <c r="N614" s="451"/>
      <c r="O614" s="452"/>
      <c r="P614" s="452"/>
      <c r="Q614" s="452"/>
      <c r="R614" s="452"/>
      <c r="S614" s="452"/>
      <c r="T614" s="158"/>
    </row>
    <row r="615" spans="1:20" ht="12.75" customHeight="1" x14ac:dyDescent="0.3">
      <c r="A615" s="29"/>
      <c r="B615" s="36" t="s">
        <v>3992</v>
      </c>
      <c r="C615" s="29"/>
      <c r="D615" s="29"/>
      <c r="E615" s="29"/>
      <c r="F615" s="29"/>
      <c r="G615" s="94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1"/>
      <c r="N615" s="451"/>
      <c r="O615" s="452"/>
      <c r="P615" s="452"/>
      <c r="Q615" s="452"/>
      <c r="R615" s="452"/>
      <c r="S615" s="452"/>
      <c r="T615" s="158"/>
    </row>
    <row r="616" spans="1:20" ht="12.75" customHeight="1" x14ac:dyDescent="0.3">
      <c r="A616" s="29"/>
      <c r="B616" s="36" t="s">
        <v>3993</v>
      </c>
      <c r="C616" s="29"/>
      <c r="D616" s="29"/>
      <c r="E616" s="29"/>
      <c r="F616" s="29"/>
      <c r="G616" s="94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1"/>
      <c r="N616" s="451"/>
      <c r="O616" s="452"/>
      <c r="P616" s="452"/>
      <c r="Q616" s="452"/>
      <c r="R616" s="452"/>
      <c r="S616" s="452"/>
      <c r="T616" s="158"/>
    </row>
    <row r="617" spans="1:20" ht="12.75" customHeight="1" x14ac:dyDescent="0.3">
      <c r="A617" s="29"/>
      <c r="B617" s="29"/>
      <c r="C617" s="36" t="s">
        <v>767</v>
      </c>
      <c r="D617" s="29"/>
      <c r="E617" s="29"/>
      <c r="F617" s="29"/>
      <c r="G617" s="94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1"/>
      <c r="N617" s="451"/>
      <c r="O617" s="452"/>
      <c r="P617" s="452"/>
      <c r="Q617" s="452"/>
      <c r="R617" s="452"/>
      <c r="S617" s="452"/>
      <c r="T617" s="158"/>
    </row>
    <row r="618" spans="1:20" ht="12.75" customHeight="1" x14ac:dyDescent="0.3">
      <c r="A618" s="29"/>
      <c r="B618" s="29"/>
      <c r="C618" s="36" t="s">
        <v>946</v>
      </c>
      <c r="D618" s="29"/>
      <c r="E618" s="29"/>
      <c r="F618" s="29"/>
      <c r="G618" s="94" t="s">
        <v>941</v>
      </c>
      <c r="H618" s="36" t="s">
        <v>719</v>
      </c>
      <c r="I618" s="522">
        <f>global!I14</f>
        <v>0</v>
      </c>
      <c r="J618" s="451"/>
      <c r="K618" s="451"/>
      <c r="L618" s="451"/>
      <c r="M618" s="451"/>
      <c r="N618" s="451">
        <v>990</v>
      </c>
      <c r="O618" s="452">
        <v>990</v>
      </c>
      <c r="P618" s="452"/>
      <c r="Q618" s="452">
        <v>990</v>
      </c>
      <c r="R618" s="452">
        <v>990</v>
      </c>
      <c r="S618" s="452">
        <v>990</v>
      </c>
      <c r="T618" s="158"/>
    </row>
    <row r="619" spans="1:20" ht="12.75" customHeight="1" x14ac:dyDescent="0.3">
      <c r="A619" s="29"/>
      <c r="B619" s="29"/>
      <c r="C619" s="36" t="s">
        <v>949</v>
      </c>
      <c r="D619" s="29"/>
      <c r="E619" s="29"/>
      <c r="F619" s="29"/>
      <c r="G619" s="94" t="s">
        <v>940</v>
      </c>
      <c r="H619" s="36" t="s">
        <v>719</v>
      </c>
      <c r="I619" s="522">
        <f>global!I15</f>
        <v>0</v>
      </c>
      <c r="J619" s="451"/>
      <c r="K619" s="451"/>
      <c r="L619" s="451"/>
      <c r="M619" s="451"/>
      <c r="N619" s="451">
        <v>10</v>
      </c>
      <c r="O619" s="452">
        <v>10</v>
      </c>
      <c r="P619" s="452"/>
      <c r="Q619" s="452">
        <v>10</v>
      </c>
      <c r="R619" s="452">
        <v>10</v>
      </c>
      <c r="S619" s="452">
        <v>10</v>
      </c>
      <c r="T619" s="158"/>
    </row>
    <row r="620" spans="1:20" ht="12.75" customHeight="1" x14ac:dyDescent="0.3">
      <c r="A620" s="29"/>
      <c r="B620" s="29"/>
      <c r="C620" s="36" t="s">
        <v>1053</v>
      </c>
      <c r="D620" s="29"/>
      <c r="E620" s="29"/>
      <c r="F620" s="29"/>
      <c r="G620" s="94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1"/>
      <c r="N620" s="451"/>
      <c r="O620" s="452"/>
      <c r="P620" s="452"/>
      <c r="Q620" s="452"/>
      <c r="R620" s="452"/>
      <c r="S620" s="452"/>
      <c r="T620" s="158"/>
    </row>
    <row r="621" spans="1:20" ht="12.75" customHeight="1" x14ac:dyDescent="0.3">
      <c r="A621" s="36"/>
      <c r="B621" s="29"/>
      <c r="C621" s="36" t="s">
        <v>3994</v>
      </c>
      <c r="D621" s="95"/>
      <c r="E621" s="95"/>
      <c r="F621" s="29"/>
      <c r="G621" s="94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1"/>
      <c r="N621" s="451"/>
      <c r="O621" s="452"/>
      <c r="P621" s="452"/>
      <c r="Q621" s="452"/>
      <c r="R621" s="452"/>
      <c r="S621" s="452"/>
      <c r="T621" s="158"/>
    </row>
    <row r="622" spans="1:20" ht="12.75" customHeight="1" x14ac:dyDescent="0.3">
      <c r="A622" s="29"/>
      <c r="B622" s="29"/>
      <c r="C622" s="29" t="s">
        <v>216</v>
      </c>
      <c r="D622" s="29"/>
      <c r="E622" s="29"/>
      <c r="F622" s="29"/>
      <c r="G622" s="36" t="s">
        <v>3995</v>
      </c>
      <c r="H622" s="36" t="s">
        <v>722</v>
      </c>
      <c r="I622" s="522">
        <f>global!I18</f>
        <v>0</v>
      </c>
      <c r="J622" s="451"/>
      <c r="K622" s="451"/>
      <c r="L622" s="451"/>
      <c r="M622" s="451"/>
      <c r="N622" s="451">
        <v>4.9999999999999995E-11</v>
      </c>
      <c r="O622" s="452">
        <v>4.9999999999999995E-11</v>
      </c>
      <c r="P622" s="452">
        <v>4.9999999999999995E-11</v>
      </c>
      <c r="Q622" s="452">
        <v>4.9999999999999995E-11</v>
      </c>
      <c r="R622" s="452">
        <v>4.9999999999999995E-11</v>
      </c>
      <c r="S622" s="452"/>
      <c r="T622" s="158"/>
    </row>
    <row r="623" spans="1:20" ht="12.75" customHeight="1" x14ac:dyDescent="0.3">
      <c r="A623" s="29"/>
      <c r="B623" s="29"/>
      <c r="C623" s="29" t="s">
        <v>217</v>
      </c>
      <c r="D623" s="29"/>
      <c r="E623" s="29"/>
      <c r="F623" s="29"/>
      <c r="G623" s="36" t="s">
        <v>3996</v>
      </c>
      <c r="H623" s="36" t="s">
        <v>722</v>
      </c>
      <c r="I623" s="522">
        <f>global!I19</f>
        <v>0</v>
      </c>
      <c r="J623" s="451"/>
      <c r="K623" s="451"/>
      <c r="L623" s="451"/>
      <c r="M623" s="451"/>
      <c r="N623" s="451">
        <v>9.9999999999999995E-21</v>
      </c>
      <c r="O623" s="452">
        <v>9.9999999999999995E-21</v>
      </c>
      <c r="P623" s="452">
        <v>9.9999999999999995E-21</v>
      </c>
      <c r="Q623" s="452">
        <v>9.9999999999999995E-21</v>
      </c>
      <c r="R623" s="452">
        <v>9.9999999999999995E-21</v>
      </c>
      <c r="S623" s="452"/>
      <c r="T623" s="158"/>
    </row>
    <row r="624" spans="1:20" ht="12.75" customHeight="1" x14ac:dyDescent="0.3">
      <c r="A624" s="36"/>
      <c r="B624" s="29"/>
      <c r="C624" s="36" t="s">
        <v>1054</v>
      </c>
      <c r="D624" s="95"/>
      <c r="E624" s="95"/>
      <c r="F624" s="29"/>
      <c r="G624" s="94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1"/>
      <c r="N624" s="451"/>
      <c r="O624" s="452"/>
      <c r="P624" s="452"/>
      <c r="Q624" s="452"/>
      <c r="R624" s="452"/>
      <c r="S624" s="452"/>
      <c r="T624" s="158"/>
    </row>
    <row r="625" spans="1:20" ht="12.75" customHeight="1" x14ac:dyDescent="0.3">
      <c r="A625" s="29"/>
      <c r="B625" s="29"/>
      <c r="C625" s="36" t="s">
        <v>1055</v>
      </c>
      <c r="D625" s="29"/>
      <c r="E625" s="29"/>
      <c r="F625" s="29"/>
      <c r="G625" s="94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1"/>
      <c r="N625" s="451"/>
      <c r="O625" s="452"/>
      <c r="P625" s="452"/>
      <c r="Q625" s="452"/>
      <c r="R625" s="452"/>
      <c r="S625" s="452"/>
      <c r="T625" s="158"/>
    </row>
    <row r="626" spans="1:20" ht="12.75" customHeight="1" x14ac:dyDescent="0.3">
      <c r="A626" s="29"/>
      <c r="B626" s="29"/>
      <c r="C626" s="36" t="s">
        <v>1056</v>
      </c>
      <c r="D626" s="29"/>
      <c r="E626" s="29"/>
      <c r="F626" s="29"/>
      <c r="G626" s="94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1"/>
      <c r="N626" s="451"/>
      <c r="O626" s="452"/>
      <c r="P626" s="452"/>
      <c r="Q626" s="452"/>
      <c r="R626" s="452"/>
      <c r="S626" s="452"/>
      <c r="T626" s="158"/>
    </row>
    <row r="627" spans="1:20" ht="12.75" customHeight="1" x14ac:dyDescent="0.3">
      <c r="A627" s="36"/>
      <c r="B627" s="29"/>
      <c r="C627" s="36" t="s">
        <v>434</v>
      </c>
      <c r="D627" s="95"/>
      <c r="E627" s="95"/>
      <c r="F627" s="29"/>
      <c r="G627" s="94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1"/>
      <c r="N627" s="451"/>
      <c r="O627" s="452"/>
      <c r="P627" s="452"/>
      <c r="Q627" s="452"/>
      <c r="R627" s="452"/>
      <c r="S627" s="452"/>
      <c r="T627" s="158"/>
    </row>
    <row r="628" spans="1:20" ht="12.75" customHeight="1" x14ac:dyDescent="0.3">
      <c r="A628" s="36"/>
      <c r="B628" s="29"/>
      <c r="C628" s="36" t="s">
        <v>888</v>
      </c>
      <c r="D628" s="95"/>
      <c r="E628" s="95"/>
      <c r="F628" s="29"/>
      <c r="G628" s="94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1"/>
      <c r="N628" s="451"/>
      <c r="O628" s="452"/>
      <c r="P628" s="452"/>
      <c r="Q628" s="452"/>
      <c r="R628" s="452"/>
      <c r="S628" s="452"/>
      <c r="T628" s="158"/>
    </row>
    <row r="629" spans="1:20" ht="12.75" customHeight="1" x14ac:dyDescent="0.3">
      <c r="A629" s="92"/>
      <c r="B629" s="92"/>
      <c r="C629" s="92"/>
      <c r="D629" s="92"/>
      <c r="E629" s="92"/>
      <c r="F629" s="92"/>
      <c r="G629" s="93"/>
      <c r="H629" s="133"/>
      <c r="I629" s="527"/>
      <c r="J629" s="459"/>
      <c r="K629" s="459"/>
      <c r="L629" s="459"/>
      <c r="M629" s="459"/>
      <c r="N629" s="459"/>
      <c r="O629" s="460"/>
      <c r="P629" s="460"/>
      <c r="Q629" s="460"/>
      <c r="R629" s="460"/>
      <c r="S629" s="460"/>
      <c r="T629" s="158"/>
    </row>
    <row r="630" spans="1:20" ht="12.75" customHeight="1" x14ac:dyDescent="0.3">
      <c r="A630" s="36" t="s">
        <v>90</v>
      </c>
      <c r="B630" s="29"/>
      <c r="C630" s="29"/>
      <c r="D630" s="29"/>
      <c r="E630" s="29"/>
      <c r="F630" s="29"/>
      <c r="G630" s="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1"/>
      <c r="N630" s="451"/>
      <c r="O630" s="452"/>
      <c r="P630" s="452"/>
      <c r="Q630" s="452"/>
      <c r="R630" s="452"/>
      <c r="S630" s="452"/>
      <c r="T630" s="158"/>
    </row>
    <row r="631" spans="1:20" ht="12.75" customHeight="1" x14ac:dyDescent="0.3">
      <c r="A631" s="36" t="s">
        <v>91</v>
      </c>
      <c r="B631" s="29"/>
      <c r="C631" s="29"/>
      <c r="D631" s="29"/>
      <c r="E631" s="29"/>
      <c r="F631" s="29"/>
      <c r="G631" s="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1"/>
      <c r="N631" s="451"/>
      <c r="O631" s="452"/>
      <c r="P631" s="452"/>
      <c r="Q631" s="452"/>
      <c r="R631" s="452"/>
      <c r="S631" s="452"/>
      <c r="T631" s="158"/>
    </row>
    <row r="632" spans="1:20" ht="12.75" customHeight="1" x14ac:dyDescent="0.3">
      <c r="A632" s="36" t="s">
        <v>92</v>
      </c>
      <c r="B632" s="29"/>
      <c r="C632" s="29"/>
      <c r="D632" s="29"/>
      <c r="E632" s="29"/>
      <c r="F632" s="29"/>
      <c r="G632" s="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1"/>
      <c r="N632" s="451"/>
      <c r="O632" s="452"/>
      <c r="P632" s="452"/>
      <c r="Q632" s="452"/>
      <c r="R632" s="452"/>
      <c r="S632" s="452"/>
      <c r="T632" s="158"/>
    </row>
    <row r="633" spans="1:20" ht="12.75" customHeight="1" x14ac:dyDescent="0.3">
      <c r="A633" s="29"/>
      <c r="B633" s="29"/>
      <c r="C633" s="29"/>
      <c r="D633" s="95"/>
      <c r="E633" s="29"/>
      <c r="F633" s="29"/>
      <c r="G633" s="37"/>
      <c r="H633" s="29"/>
      <c r="I633" s="523"/>
      <c r="J633" s="339"/>
      <c r="K633" s="339"/>
      <c r="L633" s="339"/>
      <c r="M633" s="339"/>
      <c r="N633" s="339"/>
      <c r="O633" s="282"/>
      <c r="P633" s="282"/>
      <c r="Q633" s="282"/>
      <c r="R633" s="282"/>
      <c r="S633" s="282"/>
      <c r="T633" s="158"/>
    </row>
    <row r="634" spans="1:20" ht="12.75" customHeight="1" x14ac:dyDescent="0.3">
      <c r="A634" s="36" t="s">
        <v>3997</v>
      </c>
      <c r="B634" s="29"/>
      <c r="C634" s="29"/>
      <c r="D634" s="29"/>
      <c r="E634" s="29"/>
      <c r="F634" s="29"/>
      <c r="G634" s="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1"/>
      <c r="N634" s="451"/>
      <c r="O634" s="452"/>
      <c r="P634" s="452"/>
      <c r="Q634" s="452"/>
      <c r="R634" s="452"/>
      <c r="S634" s="452"/>
      <c r="T634" s="158"/>
    </row>
    <row r="635" spans="1:20" ht="12.75" customHeight="1" x14ac:dyDescent="0.3">
      <c r="A635" s="36" t="s">
        <v>3998</v>
      </c>
      <c r="B635" s="29"/>
      <c r="C635" s="29"/>
      <c r="D635" s="29"/>
      <c r="E635" s="29"/>
      <c r="F635" s="29"/>
      <c r="G635" s="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1"/>
      <c r="N635" s="451"/>
      <c r="O635" s="452"/>
      <c r="P635" s="452"/>
      <c r="Q635" s="452"/>
      <c r="R635" s="452"/>
      <c r="S635" s="452"/>
      <c r="T635" s="158"/>
    </row>
    <row r="636" spans="1:20" ht="12.75" customHeight="1" x14ac:dyDescent="0.3">
      <c r="A636" s="36" t="s">
        <v>3999</v>
      </c>
      <c r="B636" s="29"/>
      <c r="C636" s="29"/>
      <c r="D636" s="29"/>
      <c r="E636" s="29"/>
      <c r="F636" s="29"/>
      <c r="G636" s="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1"/>
      <c r="N636" s="451"/>
      <c r="O636" s="452"/>
      <c r="P636" s="452"/>
      <c r="Q636" s="452"/>
      <c r="R636" s="452"/>
      <c r="S636" s="452"/>
      <c r="T636" s="158"/>
    </row>
    <row r="637" spans="1:20" ht="12.75" customHeight="1" x14ac:dyDescent="0.3">
      <c r="A637" s="36" t="s">
        <v>1118</v>
      </c>
      <c r="B637" s="29"/>
      <c r="C637" s="29"/>
      <c r="D637" s="29"/>
      <c r="E637" s="29"/>
      <c r="F637" s="29"/>
      <c r="G637" s="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1"/>
      <c r="N637" s="451"/>
      <c r="O637" s="452"/>
      <c r="P637" s="452"/>
      <c r="Q637" s="452"/>
      <c r="R637" s="452"/>
      <c r="S637" s="452"/>
      <c r="T637" s="158"/>
    </row>
    <row r="638" spans="1:20" ht="12.75" customHeight="1" x14ac:dyDescent="0.3">
      <c r="A638" s="36" t="s">
        <v>131</v>
      </c>
      <c r="B638" s="29"/>
      <c r="C638" s="29"/>
      <c r="D638" s="29"/>
      <c r="E638" s="29"/>
      <c r="F638" s="29"/>
      <c r="G638" s="36" t="s">
        <v>133</v>
      </c>
      <c r="H638" s="36" t="s">
        <v>2308</v>
      </c>
      <c r="I638" s="522">
        <f>global!I34</f>
        <v>0</v>
      </c>
      <c r="J638" s="451"/>
      <c r="K638" s="451"/>
      <c r="L638" s="451"/>
      <c r="M638" s="451"/>
      <c r="N638" s="451">
        <v>9.9999999999999995E-21</v>
      </c>
      <c r="O638" s="452">
        <v>9.9999999999999995E-21</v>
      </c>
      <c r="P638" s="452"/>
      <c r="Q638" s="452">
        <v>9.9999999999999995E-21</v>
      </c>
      <c r="R638" s="452">
        <v>9.9999999999999995E-21</v>
      </c>
      <c r="S638" s="452">
        <v>9.9999999999999995E-21</v>
      </c>
      <c r="T638" s="158"/>
    </row>
    <row r="639" spans="1:20" ht="12.75" customHeight="1" x14ac:dyDescent="0.3">
      <c r="A639" s="36"/>
      <c r="B639" s="36" t="s">
        <v>1430</v>
      </c>
      <c r="C639" s="29"/>
      <c r="D639" s="29"/>
      <c r="E639" s="29"/>
      <c r="F639" s="29"/>
      <c r="G639" s="94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1"/>
      <c r="N639" s="451"/>
      <c r="O639" s="452"/>
      <c r="P639" s="452"/>
      <c r="Q639" s="452"/>
      <c r="R639" s="452"/>
      <c r="S639" s="452"/>
      <c r="T639" s="158"/>
    </row>
    <row r="640" spans="1:20" ht="12.75" customHeight="1" x14ac:dyDescent="0.3">
      <c r="A640" s="36"/>
      <c r="B640" s="36" t="s">
        <v>1431</v>
      </c>
      <c r="C640" s="29"/>
      <c r="D640" s="29"/>
      <c r="E640" s="29"/>
      <c r="F640" s="29"/>
      <c r="G640" s="94" t="s">
        <v>1278</v>
      </c>
      <c r="H640" s="29" t="s">
        <v>2317</v>
      </c>
      <c r="I640" s="522">
        <f>global!I36</f>
        <v>0</v>
      </c>
      <c r="J640" s="451"/>
      <c r="K640" s="451"/>
      <c r="L640" s="451"/>
      <c r="M640" s="451"/>
      <c r="N640" s="451">
        <v>50497524.691810384</v>
      </c>
      <c r="O640" s="452">
        <v>50497524.691810384</v>
      </c>
      <c r="P640" s="452"/>
      <c r="Q640" s="452">
        <v>50497524.691810384</v>
      </c>
      <c r="R640" s="452">
        <v>50497524.691810384</v>
      </c>
      <c r="S640" s="452">
        <v>50497524.691810384</v>
      </c>
      <c r="T640" s="158"/>
    </row>
    <row r="641" spans="1:20" ht="12.75" customHeight="1" x14ac:dyDescent="0.3">
      <c r="A641" s="36"/>
      <c r="B641" s="36" t="s">
        <v>1432</v>
      </c>
      <c r="C641" s="29"/>
      <c r="D641" s="29"/>
      <c r="E641" s="29"/>
      <c r="F641" s="29"/>
      <c r="G641" s="94" t="s">
        <v>1279</v>
      </c>
      <c r="H641" s="29" t="s">
        <v>2317</v>
      </c>
      <c r="I641" s="522">
        <f>global!I37</f>
        <v>0</v>
      </c>
      <c r="J641" s="451"/>
      <c r="K641" s="451"/>
      <c r="L641" s="451"/>
      <c r="M641" s="451"/>
      <c r="N641" s="451">
        <v>94472218.138455927</v>
      </c>
      <c r="O641" s="452">
        <v>94472218.138455927</v>
      </c>
      <c r="P641" s="452"/>
      <c r="Q641" s="452">
        <v>94472218.138455927</v>
      </c>
      <c r="R641" s="452">
        <v>94472218.138455927</v>
      </c>
      <c r="S641" s="452">
        <v>94472218.138455927</v>
      </c>
      <c r="T641" s="158"/>
    </row>
    <row r="642" spans="1:20" ht="12.75" customHeight="1" x14ac:dyDescent="0.3">
      <c r="A642" s="36"/>
      <c r="B642" s="36"/>
      <c r="C642" s="29" t="s">
        <v>1424</v>
      </c>
      <c r="D642" s="29"/>
      <c r="E642" s="29"/>
      <c r="F642" s="29"/>
      <c r="G642" s="37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1"/>
      <c r="N642" s="451"/>
      <c r="O642" s="452"/>
      <c r="P642" s="452"/>
      <c r="Q642" s="452"/>
      <c r="R642" s="452"/>
      <c r="S642" s="452"/>
      <c r="T642" s="158"/>
    </row>
    <row r="643" spans="1:20" ht="12.75" customHeight="1" x14ac:dyDescent="0.3">
      <c r="A643" s="36" t="s">
        <v>1113</v>
      </c>
      <c r="B643" s="29"/>
      <c r="C643" s="29"/>
      <c r="D643" s="29"/>
      <c r="E643" s="29"/>
      <c r="F643" s="29"/>
      <c r="G643" s="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1"/>
      <c r="N643" s="451"/>
      <c r="O643" s="452"/>
      <c r="P643" s="452"/>
      <c r="Q643" s="452"/>
      <c r="R643" s="452"/>
      <c r="S643" s="452"/>
      <c r="T643" s="158"/>
    </row>
    <row r="644" spans="1:20" ht="12.75" customHeight="1" x14ac:dyDescent="0.3">
      <c r="A644" s="36" t="s">
        <v>1114</v>
      </c>
      <c r="B644" s="29"/>
      <c r="C644" s="29"/>
      <c r="D644" s="29"/>
      <c r="E644" s="29"/>
      <c r="F644" s="29"/>
      <c r="G644" s="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1"/>
      <c r="N644" s="451"/>
      <c r="O644" s="452"/>
      <c r="P644" s="452"/>
      <c r="Q644" s="452"/>
      <c r="R644" s="452"/>
      <c r="S644" s="452"/>
      <c r="T644" s="158"/>
    </row>
    <row r="645" spans="1:20" ht="12.75" customHeight="1" x14ac:dyDescent="0.3">
      <c r="A645" s="36"/>
      <c r="B645" s="29" t="s">
        <v>693</v>
      </c>
      <c r="C645" s="29"/>
      <c r="D645" s="29"/>
      <c r="E645" s="29"/>
      <c r="F645" s="29"/>
      <c r="G645" s="37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1"/>
      <c r="N645" s="451"/>
      <c r="O645" s="452"/>
      <c r="P645" s="452"/>
      <c r="Q645" s="452"/>
      <c r="R645" s="452"/>
      <c r="S645" s="452"/>
      <c r="T645" s="158"/>
    </row>
    <row r="646" spans="1:20" ht="12.75" customHeight="1" x14ac:dyDescent="0.3">
      <c r="A646" s="36"/>
      <c r="B646" s="36"/>
      <c r="C646" s="29" t="s">
        <v>1218</v>
      </c>
      <c r="D646" s="29"/>
      <c r="E646" s="29"/>
      <c r="F646" s="29"/>
      <c r="G646" s="37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1"/>
      <c r="N646" s="451"/>
      <c r="O646" s="452"/>
      <c r="P646" s="452"/>
      <c r="Q646" s="452"/>
      <c r="R646" s="452"/>
      <c r="S646" s="452"/>
      <c r="T646" s="158"/>
    </row>
    <row r="647" spans="1:20" ht="12.75" customHeight="1" x14ac:dyDescent="0.3">
      <c r="A647" s="29"/>
      <c r="B647" s="29"/>
      <c r="C647" s="29"/>
      <c r="D647" s="29"/>
      <c r="E647" s="29"/>
      <c r="F647" s="29"/>
      <c r="G647" s="29"/>
      <c r="H647" s="29"/>
      <c r="I647" s="457"/>
      <c r="J647" s="339"/>
      <c r="K647" s="339"/>
      <c r="L647" s="339"/>
      <c r="M647" s="339"/>
      <c r="N647" s="339"/>
      <c r="O647" s="282"/>
      <c r="P647" s="282"/>
      <c r="Q647" s="282"/>
      <c r="R647" s="282"/>
      <c r="S647" s="282"/>
      <c r="T647" s="158"/>
    </row>
    <row r="648" spans="1:20" ht="12.75" customHeight="1" x14ac:dyDescent="0.3">
      <c r="A648" s="98" t="s">
        <v>209</v>
      </c>
      <c r="B648" s="97"/>
      <c r="C648" s="97"/>
      <c r="D648" s="97"/>
      <c r="E648" s="97"/>
      <c r="F648" s="97"/>
      <c r="G648" s="97"/>
      <c r="H648" s="97"/>
      <c r="I648" s="340" t="s">
        <v>754</v>
      </c>
      <c r="J648" s="364"/>
      <c r="K648" s="364"/>
      <c r="L648" s="364" t="s">
        <v>754</v>
      </c>
      <c r="M648" s="364" t="s">
        <v>754</v>
      </c>
      <c r="N648" s="364"/>
      <c r="O648" s="470"/>
      <c r="P648" s="470"/>
      <c r="Q648" s="470"/>
      <c r="R648" s="470"/>
      <c r="S648" s="470"/>
      <c r="T648" s="158"/>
    </row>
    <row r="649" spans="1:20" ht="12.75" customHeight="1" x14ac:dyDescent="0.3">
      <c r="A649" s="29"/>
      <c r="B649" s="29"/>
      <c r="C649" s="29"/>
      <c r="D649" s="29"/>
      <c r="E649" s="29"/>
      <c r="F649" s="29"/>
      <c r="G649" s="29"/>
      <c r="H649" s="29"/>
      <c r="I649" s="342"/>
      <c r="J649" s="339"/>
      <c r="K649" s="339"/>
      <c r="L649" s="339"/>
      <c r="M649" s="339"/>
      <c r="N649" s="339"/>
      <c r="O649" s="282"/>
      <c r="P649" s="282"/>
      <c r="Q649" s="282"/>
      <c r="R649" s="282"/>
      <c r="S649" s="282"/>
      <c r="T649" s="158"/>
    </row>
    <row r="650" spans="1:20" ht="12.75" customHeight="1" x14ac:dyDescent="0.3">
      <c r="A650" s="29"/>
      <c r="B650" s="36" t="s">
        <v>986</v>
      </c>
      <c r="C650" s="36"/>
      <c r="D650" s="36"/>
      <c r="E650" s="36"/>
      <c r="F650" s="36"/>
      <c r="G650" s="36" t="s">
        <v>4000</v>
      </c>
      <c r="H650" s="36" t="s">
        <v>36</v>
      </c>
      <c r="I650" s="522">
        <f>global!I46</f>
        <v>0</v>
      </c>
      <c r="J650" s="451"/>
      <c r="K650" s="451"/>
      <c r="L650" s="451"/>
      <c r="M650" s="451"/>
      <c r="N650" s="451">
        <f t="shared" ref="N650:R650" si="13">1-(0.0000258)/(IF(Tm&gt;298,EXP(-6.79*(1-Tm/298))*Pvap25*EXP((H0vap/8.314)*(1/298-1/TEMP.M)),Pvap25*EXP((H0vap/8.314)*(1/298-1/TEMP.M)))+(0.0000258))</f>
        <v>0.12462796418239608</v>
      </c>
      <c r="O650" s="452">
        <f t="shared" si="13"/>
        <v>0.12462796418239608</v>
      </c>
      <c r="P650" s="452">
        <f t="shared" si="13"/>
        <v>0.12462796418239608</v>
      </c>
      <c r="Q650" s="452">
        <f t="shared" si="13"/>
        <v>0.12462796418239608</v>
      </c>
      <c r="R650" s="452">
        <f t="shared" si="13"/>
        <v>0.12462796418239608</v>
      </c>
      <c r="S650" s="452"/>
      <c r="T650" s="158"/>
    </row>
    <row r="651" spans="1:20" ht="12.75" customHeight="1" x14ac:dyDescent="0.3">
      <c r="A651" s="29"/>
      <c r="B651" s="29" t="s">
        <v>615</v>
      </c>
      <c r="C651" s="29"/>
      <c r="D651" s="29"/>
      <c r="E651" s="29"/>
      <c r="F651" s="29"/>
      <c r="G651" s="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1"/>
      <c r="N651" s="451"/>
      <c r="O651" s="452"/>
      <c r="P651" s="452"/>
      <c r="Q651" s="452"/>
      <c r="R651" s="452"/>
      <c r="S651" s="452"/>
      <c r="T651" s="158"/>
    </row>
    <row r="652" spans="1:20" ht="12.75" customHeight="1" x14ac:dyDescent="0.3">
      <c r="A652" s="29"/>
      <c r="B652" s="29" t="s">
        <v>616</v>
      </c>
      <c r="C652" s="29"/>
      <c r="D652" s="29"/>
      <c r="E652" s="29"/>
      <c r="F652" s="29"/>
      <c r="G652" s="29" t="s">
        <v>635</v>
      </c>
      <c r="H652" s="29" t="s">
        <v>36</v>
      </c>
      <c r="I652" s="522">
        <f>global!I48</f>
        <v>0</v>
      </c>
      <c r="J652" s="451"/>
      <c r="K652" s="451"/>
      <c r="L652" s="451"/>
      <c r="M652" s="451"/>
      <c r="N652" s="451">
        <f t="shared" ref="N652:R652" si="14">(0.0000258)/(IF(Tm&gt;298,EXP(-6.79*(1-Tm/298))*Pvap25*EXP((H0vap/8.314)*(1/298-1/TEMP.M)),Pvap25*EXP((H0vap/8.314)*(1/298-1/TEMP.M)))+(0.0000258))</f>
        <v>0.87537203581760392</v>
      </c>
      <c r="O652" s="452">
        <f t="shared" si="14"/>
        <v>0.87537203581760392</v>
      </c>
      <c r="P652" s="452">
        <f t="shared" si="14"/>
        <v>0.87537203581760392</v>
      </c>
      <c r="Q652" s="452">
        <f t="shared" si="14"/>
        <v>0.87537203581760392</v>
      </c>
      <c r="R652" s="452">
        <f t="shared" si="14"/>
        <v>0.87537203581760392</v>
      </c>
      <c r="S652" s="452"/>
      <c r="T652" s="158"/>
    </row>
    <row r="653" spans="1:20" ht="12.75" customHeight="1" x14ac:dyDescent="0.3">
      <c r="A653" s="29"/>
      <c r="B653" s="36" t="s">
        <v>1043</v>
      </c>
      <c r="C653" s="36"/>
      <c r="D653" s="36"/>
      <c r="E653" s="36"/>
      <c r="F653" s="36"/>
      <c r="G653" s="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1"/>
      <c r="N653" s="451"/>
      <c r="O653" s="452"/>
      <c r="P653" s="452"/>
      <c r="Q653" s="452"/>
      <c r="R653" s="452"/>
      <c r="S653" s="452"/>
      <c r="T653" s="158"/>
    </row>
    <row r="654" spans="1:20" ht="12.75" customHeight="1" x14ac:dyDescent="0.3">
      <c r="A654" s="36"/>
      <c r="B654" s="36"/>
      <c r="C654" s="36" t="s">
        <v>543</v>
      </c>
      <c r="D654" s="36"/>
      <c r="E654" s="36"/>
      <c r="F654" s="36"/>
      <c r="G654" s="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1"/>
      <c r="N654" s="451"/>
      <c r="O654" s="452"/>
      <c r="P654" s="452"/>
      <c r="Q654" s="452"/>
      <c r="R654" s="452"/>
      <c r="S654" s="452"/>
      <c r="T654" s="158"/>
    </row>
    <row r="655" spans="1:20" ht="12.75" customHeight="1" x14ac:dyDescent="0.35">
      <c r="A655" s="29"/>
      <c r="B655" s="29"/>
      <c r="C655" s="29" t="s">
        <v>612</v>
      </c>
      <c r="D655" s="29"/>
      <c r="E655" s="29"/>
      <c r="F655" s="29"/>
      <c r="G655" s="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1"/>
      <c r="N655" s="451"/>
      <c r="O655" s="452"/>
      <c r="P655" s="452"/>
      <c r="Q655" s="452"/>
      <c r="R655" s="452"/>
      <c r="S655" s="452"/>
      <c r="T655" s="158"/>
    </row>
    <row r="656" spans="1:20" ht="12.75" customHeight="1" x14ac:dyDescent="0.35">
      <c r="A656" s="29"/>
      <c r="B656" s="29"/>
      <c r="C656" s="29" t="s">
        <v>613</v>
      </c>
      <c r="D656" s="29"/>
      <c r="E656" s="29"/>
      <c r="F656" s="29"/>
      <c r="G656" s="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1"/>
      <c r="N656" s="451"/>
      <c r="O656" s="452"/>
      <c r="P656" s="452"/>
      <c r="Q656" s="452"/>
      <c r="R656" s="452"/>
      <c r="S656" s="452"/>
      <c r="T656" s="158"/>
    </row>
    <row r="657" spans="1:20" ht="12.75" customHeight="1" x14ac:dyDescent="0.3">
      <c r="A657" s="36"/>
      <c r="B657" s="36" t="s">
        <v>4002</v>
      </c>
      <c r="C657" s="95"/>
      <c r="D657" s="29"/>
      <c r="E657" s="29"/>
      <c r="F657" s="29"/>
      <c r="G657" s="37" t="s">
        <v>134</v>
      </c>
      <c r="H657" s="36" t="s">
        <v>36</v>
      </c>
      <c r="I657" s="522">
        <f>global!I53</f>
        <v>0</v>
      </c>
      <c r="J657" s="451"/>
      <c r="K657" s="451"/>
      <c r="L657" s="451"/>
      <c r="M657" s="451"/>
      <c r="N657" s="451">
        <f t="shared" ref="N657:R657" si="15">1/(1+Kp.susp2M*SUSP.w2M/1000+0.05*Kow*0.001/1000)</f>
        <v>0.99933769729472144</v>
      </c>
      <c r="O657" s="452">
        <f t="shared" si="15"/>
        <v>0.99933769729472144</v>
      </c>
      <c r="P657" s="452">
        <f t="shared" si="15"/>
        <v>0.99933769729472144</v>
      </c>
      <c r="Q657" s="452">
        <f t="shared" si="15"/>
        <v>0.99933769729472144</v>
      </c>
      <c r="R657" s="452">
        <f t="shared" si="15"/>
        <v>0.99933769729472144</v>
      </c>
      <c r="S657" s="452"/>
      <c r="T657" s="158"/>
    </row>
    <row r="658" spans="1:20" ht="12.75" customHeight="1" x14ac:dyDescent="0.3">
      <c r="A658" s="36"/>
      <c r="B658" s="36" t="s">
        <v>1119</v>
      </c>
      <c r="C658" s="95"/>
      <c r="D658" s="29"/>
      <c r="E658" s="29"/>
      <c r="F658" s="29"/>
      <c r="G658" s="37" t="s">
        <v>135</v>
      </c>
      <c r="H658" s="36" t="s">
        <v>36</v>
      </c>
      <c r="I658" s="522">
        <f>global!I54</f>
        <v>0</v>
      </c>
      <c r="J658" s="451"/>
      <c r="K658" s="451"/>
      <c r="L658" s="451"/>
      <c r="M658" s="451"/>
      <c r="N658" s="451">
        <f t="shared" ref="N658:R658" si="16">1/(1+Kp.susp3M*SUSP.w3M/1000+0.05*Kow*0.001/1000)</f>
        <v>0.99933769729472144</v>
      </c>
      <c r="O658" s="452">
        <f t="shared" si="16"/>
        <v>0.99933769729472144</v>
      </c>
      <c r="P658" s="452">
        <f t="shared" si="16"/>
        <v>0.99933769729472144</v>
      </c>
      <c r="Q658" s="452">
        <f t="shared" si="16"/>
        <v>0.99933769729472144</v>
      </c>
      <c r="R658" s="452">
        <f t="shared" si="16"/>
        <v>0.99933769729472144</v>
      </c>
      <c r="S658" s="452"/>
      <c r="T658" s="158"/>
    </row>
    <row r="659" spans="1:20" ht="12.75" customHeight="1" x14ac:dyDescent="0.3">
      <c r="A659" s="36"/>
      <c r="B659" s="29"/>
      <c r="C659" s="36" t="s">
        <v>4003</v>
      </c>
      <c r="D659" s="29"/>
      <c r="E659" s="29"/>
      <c r="F659" s="29"/>
      <c r="G659" s="94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1"/>
      <c r="N659" s="451"/>
      <c r="O659" s="452"/>
      <c r="P659" s="452"/>
      <c r="Q659" s="452"/>
      <c r="R659" s="452"/>
      <c r="S659" s="452"/>
      <c r="T659" s="158"/>
    </row>
    <row r="660" spans="1:20" ht="12.75" customHeight="1" x14ac:dyDescent="0.3">
      <c r="A660" s="36"/>
      <c r="B660" s="29"/>
      <c r="C660" s="36" t="s">
        <v>1122</v>
      </c>
      <c r="D660" s="29"/>
      <c r="E660" s="29"/>
      <c r="F660" s="29"/>
      <c r="G660" s="94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1"/>
      <c r="N660" s="451"/>
      <c r="O660" s="452"/>
      <c r="P660" s="452"/>
      <c r="Q660" s="452"/>
      <c r="R660" s="452"/>
      <c r="S660" s="452"/>
      <c r="T660" s="158"/>
    </row>
    <row r="661" spans="1:20" ht="12.75" customHeight="1" x14ac:dyDescent="0.3">
      <c r="A661" s="36"/>
      <c r="B661" s="29"/>
      <c r="C661" s="36" t="s">
        <v>4004</v>
      </c>
      <c r="D661" s="29"/>
      <c r="E661" s="29"/>
      <c r="F661" s="29"/>
      <c r="G661" s="94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1"/>
      <c r="N661" s="451"/>
      <c r="O661" s="452"/>
      <c r="P661" s="452"/>
      <c r="Q661" s="452"/>
      <c r="R661" s="452"/>
      <c r="S661" s="452"/>
      <c r="T661" s="158"/>
    </row>
    <row r="662" spans="1:20" ht="12.75" customHeight="1" x14ac:dyDescent="0.3">
      <c r="A662" s="36"/>
      <c r="B662" s="29"/>
      <c r="C662" s="36" t="s">
        <v>1124</v>
      </c>
      <c r="D662" s="29"/>
      <c r="E662" s="29"/>
      <c r="F662" s="29"/>
      <c r="G662" s="94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1"/>
      <c r="N662" s="451"/>
      <c r="O662" s="452"/>
      <c r="P662" s="452"/>
      <c r="Q662" s="452"/>
      <c r="R662" s="452"/>
      <c r="S662" s="452"/>
      <c r="T662" s="158"/>
    </row>
    <row r="663" spans="1:20" ht="12.75" customHeight="1" x14ac:dyDescent="0.3">
      <c r="A663" s="36"/>
      <c r="B663" s="29"/>
      <c r="C663" s="36" t="s">
        <v>4005</v>
      </c>
      <c r="D663" s="29"/>
      <c r="E663" s="29"/>
      <c r="F663" s="29"/>
      <c r="G663" s="94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1"/>
      <c r="N663" s="451"/>
      <c r="O663" s="452"/>
      <c r="P663" s="452"/>
      <c r="Q663" s="452"/>
      <c r="R663" s="452"/>
      <c r="S663" s="452"/>
      <c r="T663" s="158"/>
    </row>
    <row r="664" spans="1:20" ht="12.75" customHeight="1" x14ac:dyDescent="0.3">
      <c r="A664" s="36"/>
      <c r="B664" s="29"/>
      <c r="C664" s="36" t="s">
        <v>1126</v>
      </c>
      <c r="D664" s="29"/>
      <c r="E664" s="29"/>
      <c r="F664" s="29"/>
      <c r="G664" s="94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1"/>
      <c r="N664" s="451"/>
      <c r="O664" s="452"/>
      <c r="P664" s="452"/>
      <c r="Q664" s="452"/>
      <c r="R664" s="452"/>
      <c r="S664" s="452"/>
      <c r="T664" s="158"/>
    </row>
    <row r="665" spans="1:20" ht="12.75" customHeight="1" x14ac:dyDescent="0.3">
      <c r="A665" s="36"/>
      <c r="B665" s="29"/>
      <c r="C665" s="36" t="s">
        <v>4006</v>
      </c>
      <c r="D665" s="29"/>
      <c r="E665" s="29"/>
      <c r="F665" s="29"/>
      <c r="G665" s="94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1"/>
      <c r="N665" s="451"/>
      <c r="O665" s="452"/>
      <c r="P665" s="452"/>
      <c r="Q665" s="452"/>
      <c r="R665" s="452"/>
      <c r="S665" s="452"/>
      <c r="T665" s="158"/>
    </row>
    <row r="666" spans="1:20" ht="12.75" customHeight="1" x14ac:dyDescent="0.3">
      <c r="A666" s="36"/>
      <c r="B666" s="29"/>
      <c r="C666" s="36" t="s">
        <v>1143</v>
      </c>
      <c r="D666" s="29"/>
      <c r="E666" s="29"/>
      <c r="F666" s="29"/>
      <c r="G666" s="94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1"/>
      <c r="N666" s="451"/>
      <c r="O666" s="452"/>
      <c r="P666" s="452"/>
      <c r="Q666" s="452"/>
      <c r="R666" s="452"/>
      <c r="S666" s="452"/>
      <c r="T666" s="158"/>
    </row>
    <row r="667" spans="1:20" ht="12.75" customHeight="1" x14ac:dyDescent="0.3">
      <c r="A667" s="36"/>
      <c r="B667" s="29"/>
      <c r="C667" s="36" t="s">
        <v>4007</v>
      </c>
      <c r="D667" s="29"/>
      <c r="E667" s="29"/>
      <c r="F667" s="29"/>
      <c r="G667" s="94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1"/>
      <c r="N667" s="451"/>
      <c r="O667" s="452"/>
      <c r="P667" s="452"/>
      <c r="Q667" s="452"/>
      <c r="R667" s="452"/>
      <c r="S667" s="452"/>
      <c r="T667" s="158"/>
    </row>
    <row r="668" spans="1:20" ht="12.75" customHeight="1" x14ac:dyDescent="0.3">
      <c r="A668" s="36"/>
      <c r="B668" s="29"/>
      <c r="C668" s="36" t="s">
        <v>1130</v>
      </c>
      <c r="D668" s="29"/>
      <c r="E668" s="29"/>
      <c r="F668" s="29"/>
      <c r="G668" s="94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1"/>
      <c r="N668" s="451"/>
      <c r="O668" s="452"/>
      <c r="P668" s="452"/>
      <c r="Q668" s="452"/>
      <c r="R668" s="452"/>
      <c r="S668" s="452"/>
      <c r="T668" s="158"/>
    </row>
    <row r="669" spans="1:20" ht="12.75" customHeight="1" x14ac:dyDescent="0.3">
      <c r="A669" s="36"/>
      <c r="B669" s="36" t="s">
        <v>1375</v>
      </c>
      <c r="C669" s="95"/>
      <c r="D669" s="29"/>
      <c r="E669" s="29"/>
      <c r="F669" s="29"/>
      <c r="G669" s="94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1"/>
      <c r="N669" s="451"/>
      <c r="O669" s="452"/>
      <c r="P669" s="452"/>
      <c r="Q669" s="452"/>
      <c r="R669" s="452"/>
      <c r="S669" s="452"/>
      <c r="T669" s="158"/>
    </row>
    <row r="670" spans="1:20" ht="12.75" customHeight="1" x14ac:dyDescent="0.3">
      <c r="A670" s="36"/>
      <c r="B670" s="29"/>
      <c r="C670" s="36" t="s">
        <v>1376</v>
      </c>
      <c r="D670" s="29"/>
      <c r="E670" s="29"/>
      <c r="F670" s="29"/>
      <c r="G670" s="94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1"/>
      <c r="N670" s="451"/>
      <c r="O670" s="452"/>
      <c r="P670" s="452"/>
      <c r="Q670" s="452"/>
      <c r="R670" s="452"/>
      <c r="S670" s="452"/>
      <c r="T670" s="158"/>
    </row>
    <row r="671" spans="1:20" ht="12.75" customHeight="1" x14ac:dyDescent="0.3">
      <c r="A671" s="36"/>
      <c r="B671" s="29"/>
      <c r="C671" s="36" t="s">
        <v>546</v>
      </c>
      <c r="D671" s="29"/>
      <c r="E671" s="29"/>
      <c r="F671" s="29"/>
      <c r="G671" s="94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1"/>
      <c r="N671" s="451"/>
      <c r="O671" s="452"/>
      <c r="P671" s="452"/>
      <c r="Q671" s="452"/>
      <c r="R671" s="452"/>
      <c r="S671" s="452"/>
      <c r="T671" s="158"/>
    </row>
    <row r="672" spans="1:20" ht="12.75" customHeight="1" x14ac:dyDescent="0.3">
      <c r="A672" s="36"/>
      <c r="B672" s="36" t="s">
        <v>1372</v>
      </c>
      <c r="C672" s="95"/>
      <c r="D672" s="29"/>
      <c r="E672" s="29"/>
      <c r="F672" s="29"/>
      <c r="G672" s="94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1"/>
      <c r="N672" s="451"/>
      <c r="O672" s="452"/>
      <c r="P672" s="452"/>
      <c r="Q672" s="452"/>
      <c r="R672" s="452"/>
      <c r="S672" s="452"/>
      <c r="T672" s="158"/>
    </row>
    <row r="673" spans="1:20" ht="12.75" customHeight="1" x14ac:dyDescent="0.3">
      <c r="A673" s="36"/>
      <c r="B673" s="36" t="s">
        <v>48</v>
      </c>
      <c r="C673" s="95"/>
      <c r="D673" s="29"/>
      <c r="E673" s="29"/>
      <c r="F673" s="29"/>
      <c r="G673" s="94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1"/>
      <c r="N673" s="451"/>
      <c r="O673" s="452"/>
      <c r="P673" s="452"/>
      <c r="Q673" s="452"/>
      <c r="R673" s="452"/>
      <c r="S673" s="452"/>
      <c r="T673" s="158"/>
    </row>
    <row r="674" spans="1:20" ht="12.75" customHeight="1" x14ac:dyDescent="0.3">
      <c r="A674" s="36"/>
      <c r="B674" s="36" t="s">
        <v>1301</v>
      </c>
      <c r="C674" s="95"/>
      <c r="D674" s="29"/>
      <c r="E674" s="29"/>
      <c r="F674" s="29"/>
      <c r="G674" s="94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1"/>
      <c r="N674" s="451"/>
      <c r="O674" s="452"/>
      <c r="P674" s="452"/>
      <c r="Q674" s="452"/>
      <c r="R674" s="452"/>
      <c r="S674" s="452"/>
      <c r="T674" s="158"/>
    </row>
    <row r="675" spans="1:20" ht="12.75" customHeight="1" x14ac:dyDescent="0.3">
      <c r="A675" s="36"/>
      <c r="B675" s="29"/>
      <c r="C675" s="36" t="s">
        <v>1373</v>
      </c>
      <c r="D675" s="29"/>
      <c r="E675" s="29"/>
      <c r="F675" s="29"/>
      <c r="G675" s="94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1"/>
      <c r="N675" s="451"/>
      <c r="O675" s="452"/>
      <c r="P675" s="452"/>
      <c r="Q675" s="452"/>
      <c r="R675" s="452"/>
      <c r="S675" s="452"/>
      <c r="T675" s="158"/>
    </row>
    <row r="676" spans="1:20" ht="12.75" customHeight="1" x14ac:dyDescent="0.3">
      <c r="A676" s="36"/>
      <c r="B676" s="29"/>
      <c r="C676" s="36" t="s">
        <v>1374</v>
      </c>
      <c r="D676" s="29"/>
      <c r="E676" s="29"/>
      <c r="F676" s="29"/>
      <c r="G676" s="94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1"/>
      <c r="N676" s="451"/>
      <c r="O676" s="452"/>
      <c r="P676" s="452"/>
      <c r="Q676" s="452"/>
      <c r="R676" s="452"/>
      <c r="S676" s="452"/>
      <c r="T676" s="158"/>
    </row>
    <row r="677" spans="1:20" ht="12.75" customHeight="1" x14ac:dyDescent="0.3">
      <c r="A677" s="29"/>
      <c r="B677" s="29"/>
      <c r="C677" s="29"/>
      <c r="D677" s="29"/>
      <c r="E677" s="29"/>
      <c r="F677" s="29"/>
      <c r="G677" s="29"/>
      <c r="H677" s="29"/>
      <c r="I677" s="457"/>
      <c r="J677" s="339"/>
      <c r="K677" s="339"/>
      <c r="L677" s="339"/>
      <c r="M677" s="339"/>
      <c r="N677" s="339"/>
      <c r="O677" s="282"/>
      <c r="P677" s="282"/>
      <c r="Q677" s="282"/>
      <c r="R677" s="282"/>
      <c r="S677" s="282"/>
      <c r="T677" s="158"/>
    </row>
    <row r="678" spans="1:20" ht="12.75" customHeight="1" x14ac:dyDescent="0.3">
      <c r="A678" s="98" t="s">
        <v>1311</v>
      </c>
      <c r="B678" s="97"/>
      <c r="C678" s="97"/>
      <c r="D678" s="97"/>
      <c r="E678" s="97"/>
      <c r="F678" s="97"/>
      <c r="G678" s="97"/>
      <c r="H678" s="97"/>
      <c r="I678" s="340" t="s">
        <v>754</v>
      </c>
      <c r="J678" s="364"/>
      <c r="K678" s="364"/>
      <c r="L678" s="364" t="s">
        <v>754</v>
      </c>
      <c r="M678" s="364" t="s">
        <v>754</v>
      </c>
      <c r="N678" s="364"/>
      <c r="O678" s="470"/>
      <c r="P678" s="470"/>
      <c r="Q678" s="470"/>
      <c r="R678" s="470"/>
      <c r="S678" s="470"/>
      <c r="T678" s="158"/>
    </row>
    <row r="679" spans="1:20" ht="12.75" customHeight="1" x14ac:dyDescent="0.3">
      <c r="A679" s="29"/>
      <c r="B679" s="29"/>
      <c r="C679" s="29"/>
      <c r="D679" s="29"/>
      <c r="E679" s="29"/>
      <c r="F679" s="29"/>
      <c r="G679" s="29"/>
      <c r="H679" s="29"/>
      <c r="I679" s="342"/>
      <c r="J679" s="339"/>
      <c r="K679" s="339"/>
      <c r="L679" s="339"/>
      <c r="M679" s="339"/>
      <c r="N679" s="339"/>
      <c r="O679" s="282"/>
      <c r="P679" s="282"/>
      <c r="Q679" s="282"/>
      <c r="R679" s="282"/>
      <c r="S679" s="282"/>
      <c r="T679" s="158"/>
    </row>
    <row r="680" spans="1:20" ht="12.75" customHeight="1" x14ac:dyDescent="0.3">
      <c r="A680" s="36" t="s">
        <v>93</v>
      </c>
      <c r="B680" s="29"/>
      <c r="C680" s="29"/>
      <c r="D680" s="29"/>
      <c r="E680" s="29"/>
      <c r="F680" s="29"/>
      <c r="G680" s="36" t="s">
        <v>1251</v>
      </c>
      <c r="H680" s="36" t="s">
        <v>2308</v>
      </c>
      <c r="I680" s="522">
        <f>global!I76</f>
        <v>0</v>
      </c>
      <c r="J680" s="451"/>
      <c r="K680" s="451"/>
      <c r="L680" s="451"/>
      <c r="M680" s="451"/>
      <c r="N680" s="451">
        <f>((DRYDEPaerosol.M+AerosolWashout.M+GasWashout.M+GASABS.aM.wM)/HEIGHT.aC)*AREAFRAC.wM</f>
        <v>3.6755287996258572E-3</v>
      </c>
      <c r="O680" s="451">
        <f>((DRYDEPaerosol.M+AerosolWashout.M+GasWashout.M+GASABS.aM.wM)/HEIGHT.aC)*AREAFRAC.wM</f>
        <v>3.6755287996258572E-3</v>
      </c>
      <c r="P680" s="451">
        <f>((DRYDEPaerosol.M+AerosolWashout.M+GasWashout.M+GASABS.aM.wM)/HEIGHT.aC)*AREAFRAC.wM</f>
        <v>3.6755287996258572E-3</v>
      </c>
      <c r="Q680" s="451">
        <f>((DRYDEPaerosol.M+AerosolWashout.M+GasWashout.M+GASABS.aM.wM)/HEIGHT.aC)*AREAFRAC.wM</f>
        <v>3.6755287996258572E-3</v>
      </c>
      <c r="R680" s="451">
        <f>((DRYDEPaerosol.M+AerosolWashout.M+GasWashout.M+GASABS.aM.wM)/HEIGHT.aC)*AREAFRAC.wM</f>
        <v>3.6755287996258572E-3</v>
      </c>
      <c r="S680" s="452"/>
      <c r="T680" s="158"/>
    </row>
    <row r="681" spans="1:20" ht="12.75" customHeight="1" x14ac:dyDescent="0.3">
      <c r="A681" s="36" t="s">
        <v>94</v>
      </c>
      <c r="B681" s="29"/>
      <c r="C681" s="29"/>
      <c r="D681" s="29"/>
      <c r="E681" s="29"/>
      <c r="F681" s="29"/>
      <c r="G681" s="36" t="s">
        <v>841</v>
      </c>
      <c r="H681" s="36" t="s">
        <v>2308</v>
      </c>
      <c r="I681" s="522">
        <f>global!I77</f>
        <v>0</v>
      </c>
      <c r="J681" s="451"/>
      <c r="K681" s="451"/>
      <c r="L681" s="451"/>
      <c r="M681" s="451"/>
      <c r="N681" s="451">
        <f>((DRYDEPaerosol.M+AerosolWashout.M+GasWashout.M+GASABS.aM.sM)/HEIGHT.aC)*AREAFRAC.sM</f>
        <v>3.6741531820737145E-3</v>
      </c>
      <c r="O681" s="452">
        <f>((DRYDEPaerosol.M+AerosolWashout.M+GasWashout.M+GASABS.aM.sM)/HEIGHT.aC)*AREAFRAC.sM</f>
        <v>3.6741531820737145E-3</v>
      </c>
      <c r="P681" s="452">
        <f>((DRYDEPaerosol.M+AerosolWashout.M+GasWashout.M+GASABS.aM.sM)/HEIGHT.aC)*AREAFRAC.sM</f>
        <v>3.6741531820737145E-3</v>
      </c>
      <c r="Q681" s="452">
        <f>((DRYDEPaerosol.M+AerosolWashout.M+GasWashout.M+GASABS.aM.sM)/HEIGHT.aC)*AREAFRAC.sM</f>
        <v>3.6741531820737145E-3</v>
      </c>
      <c r="R681" s="452">
        <f>((DRYDEPaerosol.M+AerosolWashout.M+GasWashout.M+GASABS.aM.sM)/HEIGHT.aC)*AREAFRAC.sM</f>
        <v>3.6741531820737145E-3</v>
      </c>
      <c r="S681" s="452"/>
      <c r="T681" s="158"/>
    </row>
    <row r="682" spans="1:20" ht="12.75" customHeight="1" x14ac:dyDescent="0.3">
      <c r="A682" s="36" t="s">
        <v>95</v>
      </c>
      <c r="B682" s="29"/>
      <c r="C682" s="29"/>
      <c r="D682" s="29"/>
      <c r="E682" s="29"/>
      <c r="F682" s="29"/>
      <c r="G682" s="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1"/>
      <c r="N682" s="451"/>
      <c r="O682" s="452"/>
      <c r="P682" s="452"/>
      <c r="Q682" s="452"/>
      <c r="R682" s="452"/>
      <c r="S682" s="452"/>
      <c r="T682" s="158"/>
    </row>
    <row r="683" spans="1:20" ht="12.75" customHeight="1" x14ac:dyDescent="0.3">
      <c r="A683" s="36" t="s">
        <v>96</v>
      </c>
      <c r="B683" s="29"/>
      <c r="C683" s="29"/>
      <c r="D683" s="29"/>
      <c r="E683" s="29"/>
      <c r="F683" s="29"/>
      <c r="G683" s="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1"/>
      <c r="N683" s="451"/>
      <c r="O683" s="452"/>
      <c r="P683" s="452"/>
      <c r="Q683" s="452"/>
      <c r="R683" s="452"/>
      <c r="S683" s="452"/>
      <c r="T683" s="158"/>
    </row>
    <row r="684" spans="1:20" ht="12.75" customHeight="1" x14ac:dyDescent="0.3">
      <c r="A684" s="36"/>
      <c r="B684" s="36" t="s">
        <v>2266</v>
      </c>
      <c r="C684" s="29"/>
      <c r="D684" s="29"/>
      <c r="E684" s="29"/>
      <c r="F684" s="29"/>
      <c r="G684" s="37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1"/>
      <c r="N684" s="451"/>
      <c r="O684" s="452"/>
      <c r="P684" s="452"/>
      <c r="Q684" s="452"/>
      <c r="R684" s="452"/>
      <c r="S684" s="452"/>
      <c r="T684" s="158"/>
    </row>
    <row r="685" spans="1:20" ht="12.75" customHeight="1" x14ac:dyDescent="0.3">
      <c r="A685" s="36"/>
      <c r="B685" s="36"/>
      <c r="C685" s="29" t="s">
        <v>2267</v>
      </c>
      <c r="D685" s="29"/>
      <c r="E685" s="29"/>
      <c r="F685" s="29"/>
      <c r="G685" s="37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1"/>
      <c r="N685" s="451"/>
      <c r="O685" s="452"/>
      <c r="P685" s="452"/>
      <c r="Q685" s="452"/>
      <c r="R685" s="452"/>
      <c r="S685" s="452"/>
      <c r="T685" s="158"/>
    </row>
    <row r="686" spans="1:20" ht="12.75" customHeight="1" x14ac:dyDescent="0.3">
      <c r="A686" s="36"/>
      <c r="B686" s="36"/>
      <c r="C686" s="36"/>
      <c r="D686" s="36" t="s">
        <v>3977</v>
      </c>
      <c r="E686" s="29"/>
      <c r="F686" s="29"/>
      <c r="G686" s="37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1"/>
      <c r="N686" s="451"/>
      <c r="O686" s="452"/>
      <c r="P686" s="452"/>
      <c r="Q686" s="452"/>
      <c r="R686" s="452"/>
      <c r="S686" s="452"/>
      <c r="T686" s="158"/>
    </row>
    <row r="687" spans="1:20" ht="12.75" customHeight="1" x14ac:dyDescent="0.3">
      <c r="A687" s="36"/>
      <c r="B687" s="36"/>
      <c r="C687" s="36"/>
      <c r="D687" s="36" t="s">
        <v>3978</v>
      </c>
      <c r="E687" s="29"/>
      <c r="F687" s="29"/>
      <c r="G687" s="37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1"/>
      <c r="N687" s="451"/>
      <c r="O687" s="452"/>
      <c r="P687" s="452"/>
      <c r="Q687" s="452"/>
      <c r="R687" s="452"/>
      <c r="S687" s="452"/>
      <c r="T687" s="158"/>
    </row>
    <row r="688" spans="1:20" ht="12.75" customHeight="1" x14ac:dyDescent="0.3">
      <c r="A688" s="36"/>
      <c r="B688" s="29" t="s">
        <v>929</v>
      </c>
      <c r="C688" s="29"/>
      <c r="D688" s="29"/>
      <c r="E688" s="29"/>
      <c r="F688" s="29"/>
      <c r="G688" s="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1"/>
      <c r="N688" s="451"/>
      <c r="O688" s="452"/>
      <c r="P688" s="452"/>
      <c r="Q688" s="452"/>
      <c r="R688" s="452"/>
      <c r="S688" s="452"/>
      <c r="T688" s="158"/>
    </row>
    <row r="689" spans="1:20" ht="12.75" customHeight="1" x14ac:dyDescent="0.3">
      <c r="A689" s="36"/>
      <c r="B689" s="29" t="s">
        <v>931</v>
      </c>
      <c r="C689" s="29"/>
      <c r="D689" s="29"/>
      <c r="E689" s="29"/>
      <c r="F689" s="29"/>
      <c r="G689" s="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1"/>
      <c r="N689" s="451"/>
      <c r="O689" s="452"/>
      <c r="P689" s="452"/>
      <c r="Q689" s="452"/>
      <c r="R689" s="452"/>
      <c r="S689" s="452"/>
      <c r="T689" s="158"/>
    </row>
    <row r="690" spans="1:20" ht="12.75" customHeight="1" x14ac:dyDescent="0.3">
      <c r="A690" s="36"/>
      <c r="B690" s="36" t="s">
        <v>493</v>
      </c>
      <c r="C690" s="29"/>
      <c r="D690" s="29"/>
      <c r="E690" s="29"/>
      <c r="F690" s="29"/>
      <c r="G690" s="94" t="s">
        <v>959</v>
      </c>
      <c r="H690" s="30" t="s">
        <v>2322</v>
      </c>
      <c r="I690" s="522">
        <f>global!I86</f>
        <v>0</v>
      </c>
      <c r="J690" s="451"/>
      <c r="K690" s="451"/>
      <c r="L690" s="451"/>
      <c r="M690" s="451"/>
      <c r="N690" s="451">
        <f>AEROSOLdeprate.M*FRaers.aM</f>
        <v>2.352999540191509E-5</v>
      </c>
      <c r="O690" s="452">
        <f>AEROSOLdeprate.M*FRaers.aM</f>
        <v>2.352999540191509E-5</v>
      </c>
      <c r="P690" s="452">
        <f>AEROSOLdeprate.M*FRaers.aM</f>
        <v>2.352999540191509E-5</v>
      </c>
      <c r="Q690" s="452">
        <f>AEROSOLdeprate.M*FRaers.aM</f>
        <v>2.352999540191509E-5</v>
      </c>
      <c r="R690" s="452">
        <f>AEROSOLdeprate.M*FRaers.aM</f>
        <v>2.352999540191509E-5</v>
      </c>
      <c r="S690" s="452"/>
      <c r="T690" s="158"/>
    </row>
    <row r="691" spans="1:20" ht="12.75" customHeight="1" x14ac:dyDescent="0.3">
      <c r="A691" s="36"/>
      <c r="B691" s="36" t="s">
        <v>745</v>
      </c>
      <c r="C691" s="29"/>
      <c r="D691" s="29"/>
      <c r="E691" s="29"/>
      <c r="F691" s="29"/>
      <c r="G691" s="37" t="s">
        <v>547</v>
      </c>
      <c r="H691" s="95" t="s">
        <v>2322</v>
      </c>
      <c r="I691" s="522">
        <f>global!I87</f>
        <v>0</v>
      </c>
      <c r="J691" s="451"/>
      <c r="K691" s="451"/>
      <c r="L691" s="451"/>
      <c r="M691" s="451"/>
      <c r="N691" s="451">
        <f t="shared" ref="N691:R691" si="17">(1-FRgas.aM)*COLLECTeff.M*RAINrate.M</f>
        <v>1.0622130094040873E-4</v>
      </c>
      <c r="O691" s="452">
        <f t="shared" si="17"/>
        <v>1.0622130094040873E-4</v>
      </c>
      <c r="P691" s="452">
        <f t="shared" si="17"/>
        <v>1.0622130094040873E-4</v>
      </c>
      <c r="Q691" s="452">
        <f t="shared" si="17"/>
        <v>1.0622130094040873E-4</v>
      </c>
      <c r="R691" s="452">
        <f t="shared" si="17"/>
        <v>1.0622130094040873E-4</v>
      </c>
      <c r="S691" s="452"/>
      <c r="T691" s="158"/>
    </row>
    <row r="692" spans="1:20" ht="12.75" customHeight="1" x14ac:dyDescent="0.3">
      <c r="A692" s="36"/>
      <c r="B692" s="36" t="s">
        <v>746</v>
      </c>
      <c r="C692" s="29"/>
      <c r="D692" s="29"/>
      <c r="E692" s="29"/>
      <c r="F692" s="29"/>
      <c r="G692" s="37" t="s">
        <v>548</v>
      </c>
      <c r="H692" s="95" t="s">
        <v>2322</v>
      </c>
      <c r="I692" s="522">
        <f>global!I88</f>
        <v>0</v>
      </c>
      <c r="J692" s="451"/>
      <c r="K692" s="451"/>
      <c r="L692" s="451"/>
      <c r="M692" s="451"/>
      <c r="N692" s="451">
        <f t="shared" ref="N692:R692" si="18">FRgas.aM*RAINrate.M/Kaw.M</f>
        <v>0.44073100068471405</v>
      </c>
      <c r="O692" s="452">
        <f t="shared" si="18"/>
        <v>0.44073100068471405</v>
      </c>
      <c r="P692" s="452">
        <f t="shared" si="18"/>
        <v>0.44073100068471405</v>
      </c>
      <c r="Q692" s="452">
        <f t="shared" si="18"/>
        <v>0.44073100068471405</v>
      </c>
      <c r="R692" s="452">
        <f t="shared" si="18"/>
        <v>0.44073100068471405</v>
      </c>
      <c r="S692" s="452"/>
      <c r="T692" s="158"/>
    </row>
    <row r="693" spans="1:20" ht="12.75" customHeight="1" x14ac:dyDescent="0.3">
      <c r="A693" s="36"/>
      <c r="B693" s="29"/>
      <c r="C693" s="95" t="s">
        <v>747</v>
      </c>
      <c r="D693" s="95"/>
      <c r="E693" s="95"/>
      <c r="F693" s="95"/>
      <c r="G693" s="94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1"/>
      <c r="N693" s="451"/>
      <c r="O693" s="452"/>
      <c r="P693" s="452"/>
      <c r="Q693" s="452"/>
      <c r="R693" s="452"/>
      <c r="S693" s="452"/>
      <c r="T693" s="158"/>
    </row>
    <row r="694" spans="1:20" ht="12.75" customHeight="1" x14ac:dyDescent="0.3">
      <c r="A694" s="36"/>
      <c r="B694" s="29"/>
      <c r="C694" s="36" t="s">
        <v>748</v>
      </c>
      <c r="D694" s="95"/>
      <c r="E694" s="95"/>
      <c r="F694" s="95"/>
      <c r="G694" s="94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1"/>
      <c r="N694" s="451"/>
      <c r="O694" s="452"/>
      <c r="P694" s="452"/>
      <c r="Q694" s="452"/>
      <c r="R694" s="452"/>
      <c r="S694" s="452"/>
      <c r="T694" s="158"/>
    </row>
    <row r="695" spans="1:20" ht="12.75" customHeight="1" x14ac:dyDescent="0.3">
      <c r="A695" s="36"/>
      <c r="B695" s="29"/>
      <c r="C695" s="36" t="s">
        <v>444</v>
      </c>
      <c r="D695" s="29"/>
      <c r="E695" s="29"/>
      <c r="F695" s="29"/>
      <c r="G695" s="94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1"/>
      <c r="N695" s="451"/>
      <c r="O695" s="452"/>
      <c r="P695" s="452"/>
      <c r="Q695" s="452"/>
      <c r="R695" s="452"/>
      <c r="S695" s="452"/>
      <c r="T695" s="158"/>
    </row>
    <row r="696" spans="1:20" ht="12.75" customHeight="1" x14ac:dyDescent="0.3">
      <c r="A696" s="36"/>
      <c r="B696" s="36" t="s">
        <v>2218</v>
      </c>
      <c r="C696" s="29"/>
      <c r="D696" s="29"/>
      <c r="E696" s="95"/>
      <c r="F696" s="95"/>
      <c r="G696" s="37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1"/>
      <c r="N696" s="451"/>
      <c r="O696" s="452"/>
      <c r="P696" s="452"/>
      <c r="Q696" s="452"/>
      <c r="R696" s="452"/>
      <c r="S696" s="452"/>
      <c r="T696" s="158"/>
    </row>
    <row r="697" spans="1:20" ht="12.75" customHeight="1" x14ac:dyDescent="0.3">
      <c r="A697" s="36"/>
      <c r="B697" s="36" t="s">
        <v>2219</v>
      </c>
      <c r="C697" s="29"/>
      <c r="D697" s="29"/>
      <c r="E697" s="95"/>
      <c r="F697" s="95"/>
      <c r="G697" s="37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1"/>
      <c r="N697" s="451"/>
      <c r="O697" s="452"/>
      <c r="P697" s="452"/>
      <c r="Q697" s="452"/>
      <c r="R697" s="452"/>
      <c r="S697" s="452"/>
      <c r="T697" s="158"/>
    </row>
    <row r="698" spans="1:20" ht="12.75" customHeight="1" x14ac:dyDescent="0.3">
      <c r="A698" s="36"/>
      <c r="B698" s="36" t="s">
        <v>2270</v>
      </c>
      <c r="C698" s="29"/>
      <c r="D698" s="29"/>
      <c r="E698" s="29"/>
      <c r="F698" s="29"/>
      <c r="G698" s="37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1"/>
      <c r="N698" s="451"/>
      <c r="O698" s="452"/>
      <c r="P698" s="452"/>
      <c r="Q698" s="452"/>
      <c r="R698" s="452"/>
      <c r="S698" s="452"/>
      <c r="T698" s="158"/>
    </row>
    <row r="699" spans="1:20" ht="12.75" customHeight="1" x14ac:dyDescent="0.3">
      <c r="A699" s="36"/>
      <c r="B699" s="36" t="s">
        <v>2272</v>
      </c>
      <c r="C699" s="29"/>
      <c r="D699" s="29"/>
      <c r="E699" s="95"/>
      <c r="F699" s="95"/>
      <c r="G699" s="37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1"/>
      <c r="N699" s="451"/>
      <c r="O699" s="452"/>
      <c r="P699" s="452"/>
      <c r="Q699" s="452"/>
      <c r="R699" s="452"/>
      <c r="S699" s="452"/>
      <c r="T699" s="158"/>
    </row>
    <row r="700" spans="1:20" ht="12.75" customHeight="1" x14ac:dyDescent="0.3">
      <c r="A700" s="36"/>
      <c r="B700" s="36"/>
      <c r="C700" s="29" t="s">
        <v>1077</v>
      </c>
      <c r="D700" s="29"/>
      <c r="E700" s="29"/>
      <c r="F700" s="29"/>
      <c r="G700" s="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1"/>
      <c r="N700" s="451"/>
      <c r="O700" s="452"/>
      <c r="P700" s="452"/>
      <c r="Q700" s="452"/>
      <c r="R700" s="452"/>
      <c r="S700" s="452"/>
      <c r="T700" s="158"/>
    </row>
    <row r="701" spans="1:20" ht="12.75" customHeight="1" x14ac:dyDescent="0.3">
      <c r="A701" s="36"/>
      <c r="B701" s="36"/>
      <c r="C701" s="29" t="s">
        <v>1048</v>
      </c>
      <c r="D701" s="29"/>
      <c r="E701" s="29"/>
      <c r="F701" s="29"/>
      <c r="G701" s="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1"/>
      <c r="N701" s="451"/>
      <c r="O701" s="452"/>
      <c r="P701" s="452"/>
      <c r="Q701" s="452"/>
      <c r="R701" s="452"/>
      <c r="S701" s="452"/>
      <c r="T701" s="158"/>
    </row>
    <row r="702" spans="1:20" ht="12.75" customHeight="1" x14ac:dyDescent="0.3">
      <c r="A702" s="36"/>
      <c r="B702" s="36"/>
      <c r="C702" s="29"/>
      <c r="D702" s="95" t="s">
        <v>705</v>
      </c>
      <c r="E702" s="29"/>
      <c r="F702" s="29"/>
      <c r="G702" s="37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1"/>
      <c r="N702" s="451"/>
      <c r="O702" s="452"/>
      <c r="P702" s="452"/>
      <c r="Q702" s="452"/>
      <c r="R702" s="452"/>
      <c r="S702" s="452"/>
      <c r="T702" s="158"/>
    </row>
    <row r="703" spans="1:20" ht="12.75" customHeight="1" x14ac:dyDescent="0.3">
      <c r="A703" s="36"/>
      <c r="B703" s="36"/>
      <c r="C703" s="29" t="s">
        <v>1049</v>
      </c>
      <c r="D703" s="29"/>
      <c r="E703" s="95"/>
      <c r="F703" s="95"/>
      <c r="G703" s="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1"/>
      <c r="N703" s="451"/>
      <c r="O703" s="452"/>
      <c r="P703" s="452"/>
      <c r="Q703" s="452"/>
      <c r="R703" s="452"/>
      <c r="S703" s="452"/>
      <c r="T703" s="158"/>
    </row>
    <row r="704" spans="1:20" ht="12.75" customHeight="1" x14ac:dyDescent="0.3">
      <c r="A704" s="36"/>
      <c r="B704" s="36"/>
      <c r="C704" s="29" t="s">
        <v>872</v>
      </c>
      <c r="D704" s="29"/>
      <c r="E704" s="29"/>
      <c r="F704" s="95"/>
      <c r="G704" s="29" t="s">
        <v>4012</v>
      </c>
      <c r="H704" s="95" t="s">
        <v>2322</v>
      </c>
      <c r="I704" s="522">
        <f>global!I100</f>
        <v>0</v>
      </c>
      <c r="J704" s="451"/>
      <c r="K704" s="451"/>
      <c r="L704" s="451"/>
      <c r="M704" s="451"/>
      <c r="N704" s="451">
        <v>1.1468924229780271E-8</v>
      </c>
      <c r="O704" s="452">
        <v>1.1468924229780271E-8</v>
      </c>
      <c r="P704" s="452">
        <v>1.1468924229780271E-8</v>
      </c>
      <c r="Q704" s="452">
        <v>1.1468924229780271E-8</v>
      </c>
      <c r="R704" s="452"/>
      <c r="S704" s="452">
        <v>1.1468924229780271E-8</v>
      </c>
      <c r="T704" s="158"/>
    </row>
    <row r="705" spans="1:20" ht="12.75" customHeight="1" x14ac:dyDescent="0.3">
      <c r="A705" s="36"/>
      <c r="B705" s="36"/>
      <c r="C705" s="29" t="s">
        <v>185</v>
      </c>
      <c r="D705" s="29"/>
      <c r="E705" s="95"/>
      <c r="F705" s="95"/>
      <c r="G705" s="37" t="s">
        <v>914</v>
      </c>
      <c r="H705" s="29" t="s">
        <v>36</v>
      </c>
      <c r="I705" s="522">
        <f>global!I101</f>
        <v>0</v>
      </c>
      <c r="J705" s="451"/>
      <c r="K705" s="451"/>
      <c r="L705" s="451"/>
      <c r="M705" s="451"/>
      <c r="N705" s="451">
        <v>1</v>
      </c>
      <c r="O705" s="452">
        <v>1</v>
      </c>
      <c r="P705" s="452">
        <v>1</v>
      </c>
      <c r="Q705" s="452">
        <v>1</v>
      </c>
      <c r="R705" s="452"/>
      <c r="S705" s="452">
        <v>1</v>
      </c>
      <c r="T705" s="158"/>
    </row>
    <row r="706" spans="1:20" ht="12.75" customHeight="1" x14ac:dyDescent="0.3">
      <c r="A706" s="29"/>
      <c r="B706" s="29"/>
      <c r="C706" s="29"/>
      <c r="D706" s="29"/>
      <c r="E706" s="29"/>
      <c r="F706" s="29"/>
      <c r="G706" s="29"/>
      <c r="H706" s="29"/>
      <c r="I706" s="527"/>
      <c r="J706" s="459"/>
      <c r="K706" s="459"/>
      <c r="L706" s="459"/>
      <c r="M706" s="459"/>
      <c r="N706" s="459"/>
      <c r="O706" s="460"/>
      <c r="P706" s="460"/>
      <c r="Q706" s="460"/>
      <c r="R706" s="460"/>
      <c r="S706" s="460"/>
      <c r="T706" s="158"/>
    </row>
    <row r="707" spans="1:20" ht="12.75" customHeight="1" x14ac:dyDescent="0.3">
      <c r="A707" s="36" t="s">
        <v>97</v>
      </c>
      <c r="B707" s="29"/>
      <c r="C707" s="29"/>
      <c r="D707" s="29"/>
      <c r="E707" s="29"/>
      <c r="F707" s="29"/>
      <c r="G707" s="37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1"/>
      <c r="N707" s="451"/>
      <c r="O707" s="452"/>
      <c r="P707" s="452"/>
      <c r="Q707" s="452"/>
      <c r="R707" s="452"/>
      <c r="S707" s="452"/>
      <c r="T707" s="158"/>
    </row>
    <row r="708" spans="1:20" ht="12.75" customHeight="1" x14ac:dyDescent="0.3">
      <c r="A708" s="36" t="s">
        <v>98</v>
      </c>
      <c r="B708" s="29"/>
      <c r="C708" s="29"/>
      <c r="D708" s="29"/>
      <c r="E708" s="29"/>
      <c r="F708" s="29"/>
      <c r="G708" s="37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1"/>
      <c r="N708" s="451"/>
      <c r="O708" s="452"/>
      <c r="P708" s="452"/>
      <c r="Q708" s="452"/>
      <c r="R708" s="452"/>
      <c r="S708" s="452"/>
      <c r="T708" s="158"/>
    </row>
    <row r="709" spans="1:20" ht="12.75" customHeight="1" x14ac:dyDescent="0.3">
      <c r="A709" s="36"/>
      <c r="B709" s="36" t="s">
        <v>2273</v>
      </c>
      <c r="C709" s="29"/>
      <c r="D709" s="29"/>
      <c r="E709" s="29"/>
      <c r="F709" s="29"/>
      <c r="G709" s="37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1"/>
      <c r="N709" s="451"/>
      <c r="O709" s="452"/>
      <c r="P709" s="452"/>
      <c r="Q709" s="452"/>
      <c r="R709" s="452"/>
      <c r="S709" s="452"/>
      <c r="T709" s="158"/>
    </row>
    <row r="710" spans="1:20" ht="12.75" customHeight="1" x14ac:dyDescent="0.3">
      <c r="A710" s="36"/>
      <c r="B710" s="36" t="s">
        <v>2274</v>
      </c>
      <c r="C710" s="29"/>
      <c r="D710" s="29"/>
      <c r="E710" s="29"/>
      <c r="F710" s="29"/>
      <c r="G710" s="37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1"/>
      <c r="N710" s="451"/>
      <c r="O710" s="452"/>
      <c r="P710" s="452"/>
      <c r="Q710" s="452"/>
      <c r="R710" s="452"/>
      <c r="S710" s="452"/>
      <c r="T710" s="158"/>
    </row>
    <row r="711" spans="1:20" ht="12.75" customHeight="1" x14ac:dyDescent="0.3">
      <c r="A711" s="36"/>
      <c r="B711" s="36"/>
      <c r="C711" s="36" t="s">
        <v>1228</v>
      </c>
      <c r="D711" s="36"/>
      <c r="E711" s="29"/>
      <c r="F711" s="29"/>
      <c r="G711" s="94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1"/>
      <c r="N711" s="451"/>
      <c r="O711" s="452"/>
      <c r="P711" s="452"/>
      <c r="Q711" s="452"/>
      <c r="R711" s="452"/>
      <c r="S711" s="452"/>
      <c r="T711" s="158"/>
    </row>
    <row r="712" spans="1:20" ht="12.75" customHeight="1" x14ac:dyDescent="0.3">
      <c r="A712" s="36"/>
      <c r="B712" s="36"/>
      <c r="C712" s="29"/>
      <c r="D712" s="36" t="s">
        <v>582</v>
      </c>
      <c r="E712" s="95"/>
      <c r="F712" s="95"/>
      <c r="G712" s="94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1"/>
      <c r="N712" s="451"/>
      <c r="O712" s="452"/>
      <c r="P712" s="452"/>
      <c r="Q712" s="452"/>
      <c r="R712" s="452"/>
      <c r="S712" s="452"/>
      <c r="T712" s="158"/>
    </row>
    <row r="713" spans="1:20" ht="12.75" customHeight="1" x14ac:dyDescent="0.3">
      <c r="A713" s="36"/>
      <c r="B713" s="36"/>
      <c r="C713" s="29"/>
      <c r="D713" s="36" t="s">
        <v>565</v>
      </c>
      <c r="E713" s="95"/>
      <c r="F713" s="95"/>
      <c r="G713" s="94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1"/>
      <c r="N713" s="451"/>
      <c r="O713" s="452"/>
      <c r="P713" s="452"/>
      <c r="Q713" s="452"/>
      <c r="R713" s="452"/>
      <c r="S713" s="452"/>
      <c r="T713" s="158"/>
    </row>
    <row r="714" spans="1:20" ht="12.75" customHeight="1" x14ac:dyDescent="0.3">
      <c r="A714" s="36"/>
      <c r="B714" s="36"/>
      <c r="C714" s="36"/>
      <c r="D714" s="29"/>
      <c r="E714" s="36" t="s">
        <v>803</v>
      </c>
      <c r="F714" s="36"/>
      <c r="G714" s="94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1"/>
      <c r="N714" s="451"/>
      <c r="O714" s="452"/>
      <c r="P714" s="452"/>
      <c r="Q714" s="452"/>
      <c r="R714" s="452"/>
      <c r="S714" s="452"/>
      <c r="T714" s="158"/>
    </row>
    <row r="715" spans="1:20" ht="12.75" customHeight="1" x14ac:dyDescent="0.3">
      <c r="A715" s="29"/>
      <c r="B715" s="29" t="s">
        <v>2275</v>
      </c>
      <c r="C715" s="95"/>
      <c r="D715" s="95"/>
      <c r="E715" s="29"/>
      <c r="F715" s="29"/>
      <c r="G715" s="37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1"/>
      <c r="N715" s="451"/>
      <c r="O715" s="452"/>
      <c r="P715" s="452"/>
      <c r="Q715" s="452"/>
      <c r="R715" s="452"/>
      <c r="S715" s="452"/>
      <c r="T715" s="158"/>
    </row>
    <row r="716" spans="1:20" ht="12.75" customHeight="1" x14ac:dyDescent="0.3">
      <c r="A716" s="29"/>
      <c r="B716" s="29" t="s">
        <v>2276</v>
      </c>
      <c r="C716" s="95"/>
      <c r="D716" s="95"/>
      <c r="E716" s="29"/>
      <c r="F716" s="29"/>
      <c r="G716" s="37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1"/>
      <c r="N716" s="451"/>
      <c r="O716" s="452"/>
      <c r="P716" s="452"/>
      <c r="Q716" s="452"/>
      <c r="R716" s="452"/>
      <c r="S716" s="452"/>
      <c r="T716" s="158"/>
    </row>
    <row r="717" spans="1:20" ht="12.75" customHeight="1" x14ac:dyDescent="0.3">
      <c r="A717" s="36"/>
      <c r="B717" s="36"/>
      <c r="C717" s="29" t="s">
        <v>1076</v>
      </c>
      <c r="D717" s="29"/>
      <c r="E717" s="29"/>
      <c r="F717" s="29"/>
      <c r="G717" s="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1"/>
      <c r="N717" s="451"/>
      <c r="O717" s="452"/>
      <c r="P717" s="452"/>
      <c r="Q717" s="452"/>
      <c r="R717" s="452"/>
      <c r="S717" s="452"/>
      <c r="T717" s="158"/>
    </row>
    <row r="718" spans="1:20" ht="12.75" customHeight="1" x14ac:dyDescent="0.3">
      <c r="A718" s="36"/>
      <c r="B718" s="36"/>
      <c r="C718" s="29" t="s">
        <v>1230</v>
      </c>
      <c r="D718" s="29"/>
      <c r="E718" s="29"/>
      <c r="F718" s="29"/>
      <c r="G718" s="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1"/>
      <c r="N718" s="451"/>
      <c r="O718" s="452"/>
      <c r="P718" s="452"/>
      <c r="Q718" s="452"/>
      <c r="R718" s="452"/>
      <c r="S718" s="452"/>
      <c r="T718" s="158"/>
    </row>
    <row r="719" spans="1:20" ht="12.75" customHeight="1" x14ac:dyDescent="0.3">
      <c r="A719" s="29"/>
      <c r="B719" s="29"/>
      <c r="C719" s="29"/>
      <c r="D719" s="29"/>
      <c r="E719" s="29"/>
      <c r="F719" s="29"/>
      <c r="G719" s="29"/>
      <c r="H719" s="29"/>
      <c r="I719" s="527"/>
      <c r="J719" s="459"/>
      <c r="K719" s="459"/>
      <c r="L719" s="459"/>
      <c r="M719" s="459"/>
      <c r="N719" s="459"/>
      <c r="O719" s="460"/>
      <c r="P719" s="460"/>
      <c r="Q719" s="460"/>
      <c r="R719" s="460"/>
      <c r="S719" s="460"/>
      <c r="T719" s="158"/>
    </row>
    <row r="720" spans="1:20" ht="12.75" customHeight="1" x14ac:dyDescent="0.3">
      <c r="A720" s="36" t="s">
        <v>99</v>
      </c>
      <c r="B720" s="29"/>
      <c r="C720" s="29"/>
      <c r="D720" s="29"/>
      <c r="E720" s="29"/>
      <c r="F720" s="29"/>
      <c r="G720" s="37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1"/>
      <c r="N720" s="451"/>
      <c r="O720" s="452"/>
      <c r="P720" s="452"/>
      <c r="Q720" s="452"/>
      <c r="R720" s="452"/>
      <c r="S720" s="452"/>
      <c r="T720" s="158"/>
    </row>
    <row r="721" spans="1:20" ht="12.75" customHeight="1" x14ac:dyDescent="0.3">
      <c r="A721" s="29"/>
      <c r="B721" s="95" t="s">
        <v>211</v>
      </c>
      <c r="C721" s="29"/>
      <c r="D721" s="29"/>
      <c r="E721" s="29"/>
      <c r="F721" s="29"/>
      <c r="G721" s="94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1"/>
      <c r="N721" s="451"/>
      <c r="O721" s="452"/>
      <c r="P721" s="452"/>
      <c r="Q721" s="452"/>
      <c r="R721" s="452"/>
      <c r="S721" s="452"/>
      <c r="T721" s="158"/>
    </row>
    <row r="722" spans="1:20" ht="12.75" customHeight="1" x14ac:dyDescent="0.3">
      <c r="A722" s="29"/>
      <c r="B722" s="36" t="s">
        <v>1002</v>
      </c>
      <c r="C722" s="29"/>
      <c r="D722" s="29"/>
      <c r="E722" s="29"/>
      <c r="F722" s="29"/>
      <c r="G722" s="94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1"/>
      <c r="N722" s="451"/>
      <c r="O722" s="452"/>
      <c r="P722" s="452"/>
      <c r="Q722" s="452"/>
      <c r="R722" s="452"/>
      <c r="S722" s="452"/>
      <c r="T722" s="158"/>
    </row>
    <row r="723" spans="1:20" ht="12.75" customHeight="1" x14ac:dyDescent="0.3">
      <c r="A723" s="36"/>
      <c r="B723" s="29" t="s">
        <v>185</v>
      </c>
      <c r="C723" s="29"/>
      <c r="D723" s="95"/>
      <c r="E723" s="95"/>
      <c r="F723" s="29"/>
      <c r="G723" s="37" t="s">
        <v>915</v>
      </c>
      <c r="H723" s="29" t="s">
        <v>36</v>
      </c>
      <c r="I723" s="522">
        <f>global!I119</f>
        <v>0</v>
      </c>
      <c r="J723" s="451"/>
      <c r="K723" s="451"/>
      <c r="L723" s="451"/>
      <c r="M723" s="451"/>
      <c r="N723" s="451">
        <v>1</v>
      </c>
      <c r="O723" s="452">
        <v>1</v>
      </c>
      <c r="P723" s="452">
        <v>1</v>
      </c>
      <c r="Q723" s="452">
        <v>1</v>
      </c>
      <c r="R723" s="452"/>
      <c r="S723" s="452">
        <v>1</v>
      </c>
      <c r="T723" s="158"/>
    </row>
    <row r="724" spans="1:20" ht="12.75" customHeight="1" x14ac:dyDescent="0.3">
      <c r="A724" s="29"/>
      <c r="B724" s="29"/>
      <c r="C724" s="29"/>
      <c r="D724" s="29"/>
      <c r="E724" s="29"/>
      <c r="F724" s="29"/>
      <c r="G724" s="29"/>
      <c r="H724" s="29"/>
      <c r="I724" s="457"/>
      <c r="J724" s="339"/>
      <c r="K724" s="339"/>
      <c r="L724" s="339"/>
      <c r="M724" s="339"/>
      <c r="N724" s="339"/>
      <c r="O724" s="282"/>
      <c r="P724" s="282"/>
      <c r="Q724" s="282"/>
      <c r="R724" s="282"/>
      <c r="S724" s="282"/>
      <c r="T724" s="158"/>
    </row>
    <row r="725" spans="1:20" ht="12.75" customHeight="1" x14ac:dyDescent="0.3">
      <c r="A725" s="98" t="s">
        <v>419</v>
      </c>
      <c r="B725" s="97"/>
      <c r="C725" s="97"/>
      <c r="D725" s="97"/>
      <c r="E725" s="97"/>
      <c r="F725" s="97"/>
      <c r="G725" s="97"/>
      <c r="H725" s="97"/>
      <c r="I725" s="340" t="s">
        <v>754</v>
      </c>
      <c r="J725" s="364"/>
      <c r="K725" s="364"/>
      <c r="L725" s="364" t="s">
        <v>754</v>
      </c>
      <c r="M725" s="364" t="s">
        <v>754</v>
      </c>
      <c r="N725" s="364"/>
      <c r="O725" s="470"/>
      <c r="P725" s="470"/>
      <c r="Q725" s="470"/>
      <c r="R725" s="470"/>
      <c r="S725" s="470"/>
      <c r="T725" s="158"/>
    </row>
    <row r="726" spans="1:20" ht="12.75" customHeight="1" x14ac:dyDescent="0.3">
      <c r="A726" s="36"/>
      <c r="B726" s="29"/>
      <c r="C726" s="29"/>
      <c r="D726" s="29"/>
      <c r="E726" s="29"/>
      <c r="F726" s="29"/>
      <c r="G726" s="29"/>
      <c r="H726" s="29"/>
      <c r="I726" s="342"/>
      <c r="J726" s="339"/>
      <c r="K726" s="339"/>
      <c r="L726" s="339"/>
      <c r="M726" s="339"/>
      <c r="N726" s="339"/>
      <c r="O726" s="282"/>
      <c r="P726" s="282"/>
      <c r="Q726" s="282"/>
      <c r="R726" s="282"/>
      <c r="S726" s="282"/>
      <c r="T726" s="158"/>
    </row>
    <row r="727" spans="1:20" ht="12.75" customHeight="1" x14ac:dyDescent="0.3">
      <c r="A727" s="36" t="s">
        <v>224</v>
      </c>
      <c r="B727" s="29"/>
      <c r="C727" s="29"/>
      <c r="D727" s="29"/>
      <c r="E727" s="29"/>
      <c r="F727" s="29"/>
      <c r="G727" s="37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1"/>
      <c r="N727" s="451"/>
      <c r="O727" s="452"/>
      <c r="P727" s="452"/>
      <c r="Q727" s="452"/>
      <c r="R727" s="452"/>
      <c r="S727" s="452"/>
      <c r="T727" s="158"/>
    </row>
    <row r="728" spans="1:20" ht="12.75" customHeight="1" x14ac:dyDescent="0.3">
      <c r="A728" s="36" t="s">
        <v>4013</v>
      </c>
      <c r="B728" s="29"/>
      <c r="C728" s="29"/>
      <c r="D728" s="29"/>
      <c r="E728" s="29"/>
      <c r="F728" s="29"/>
      <c r="G728" s="37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1"/>
      <c r="N728" s="451"/>
      <c r="O728" s="452"/>
      <c r="P728" s="452"/>
      <c r="Q728" s="452"/>
      <c r="R728" s="452"/>
      <c r="S728" s="452"/>
      <c r="T728" s="158"/>
    </row>
    <row r="729" spans="1:20" ht="12.75" customHeight="1" x14ac:dyDescent="0.3">
      <c r="A729" s="36" t="s">
        <v>1168</v>
      </c>
      <c r="B729" s="29"/>
      <c r="C729" s="29"/>
      <c r="D729" s="29"/>
      <c r="E729" s="29"/>
      <c r="F729" s="29"/>
      <c r="G729" s="37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1"/>
      <c r="N729" s="451"/>
      <c r="O729" s="452"/>
      <c r="P729" s="452"/>
      <c r="Q729" s="452"/>
      <c r="R729" s="452"/>
      <c r="S729" s="452"/>
      <c r="T729" s="158"/>
    </row>
    <row r="730" spans="1:20" ht="12.75" customHeight="1" x14ac:dyDescent="0.3">
      <c r="A730" s="36" t="s">
        <v>225</v>
      </c>
      <c r="B730" s="29"/>
      <c r="C730" s="29"/>
      <c r="D730" s="29"/>
      <c r="E730" s="29"/>
      <c r="F730" s="29"/>
      <c r="G730" s="37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1"/>
      <c r="N730" s="451"/>
      <c r="O730" s="452"/>
      <c r="P730" s="452"/>
      <c r="Q730" s="452"/>
      <c r="R730" s="452"/>
      <c r="S730" s="452"/>
      <c r="T730" s="158"/>
    </row>
    <row r="731" spans="1:20" ht="12.75" customHeight="1" x14ac:dyDescent="0.3">
      <c r="A731" s="36" t="s">
        <v>844</v>
      </c>
      <c r="B731" s="29"/>
      <c r="C731" s="29"/>
      <c r="D731" s="29"/>
      <c r="E731" s="29"/>
      <c r="F731" s="29"/>
      <c r="G731" s="37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1"/>
      <c r="N731" s="451"/>
      <c r="O731" s="452"/>
      <c r="P731" s="452"/>
      <c r="Q731" s="452"/>
      <c r="R731" s="452"/>
      <c r="S731" s="452"/>
      <c r="T731" s="158"/>
    </row>
    <row r="732" spans="1:20" ht="12.75" customHeight="1" x14ac:dyDescent="0.3">
      <c r="A732" s="36"/>
      <c r="B732" s="36" t="s">
        <v>796</v>
      </c>
      <c r="C732" s="95"/>
      <c r="D732" s="29"/>
      <c r="E732" s="29"/>
      <c r="F732" s="29"/>
      <c r="G732" s="94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1"/>
      <c r="N732" s="451"/>
      <c r="O732" s="452"/>
      <c r="P732" s="452"/>
      <c r="Q732" s="452"/>
      <c r="R732" s="452"/>
      <c r="S732" s="452"/>
      <c r="T732" s="158"/>
    </row>
    <row r="733" spans="1:20" ht="12.75" customHeight="1" x14ac:dyDescent="0.3">
      <c r="A733" s="36"/>
      <c r="B733" s="36" t="s">
        <v>797</v>
      </c>
      <c r="C733" s="29"/>
      <c r="D733" s="29"/>
      <c r="E733" s="29"/>
      <c r="F733" s="29"/>
      <c r="G733" s="37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1"/>
      <c r="N733" s="451"/>
      <c r="O733" s="452"/>
      <c r="P733" s="452"/>
      <c r="Q733" s="452"/>
      <c r="R733" s="452"/>
      <c r="S733" s="452"/>
      <c r="T733" s="158"/>
    </row>
    <row r="734" spans="1:20" ht="12.75" customHeight="1" x14ac:dyDescent="0.3">
      <c r="A734" s="95"/>
      <c r="B734" s="95"/>
      <c r="C734" s="36" t="s">
        <v>1018</v>
      </c>
      <c r="D734" s="29"/>
      <c r="E734" s="29"/>
      <c r="F734" s="29"/>
      <c r="G734" s="37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1"/>
      <c r="N734" s="451"/>
      <c r="O734" s="452"/>
      <c r="P734" s="452"/>
      <c r="Q734" s="452"/>
      <c r="R734" s="452"/>
      <c r="S734" s="452"/>
      <c r="T734" s="158"/>
    </row>
    <row r="735" spans="1:20" ht="12.75" customHeight="1" x14ac:dyDescent="0.3">
      <c r="A735" s="95"/>
      <c r="B735" s="95"/>
      <c r="C735" s="36" t="s">
        <v>35</v>
      </c>
      <c r="D735" s="29"/>
      <c r="E735" s="29"/>
      <c r="F735" s="29"/>
      <c r="G735" s="37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1"/>
      <c r="N735" s="451"/>
      <c r="O735" s="452"/>
      <c r="P735" s="452"/>
      <c r="Q735" s="452"/>
      <c r="R735" s="452"/>
      <c r="S735" s="452"/>
      <c r="T735" s="158"/>
    </row>
    <row r="736" spans="1:20" ht="12.75" customHeight="1" x14ac:dyDescent="0.3">
      <c r="A736" s="36"/>
      <c r="B736" s="36" t="s">
        <v>4014</v>
      </c>
      <c r="C736" s="29"/>
      <c r="D736" s="29"/>
      <c r="E736" s="29"/>
      <c r="F736" s="29"/>
      <c r="G736" s="37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1"/>
      <c r="N736" s="451"/>
      <c r="O736" s="452"/>
      <c r="P736" s="452"/>
      <c r="Q736" s="452"/>
      <c r="R736" s="452"/>
      <c r="S736" s="452"/>
      <c r="T736" s="158"/>
    </row>
    <row r="737" spans="1:20" ht="12.75" customHeight="1" x14ac:dyDescent="0.3">
      <c r="A737" s="36"/>
      <c r="B737" s="36" t="s">
        <v>1138</v>
      </c>
      <c r="C737" s="29"/>
      <c r="D737" s="29"/>
      <c r="E737" s="29"/>
      <c r="F737" s="29"/>
      <c r="G737" s="37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1"/>
      <c r="N737" s="451"/>
      <c r="O737" s="452"/>
      <c r="P737" s="452"/>
      <c r="Q737" s="452"/>
      <c r="R737" s="452"/>
      <c r="S737" s="452"/>
      <c r="T737" s="158"/>
    </row>
    <row r="738" spans="1:20" ht="12.75" customHeight="1" x14ac:dyDescent="0.3">
      <c r="A738" s="36"/>
      <c r="B738" s="36"/>
      <c r="C738" s="36" t="s">
        <v>4015</v>
      </c>
      <c r="D738" s="29"/>
      <c r="E738" s="29"/>
      <c r="F738" s="29"/>
      <c r="G738" s="94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1"/>
      <c r="N738" s="451"/>
      <c r="O738" s="452"/>
      <c r="P738" s="452"/>
      <c r="Q738" s="452"/>
      <c r="R738" s="452"/>
      <c r="S738" s="452"/>
      <c r="T738" s="158"/>
    </row>
    <row r="739" spans="1:20" ht="12.75" customHeight="1" x14ac:dyDescent="0.3">
      <c r="A739" s="36"/>
      <c r="B739" s="36"/>
      <c r="C739" s="36" t="s">
        <v>683</v>
      </c>
      <c r="D739" s="29"/>
      <c r="E739" s="29"/>
      <c r="F739" s="29"/>
      <c r="G739" s="94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1"/>
      <c r="N739" s="451"/>
      <c r="O739" s="452"/>
      <c r="P739" s="452"/>
      <c r="Q739" s="452"/>
      <c r="R739" s="452"/>
      <c r="S739" s="452"/>
      <c r="T739" s="158"/>
    </row>
    <row r="740" spans="1:20" ht="12.75" customHeight="1" x14ac:dyDescent="0.3">
      <c r="A740" s="95"/>
      <c r="B740" s="95"/>
      <c r="C740" s="36" t="s">
        <v>766</v>
      </c>
      <c r="D740" s="29"/>
      <c r="E740" s="29"/>
      <c r="F740" s="29"/>
      <c r="G740" s="37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1"/>
      <c r="N740" s="451"/>
      <c r="O740" s="452"/>
      <c r="P740" s="452"/>
      <c r="Q740" s="452"/>
      <c r="R740" s="452"/>
      <c r="S740" s="452"/>
      <c r="T740" s="158"/>
    </row>
    <row r="741" spans="1:20" ht="12.75" customHeight="1" x14ac:dyDescent="0.3">
      <c r="A741" s="36"/>
      <c r="B741" s="36" t="s">
        <v>772</v>
      </c>
      <c r="C741" s="29"/>
      <c r="D741" s="29"/>
      <c r="E741" s="29"/>
      <c r="F741" s="29"/>
      <c r="G741" s="37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1"/>
      <c r="N741" s="451"/>
      <c r="O741" s="452"/>
      <c r="P741" s="452"/>
      <c r="Q741" s="452"/>
      <c r="R741" s="452"/>
      <c r="S741" s="452"/>
      <c r="T741" s="158"/>
    </row>
    <row r="742" spans="1:20" ht="12.75" customHeight="1" x14ac:dyDescent="0.3">
      <c r="A742" s="36"/>
      <c r="B742" s="36" t="s">
        <v>773</v>
      </c>
      <c r="C742" s="29"/>
      <c r="D742" s="29"/>
      <c r="E742" s="29"/>
      <c r="F742" s="29"/>
      <c r="G742" s="37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1"/>
      <c r="N742" s="451"/>
      <c r="O742" s="452"/>
      <c r="P742" s="452"/>
      <c r="Q742" s="452"/>
      <c r="R742" s="452"/>
      <c r="S742" s="452"/>
      <c r="T742" s="158"/>
    </row>
    <row r="743" spans="1:20" ht="12.75" customHeight="1" x14ac:dyDescent="0.3">
      <c r="A743" s="29"/>
      <c r="B743" s="36" t="s">
        <v>1036</v>
      </c>
      <c r="C743" s="29"/>
      <c r="D743" s="29"/>
      <c r="E743" s="29"/>
      <c r="F743" s="29"/>
      <c r="G743" s="94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1"/>
      <c r="N743" s="451"/>
      <c r="O743" s="452"/>
      <c r="P743" s="452"/>
      <c r="Q743" s="452"/>
      <c r="R743" s="452"/>
      <c r="S743" s="452"/>
      <c r="T743" s="158"/>
    </row>
    <row r="744" spans="1:20" ht="12.75" customHeight="1" x14ac:dyDescent="0.3">
      <c r="A744" s="36"/>
      <c r="B744" s="29" t="s">
        <v>185</v>
      </c>
      <c r="C744" s="29"/>
      <c r="D744" s="95"/>
      <c r="E744" s="95"/>
      <c r="F744" s="95"/>
      <c r="G744" s="37" t="s">
        <v>916</v>
      </c>
      <c r="H744" s="29" t="s">
        <v>36</v>
      </c>
      <c r="I744" s="522">
        <f>global!I140</f>
        <v>0</v>
      </c>
      <c r="J744" s="451"/>
      <c r="K744" s="451"/>
      <c r="L744" s="451"/>
      <c r="M744" s="451"/>
      <c r="N744" s="451">
        <v>1</v>
      </c>
      <c r="O744" s="452">
        <v>1</v>
      </c>
      <c r="P744" s="452">
        <v>1</v>
      </c>
      <c r="Q744" s="452">
        <v>1</v>
      </c>
      <c r="R744" s="452"/>
      <c r="S744" s="452">
        <v>1</v>
      </c>
      <c r="T744" s="158"/>
    </row>
    <row r="745" spans="1:20" ht="12.75" customHeight="1" x14ac:dyDescent="0.3">
      <c r="A745" s="134"/>
      <c r="B745" s="134"/>
      <c r="C745" s="134"/>
      <c r="D745" s="134"/>
      <c r="E745" s="134"/>
      <c r="F745" s="134"/>
      <c r="G745" s="134"/>
      <c r="H745" s="134"/>
      <c r="I745" s="457"/>
      <c r="J745" s="356"/>
      <c r="K745" s="356"/>
      <c r="L745" s="356"/>
      <c r="M745" s="356"/>
      <c r="N745" s="356"/>
      <c r="O745" s="471"/>
      <c r="P745" s="471"/>
      <c r="Q745" s="471"/>
      <c r="R745" s="471"/>
      <c r="S745" s="471"/>
      <c r="T745" s="158"/>
    </row>
    <row r="746" spans="1:20" ht="12.75" customHeight="1" x14ac:dyDescent="0.3">
      <c r="A746" s="44"/>
      <c r="B746" s="29"/>
      <c r="C746" s="29"/>
      <c r="D746" s="29"/>
      <c r="E746" s="29"/>
      <c r="F746" s="29"/>
      <c r="G746" s="29"/>
      <c r="H746" s="29"/>
      <c r="I746" s="342"/>
      <c r="J746" s="339"/>
      <c r="K746" s="339"/>
      <c r="L746" s="339"/>
      <c r="M746" s="339"/>
      <c r="N746" s="339"/>
      <c r="O746" s="282"/>
      <c r="P746" s="282"/>
      <c r="Q746" s="282"/>
      <c r="R746" s="282"/>
      <c r="S746" s="282"/>
      <c r="T746" s="158"/>
    </row>
    <row r="747" spans="1:20" ht="12.75" customHeight="1" x14ac:dyDescent="0.3">
      <c r="A747" s="44"/>
      <c r="B747" s="29"/>
      <c r="C747" s="29"/>
      <c r="D747" s="29"/>
      <c r="E747" s="29"/>
      <c r="F747" s="29"/>
      <c r="G747" s="29"/>
      <c r="H747" s="29"/>
      <c r="I747" s="342"/>
      <c r="J747" s="339"/>
      <c r="K747" s="339"/>
      <c r="L747" s="339"/>
      <c r="M747" s="339"/>
      <c r="N747" s="339"/>
      <c r="O747" s="282"/>
      <c r="P747" s="282"/>
      <c r="Q747" s="282"/>
      <c r="R747" s="282"/>
      <c r="S747" s="282"/>
      <c r="T747" s="158"/>
    </row>
    <row r="748" spans="1:20" ht="12.75" customHeight="1" x14ac:dyDescent="0.3">
      <c r="A748" s="62" t="s">
        <v>1308</v>
      </c>
      <c r="B748" s="29"/>
      <c r="C748" s="29"/>
      <c r="D748" s="29"/>
      <c r="E748" s="29"/>
      <c r="F748" s="29"/>
      <c r="G748" s="29"/>
      <c r="H748" s="29"/>
      <c r="I748" s="342"/>
      <c r="J748" s="339"/>
      <c r="K748" s="339"/>
      <c r="L748" s="339"/>
      <c r="M748" s="339"/>
      <c r="N748" s="339"/>
      <c r="O748" s="282"/>
      <c r="P748" s="282"/>
      <c r="Q748" s="282"/>
      <c r="R748" s="282"/>
      <c r="S748" s="282"/>
      <c r="T748" s="158"/>
    </row>
    <row r="749" spans="1:20" ht="12.75" customHeight="1" x14ac:dyDescent="0.3">
      <c r="A749" s="29"/>
      <c r="B749" s="29"/>
      <c r="C749" s="29"/>
      <c r="D749" s="29"/>
      <c r="E749" s="29"/>
      <c r="F749" s="29"/>
      <c r="G749" s="29"/>
      <c r="H749" s="29"/>
      <c r="I749" s="457"/>
      <c r="J749" s="339"/>
      <c r="K749" s="339"/>
      <c r="L749" s="339"/>
      <c r="M749" s="339"/>
      <c r="N749" s="339"/>
      <c r="O749" s="282"/>
      <c r="P749" s="282"/>
      <c r="Q749" s="282"/>
      <c r="R749" s="282"/>
      <c r="S749" s="282"/>
      <c r="T749" s="158"/>
    </row>
    <row r="750" spans="1:20" ht="12.75" customHeight="1" x14ac:dyDescent="0.3">
      <c r="A750" s="97" t="s">
        <v>1310</v>
      </c>
      <c r="B750" s="97"/>
      <c r="C750" s="97"/>
      <c r="D750" s="97"/>
      <c r="E750" s="97"/>
      <c r="F750" s="97"/>
      <c r="G750" s="97"/>
      <c r="H750" s="97"/>
      <c r="I750" s="340" t="s">
        <v>754</v>
      </c>
      <c r="J750" s="364"/>
      <c r="K750" s="364"/>
      <c r="L750" s="364" t="s">
        <v>754</v>
      </c>
      <c r="M750" s="364" t="s">
        <v>754</v>
      </c>
      <c r="N750" s="364"/>
      <c r="O750" s="470"/>
      <c r="P750" s="470"/>
      <c r="Q750" s="470"/>
      <c r="R750" s="470"/>
      <c r="S750" s="470"/>
      <c r="T750" s="158"/>
    </row>
    <row r="751" spans="1:20" ht="12.75" customHeight="1" x14ac:dyDescent="0.3">
      <c r="A751" s="92"/>
      <c r="B751" s="92"/>
      <c r="C751" s="92"/>
      <c r="D751" s="92"/>
      <c r="E751" s="92"/>
      <c r="F751" s="92"/>
      <c r="G751" s="92"/>
      <c r="H751" s="92"/>
      <c r="I751" s="342"/>
      <c r="J751" s="405"/>
      <c r="K751" s="405"/>
      <c r="L751" s="405"/>
      <c r="M751" s="405"/>
      <c r="N751" s="405"/>
      <c r="O751" s="473"/>
      <c r="P751" s="473"/>
      <c r="Q751" s="473"/>
      <c r="R751" s="473"/>
      <c r="S751" s="473"/>
      <c r="T751" s="158"/>
    </row>
    <row r="752" spans="1:20" ht="12.75" customHeight="1" x14ac:dyDescent="0.3">
      <c r="A752" s="36" t="s">
        <v>1089</v>
      </c>
      <c r="B752" s="29"/>
      <c r="C752" s="29"/>
      <c r="D752" s="29"/>
      <c r="E752" s="29"/>
      <c r="F752" s="29"/>
      <c r="G752" s="37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1"/>
      <c r="N752" s="451"/>
      <c r="O752" s="452"/>
      <c r="P752" s="452"/>
      <c r="Q752" s="452"/>
      <c r="R752" s="452"/>
      <c r="S752" s="452"/>
      <c r="T752" s="158"/>
    </row>
    <row r="753" spans="1:20" ht="12.75" customHeight="1" x14ac:dyDescent="0.3">
      <c r="A753" s="29" t="s">
        <v>4016</v>
      </c>
      <c r="B753" s="29"/>
      <c r="C753" s="29"/>
      <c r="D753" s="29"/>
      <c r="E753" s="29"/>
      <c r="F753" s="29"/>
      <c r="G753" s="37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1"/>
      <c r="N753" s="451"/>
      <c r="O753" s="452"/>
      <c r="P753" s="452"/>
      <c r="Q753" s="452"/>
      <c r="R753" s="452"/>
      <c r="S753" s="452"/>
      <c r="T753" s="158"/>
    </row>
    <row r="754" spans="1:20" ht="12.75" customHeight="1" x14ac:dyDescent="0.3">
      <c r="A754" s="36" t="s">
        <v>104</v>
      </c>
      <c r="B754" s="29"/>
      <c r="C754" s="29"/>
      <c r="D754" s="29"/>
      <c r="E754" s="29"/>
      <c r="F754" s="29"/>
      <c r="G754" s="37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1"/>
      <c r="N754" s="451"/>
      <c r="O754" s="452"/>
      <c r="P754" s="452"/>
      <c r="Q754" s="452"/>
      <c r="R754" s="452"/>
      <c r="S754" s="452"/>
      <c r="T754" s="158"/>
    </row>
    <row r="755" spans="1:20" ht="12.75" customHeight="1" x14ac:dyDescent="0.3">
      <c r="A755" s="36" t="s">
        <v>734</v>
      </c>
      <c r="B755" s="29"/>
      <c r="C755" s="29"/>
      <c r="D755" s="29"/>
      <c r="E755" s="29"/>
      <c r="F755" s="29"/>
      <c r="G755" s="37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1"/>
      <c r="N755" s="451"/>
      <c r="O755" s="452"/>
      <c r="P755" s="452"/>
      <c r="Q755" s="452"/>
      <c r="R755" s="452"/>
      <c r="S755" s="452"/>
      <c r="T755" s="158"/>
    </row>
    <row r="756" spans="1:20" ht="12.75" customHeight="1" x14ac:dyDescent="0.3">
      <c r="A756" s="36" t="s">
        <v>735</v>
      </c>
      <c r="B756" s="29"/>
      <c r="C756" s="29"/>
      <c r="D756" s="29"/>
      <c r="E756" s="29"/>
      <c r="F756" s="29"/>
      <c r="G756" s="37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1"/>
      <c r="N756" s="451"/>
      <c r="O756" s="452"/>
      <c r="P756" s="452"/>
      <c r="Q756" s="452"/>
      <c r="R756" s="452"/>
      <c r="S756" s="452"/>
      <c r="T756" s="158"/>
    </row>
    <row r="757" spans="1:20" ht="12.75" customHeight="1" x14ac:dyDescent="0.3">
      <c r="A757" s="29"/>
      <c r="B757" s="36" t="s">
        <v>1019</v>
      </c>
      <c r="C757" s="29"/>
      <c r="D757" s="29"/>
      <c r="E757" s="29"/>
      <c r="F757" s="29"/>
      <c r="G757" s="37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1"/>
      <c r="N757" s="451"/>
      <c r="O757" s="452"/>
      <c r="P757" s="452"/>
      <c r="Q757" s="452"/>
      <c r="R757" s="452"/>
      <c r="S757" s="452"/>
      <c r="T757" s="158"/>
    </row>
    <row r="758" spans="1:20" ht="12.75" customHeight="1" x14ac:dyDescent="0.3">
      <c r="A758" s="29"/>
      <c r="B758" s="36" t="s">
        <v>3992</v>
      </c>
      <c r="C758" s="29"/>
      <c r="D758" s="29"/>
      <c r="E758" s="29"/>
      <c r="F758" s="29"/>
      <c r="G758" s="94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1"/>
      <c r="N758" s="451"/>
      <c r="O758" s="452"/>
      <c r="P758" s="452"/>
      <c r="Q758" s="452"/>
      <c r="R758" s="452"/>
      <c r="S758" s="452"/>
      <c r="T758" s="158"/>
    </row>
    <row r="759" spans="1:20" ht="12.75" customHeight="1" x14ac:dyDescent="0.3">
      <c r="A759" s="29"/>
      <c r="B759" s="36" t="s">
        <v>3993</v>
      </c>
      <c r="C759" s="29"/>
      <c r="D759" s="29"/>
      <c r="E759" s="29"/>
      <c r="F759" s="29"/>
      <c r="G759" s="94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1"/>
      <c r="N759" s="451"/>
      <c r="O759" s="452"/>
      <c r="P759" s="452"/>
      <c r="Q759" s="452"/>
      <c r="R759" s="452"/>
      <c r="S759" s="452"/>
      <c r="T759" s="158"/>
    </row>
    <row r="760" spans="1:20" ht="12.75" customHeight="1" x14ac:dyDescent="0.3">
      <c r="A760" s="29"/>
      <c r="B760" s="29"/>
      <c r="C760" s="36" t="s">
        <v>767</v>
      </c>
      <c r="D760" s="29"/>
      <c r="E760" s="29"/>
      <c r="F760" s="29"/>
      <c r="G760" s="94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1"/>
      <c r="N760" s="451"/>
      <c r="O760" s="452"/>
      <c r="P760" s="452"/>
      <c r="Q760" s="452"/>
      <c r="R760" s="452"/>
      <c r="S760" s="452"/>
      <c r="T760" s="158"/>
    </row>
    <row r="761" spans="1:20" ht="12.75" customHeight="1" x14ac:dyDescent="0.3">
      <c r="A761" s="29"/>
      <c r="B761" s="29"/>
      <c r="C761" s="36" t="s">
        <v>106</v>
      </c>
      <c r="D761" s="29"/>
      <c r="E761" s="29"/>
      <c r="F761" s="29"/>
      <c r="G761" s="94" t="s">
        <v>950</v>
      </c>
      <c r="H761" s="36" t="s">
        <v>719</v>
      </c>
      <c r="I761" s="522">
        <f>global!I157</f>
        <v>0</v>
      </c>
      <c r="J761" s="451"/>
      <c r="K761" s="451"/>
      <c r="L761" s="451"/>
      <c r="M761" s="451"/>
      <c r="N761" s="451">
        <v>990</v>
      </c>
      <c r="O761" s="452">
        <v>990</v>
      </c>
      <c r="P761" s="452"/>
      <c r="Q761" s="452">
        <v>990</v>
      </c>
      <c r="R761" s="452">
        <v>990</v>
      </c>
      <c r="S761" s="452">
        <v>990</v>
      </c>
      <c r="T761" s="158"/>
    </row>
    <row r="762" spans="1:20" ht="12.75" customHeight="1" x14ac:dyDescent="0.3">
      <c r="A762" s="29"/>
      <c r="B762" s="29"/>
      <c r="C762" s="36" t="s">
        <v>105</v>
      </c>
      <c r="D762" s="29"/>
      <c r="E762" s="29"/>
      <c r="F762" s="29"/>
      <c r="G762" s="94" t="s">
        <v>951</v>
      </c>
      <c r="H762" s="36" t="s">
        <v>719</v>
      </c>
      <c r="I762" s="522">
        <f>global!I158</f>
        <v>0</v>
      </c>
      <c r="J762" s="451"/>
      <c r="K762" s="451"/>
      <c r="L762" s="451"/>
      <c r="M762" s="451"/>
      <c r="N762" s="451">
        <v>10</v>
      </c>
      <c r="O762" s="452">
        <v>10</v>
      </c>
      <c r="P762" s="452"/>
      <c r="Q762" s="452">
        <v>10</v>
      </c>
      <c r="R762" s="452">
        <v>10</v>
      </c>
      <c r="S762" s="452">
        <v>10</v>
      </c>
      <c r="T762" s="158"/>
    </row>
    <row r="763" spans="1:20" ht="12.75" customHeight="1" x14ac:dyDescent="0.3">
      <c r="A763" s="29"/>
      <c r="B763" s="29"/>
      <c r="C763" s="36" t="s">
        <v>1053</v>
      </c>
      <c r="D763" s="29"/>
      <c r="E763" s="29"/>
      <c r="F763" s="29"/>
      <c r="G763" s="94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1"/>
      <c r="N763" s="451"/>
      <c r="O763" s="452"/>
      <c r="P763" s="452"/>
      <c r="Q763" s="452"/>
      <c r="R763" s="452"/>
      <c r="S763" s="452"/>
      <c r="T763" s="158"/>
    </row>
    <row r="764" spans="1:20" ht="12.75" customHeight="1" x14ac:dyDescent="0.3">
      <c r="A764" s="36"/>
      <c r="B764" s="29"/>
      <c r="C764" s="36" t="s">
        <v>3994</v>
      </c>
      <c r="D764" s="95"/>
      <c r="E764" s="95"/>
      <c r="F764" s="95"/>
      <c r="G764" s="94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1"/>
      <c r="N764" s="451"/>
      <c r="O764" s="452"/>
      <c r="P764" s="452"/>
      <c r="Q764" s="452"/>
      <c r="R764" s="452"/>
      <c r="S764" s="452"/>
      <c r="T764" s="158"/>
    </row>
    <row r="765" spans="1:20" ht="12.75" customHeight="1" x14ac:dyDescent="0.3">
      <c r="A765" s="29"/>
      <c r="B765" s="29"/>
      <c r="C765" s="29" t="s">
        <v>216</v>
      </c>
      <c r="D765" s="29"/>
      <c r="E765" s="29"/>
      <c r="F765" s="29"/>
      <c r="G765" s="36" t="s">
        <v>4017</v>
      </c>
      <c r="H765" s="36" t="s">
        <v>722</v>
      </c>
      <c r="I765" s="522">
        <f>global!I161</f>
        <v>0</v>
      </c>
      <c r="J765" s="451"/>
      <c r="K765" s="451"/>
      <c r="L765" s="451"/>
      <c r="M765" s="451"/>
      <c r="N765" s="451">
        <v>4.9999999999999995E-11</v>
      </c>
      <c r="O765" s="452">
        <v>4.9999999999999995E-11</v>
      </c>
      <c r="P765" s="452">
        <v>4.9999999999999995E-11</v>
      </c>
      <c r="Q765" s="452">
        <v>4.9999999999999995E-11</v>
      </c>
      <c r="R765" s="452">
        <v>4.9999999999999995E-11</v>
      </c>
      <c r="S765" s="452"/>
      <c r="T765" s="158"/>
    </row>
    <row r="766" spans="1:20" ht="12.75" customHeight="1" x14ac:dyDescent="0.3">
      <c r="A766" s="29"/>
      <c r="B766" s="29"/>
      <c r="C766" s="29" t="s">
        <v>217</v>
      </c>
      <c r="D766" s="29"/>
      <c r="E766" s="29"/>
      <c r="F766" s="29"/>
      <c r="G766" s="36" t="s">
        <v>4018</v>
      </c>
      <c r="H766" s="36" t="s">
        <v>722</v>
      </c>
      <c r="I766" s="522">
        <f>global!I162</f>
        <v>0</v>
      </c>
      <c r="J766" s="451"/>
      <c r="K766" s="451"/>
      <c r="L766" s="451"/>
      <c r="M766" s="451"/>
      <c r="N766" s="451">
        <v>9.9999999999999995E-21</v>
      </c>
      <c r="O766" s="452">
        <v>9.9999999999999995E-21</v>
      </c>
      <c r="P766" s="452">
        <v>9.9999999999999995E-21</v>
      </c>
      <c r="Q766" s="452">
        <v>9.9999999999999995E-21</v>
      </c>
      <c r="R766" s="452">
        <v>9.9999999999999995E-21</v>
      </c>
      <c r="S766" s="452"/>
      <c r="T766" s="158"/>
    </row>
    <row r="767" spans="1:20" ht="12.75" customHeight="1" x14ac:dyDescent="0.3">
      <c r="A767" s="29"/>
      <c r="B767" s="29"/>
      <c r="C767" s="36" t="s">
        <v>1054</v>
      </c>
      <c r="D767" s="95"/>
      <c r="E767" s="95"/>
      <c r="F767" s="95"/>
      <c r="G767" s="94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1"/>
      <c r="N767" s="451"/>
      <c r="O767" s="452"/>
      <c r="P767" s="452"/>
      <c r="Q767" s="452"/>
      <c r="R767" s="452"/>
      <c r="S767" s="452"/>
      <c r="T767" s="158"/>
    </row>
    <row r="768" spans="1:20" ht="12.75" customHeight="1" x14ac:dyDescent="0.3">
      <c r="A768" s="29"/>
      <c r="B768" s="29"/>
      <c r="C768" s="36" t="s">
        <v>1055</v>
      </c>
      <c r="D768" s="29"/>
      <c r="E768" s="29"/>
      <c r="F768" s="29"/>
      <c r="G768" s="94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1"/>
      <c r="N768" s="451"/>
      <c r="O768" s="452"/>
      <c r="P768" s="452"/>
      <c r="Q768" s="452"/>
      <c r="R768" s="452"/>
      <c r="S768" s="452"/>
      <c r="T768" s="158"/>
    </row>
    <row r="769" spans="1:20" ht="12.75" customHeight="1" x14ac:dyDescent="0.3">
      <c r="A769" s="29"/>
      <c r="B769" s="29"/>
      <c r="C769" s="36" t="s">
        <v>1056</v>
      </c>
      <c r="D769" s="29"/>
      <c r="E769" s="29"/>
      <c r="F769" s="29"/>
      <c r="G769" s="94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1"/>
      <c r="N769" s="451"/>
      <c r="O769" s="452"/>
      <c r="P769" s="452"/>
      <c r="Q769" s="452"/>
      <c r="R769" s="452"/>
      <c r="S769" s="452"/>
      <c r="T769" s="158"/>
    </row>
    <row r="770" spans="1:20" ht="12.75" customHeight="1" x14ac:dyDescent="0.3">
      <c r="A770" s="36"/>
      <c r="B770" s="29"/>
      <c r="C770" s="36" t="s">
        <v>434</v>
      </c>
      <c r="D770" s="95"/>
      <c r="E770" s="95"/>
      <c r="F770" s="95"/>
      <c r="G770" s="94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1"/>
      <c r="N770" s="451"/>
      <c r="O770" s="452"/>
      <c r="P770" s="452"/>
      <c r="Q770" s="452"/>
      <c r="R770" s="452"/>
      <c r="S770" s="452"/>
      <c r="T770" s="158"/>
    </row>
    <row r="771" spans="1:20" ht="12.75" customHeight="1" x14ac:dyDescent="0.3">
      <c r="A771" s="36"/>
      <c r="B771" s="29"/>
      <c r="C771" s="36" t="s">
        <v>475</v>
      </c>
      <c r="D771" s="95"/>
      <c r="E771" s="95"/>
      <c r="F771" s="95"/>
      <c r="G771" s="94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1"/>
      <c r="N771" s="451"/>
      <c r="O771" s="452"/>
      <c r="P771" s="452"/>
      <c r="Q771" s="452"/>
      <c r="R771" s="452"/>
      <c r="S771" s="452"/>
      <c r="T771" s="158"/>
    </row>
    <row r="772" spans="1:20" ht="12.75" customHeight="1" x14ac:dyDescent="0.3">
      <c r="A772" s="92"/>
      <c r="B772" s="92"/>
      <c r="C772" s="92"/>
      <c r="D772" s="92"/>
      <c r="E772" s="92"/>
      <c r="F772" s="92"/>
      <c r="G772" s="93"/>
      <c r="H772" s="133"/>
      <c r="I772" s="527"/>
      <c r="J772" s="459"/>
      <c r="K772" s="459"/>
      <c r="L772" s="459"/>
      <c r="M772" s="459"/>
      <c r="N772" s="459"/>
      <c r="O772" s="460"/>
      <c r="P772" s="460"/>
      <c r="Q772" s="460"/>
      <c r="R772" s="460"/>
      <c r="S772" s="460"/>
      <c r="T772" s="158"/>
    </row>
    <row r="773" spans="1:20" ht="12.75" customHeight="1" x14ac:dyDescent="0.3">
      <c r="A773" s="36" t="s">
        <v>100</v>
      </c>
      <c r="B773" s="29"/>
      <c r="C773" s="29"/>
      <c r="D773" s="29"/>
      <c r="E773" s="29"/>
      <c r="F773" s="29"/>
      <c r="G773" s="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1"/>
      <c r="N773" s="451"/>
      <c r="O773" s="452"/>
      <c r="P773" s="452"/>
      <c r="Q773" s="452"/>
      <c r="R773" s="452"/>
      <c r="S773" s="452"/>
      <c r="T773" s="158"/>
    </row>
    <row r="774" spans="1:20" ht="12.75" customHeight="1" x14ac:dyDescent="0.3">
      <c r="A774" s="36"/>
      <c r="B774" s="36" t="s">
        <v>544</v>
      </c>
      <c r="C774" s="29"/>
      <c r="D774" s="29"/>
      <c r="E774" s="29"/>
      <c r="F774" s="29"/>
      <c r="G774" s="37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1"/>
      <c r="N774" s="451"/>
      <c r="O774" s="452"/>
      <c r="P774" s="452"/>
      <c r="Q774" s="452"/>
      <c r="R774" s="452"/>
      <c r="S774" s="452"/>
      <c r="T774" s="158"/>
    </row>
    <row r="775" spans="1:20" ht="12.75" customHeight="1" x14ac:dyDescent="0.3">
      <c r="A775" s="92"/>
      <c r="B775" s="92"/>
      <c r="C775" s="92"/>
      <c r="D775" s="92"/>
      <c r="E775" s="92"/>
      <c r="F775" s="92"/>
      <c r="G775" s="93"/>
      <c r="H775" s="133"/>
      <c r="I775" s="527"/>
      <c r="J775" s="459"/>
      <c r="K775" s="459"/>
      <c r="L775" s="459"/>
      <c r="M775" s="459"/>
      <c r="N775" s="459"/>
      <c r="O775" s="460"/>
      <c r="P775" s="460"/>
      <c r="Q775" s="460"/>
      <c r="R775" s="460"/>
      <c r="S775" s="460"/>
      <c r="T775" s="158"/>
    </row>
    <row r="776" spans="1:20" ht="12.75" customHeight="1" x14ac:dyDescent="0.3">
      <c r="A776" s="36" t="s">
        <v>1146</v>
      </c>
      <c r="B776" s="29"/>
      <c r="C776" s="29"/>
      <c r="D776" s="29"/>
      <c r="E776" s="29"/>
      <c r="F776" s="29"/>
      <c r="G776" s="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1"/>
      <c r="N776" s="451"/>
      <c r="O776" s="452"/>
      <c r="P776" s="452"/>
      <c r="Q776" s="452"/>
      <c r="R776" s="452"/>
      <c r="S776" s="452"/>
      <c r="T776" s="158"/>
    </row>
    <row r="777" spans="1:20" ht="12.75" customHeight="1" x14ac:dyDescent="0.3">
      <c r="A777" s="36" t="s">
        <v>1145</v>
      </c>
      <c r="B777" s="29"/>
      <c r="C777" s="29"/>
      <c r="D777" s="29"/>
      <c r="E777" s="29"/>
      <c r="F777" s="29"/>
      <c r="G777" s="36" t="s">
        <v>1115</v>
      </c>
      <c r="H777" s="36" t="s">
        <v>2308</v>
      </c>
      <c r="I777" s="522">
        <f>global!I173</f>
        <v>0</v>
      </c>
      <c r="J777" s="451"/>
      <c r="K777" s="451"/>
      <c r="L777" s="451"/>
      <c r="M777" s="451"/>
      <c r="N777" s="451">
        <v>9.9999999999999995E-21</v>
      </c>
      <c r="O777" s="452">
        <v>9.9999999999999995E-21</v>
      </c>
      <c r="P777" s="452"/>
      <c r="Q777" s="452">
        <v>9.9999999999999995E-21</v>
      </c>
      <c r="R777" s="452">
        <v>9.9999999999999995E-21</v>
      </c>
      <c r="S777" s="452">
        <v>9.9999999999999995E-21</v>
      </c>
      <c r="T777" s="158"/>
    </row>
    <row r="778" spans="1:20" ht="12.75" customHeight="1" x14ac:dyDescent="0.3">
      <c r="A778" s="36"/>
      <c r="B778" s="36" t="s">
        <v>545</v>
      </c>
      <c r="C778" s="29"/>
      <c r="D778" s="29"/>
      <c r="E778" s="29"/>
      <c r="F778" s="29"/>
      <c r="G778" s="94" t="s">
        <v>1282</v>
      </c>
      <c r="H778" s="29" t="s">
        <v>2317</v>
      </c>
      <c r="I778" s="522">
        <f>global!I174</f>
        <v>0</v>
      </c>
      <c r="J778" s="451"/>
      <c r="K778" s="451"/>
      <c r="L778" s="451"/>
      <c r="M778" s="451"/>
      <c r="N778" s="451">
        <v>50497524.691810384</v>
      </c>
      <c r="O778" s="452">
        <v>50497524.691810384</v>
      </c>
      <c r="P778" s="452"/>
      <c r="Q778" s="452">
        <v>50497524.691810384</v>
      </c>
      <c r="R778" s="452">
        <v>50497524.691810384</v>
      </c>
      <c r="S778" s="452">
        <v>50497524.691810384</v>
      </c>
      <c r="T778" s="158"/>
    </row>
    <row r="779" spans="1:20" ht="12.75" customHeight="1" x14ac:dyDescent="0.3">
      <c r="A779" s="36" t="s">
        <v>129</v>
      </c>
      <c r="B779" s="29"/>
      <c r="C779" s="29"/>
      <c r="D779" s="29"/>
      <c r="E779" s="29"/>
      <c r="F779" s="29"/>
      <c r="G779" s="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1"/>
      <c r="N779" s="451"/>
      <c r="O779" s="452"/>
      <c r="P779" s="452"/>
      <c r="Q779" s="452"/>
      <c r="R779" s="452"/>
      <c r="S779" s="452"/>
      <c r="T779" s="158"/>
    </row>
    <row r="780" spans="1:20" ht="12.75" customHeight="1" x14ac:dyDescent="0.3">
      <c r="A780" s="36" t="s">
        <v>130</v>
      </c>
      <c r="B780" s="29"/>
      <c r="C780" s="29"/>
      <c r="D780" s="29"/>
      <c r="E780" s="29"/>
      <c r="F780" s="29"/>
      <c r="G780" s="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1"/>
      <c r="N780" s="451"/>
      <c r="O780" s="452"/>
      <c r="P780" s="452"/>
      <c r="Q780" s="452"/>
      <c r="R780" s="452"/>
      <c r="S780" s="452"/>
      <c r="T780" s="158"/>
    </row>
    <row r="781" spans="1:20" ht="12.75" customHeight="1" x14ac:dyDescent="0.3">
      <c r="A781" s="36"/>
      <c r="B781" s="29" t="s">
        <v>693</v>
      </c>
      <c r="C781" s="29"/>
      <c r="D781" s="29"/>
      <c r="E781" s="29"/>
      <c r="F781" s="29"/>
      <c r="G781" s="37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1"/>
      <c r="N781" s="451"/>
      <c r="O781" s="452"/>
      <c r="P781" s="452"/>
      <c r="Q781" s="452"/>
      <c r="R781" s="452"/>
      <c r="S781" s="452"/>
      <c r="T781" s="158"/>
    </row>
    <row r="782" spans="1:20" ht="12.75" customHeight="1" x14ac:dyDescent="0.3">
      <c r="A782" s="36"/>
      <c r="B782" s="36"/>
      <c r="C782" s="29" t="s">
        <v>1218</v>
      </c>
      <c r="D782" s="29"/>
      <c r="E782" s="29"/>
      <c r="F782" s="29"/>
      <c r="G782" s="37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1"/>
      <c r="N782" s="451"/>
      <c r="O782" s="452"/>
      <c r="P782" s="452"/>
      <c r="Q782" s="452"/>
      <c r="R782" s="452"/>
      <c r="S782" s="452"/>
      <c r="T782" s="158"/>
    </row>
    <row r="783" spans="1:20" ht="12.75" customHeight="1" x14ac:dyDescent="0.3">
      <c r="A783" s="29"/>
      <c r="B783" s="29"/>
      <c r="C783" s="29"/>
      <c r="D783" s="29"/>
      <c r="E783" s="29"/>
      <c r="F783" s="29"/>
      <c r="G783" s="29"/>
      <c r="H783" s="29"/>
      <c r="I783" s="457"/>
      <c r="J783" s="339"/>
      <c r="K783" s="339"/>
      <c r="L783" s="339"/>
      <c r="M783" s="339"/>
      <c r="N783" s="339"/>
      <c r="O783" s="282"/>
      <c r="P783" s="282"/>
      <c r="Q783" s="282"/>
      <c r="R783" s="282"/>
      <c r="S783" s="282"/>
      <c r="T783" s="158"/>
    </row>
    <row r="784" spans="1:20" ht="12.75" customHeight="1" x14ac:dyDescent="0.3">
      <c r="A784" s="98" t="s">
        <v>209</v>
      </c>
      <c r="B784" s="97"/>
      <c r="C784" s="97"/>
      <c r="D784" s="97"/>
      <c r="E784" s="97"/>
      <c r="F784" s="97"/>
      <c r="G784" s="97"/>
      <c r="H784" s="97"/>
      <c r="I784" s="340" t="s">
        <v>754</v>
      </c>
      <c r="J784" s="364"/>
      <c r="K784" s="364"/>
      <c r="L784" s="364" t="s">
        <v>754</v>
      </c>
      <c r="M784" s="364" t="s">
        <v>754</v>
      </c>
      <c r="N784" s="364"/>
      <c r="O784" s="470"/>
      <c r="P784" s="470"/>
      <c r="Q784" s="470"/>
      <c r="R784" s="470"/>
      <c r="S784" s="470"/>
      <c r="T784" s="158"/>
    </row>
    <row r="785" spans="1:20" ht="12.75" customHeight="1" x14ac:dyDescent="0.3">
      <c r="A785" s="36"/>
      <c r="B785" s="36"/>
      <c r="C785" s="29"/>
      <c r="D785" s="29"/>
      <c r="E785" s="29"/>
      <c r="F785" s="29"/>
      <c r="G785" s="29"/>
      <c r="H785" s="29"/>
      <c r="I785" s="342"/>
      <c r="J785" s="339"/>
      <c r="K785" s="339"/>
      <c r="L785" s="339"/>
      <c r="M785" s="339"/>
      <c r="N785" s="339"/>
      <c r="O785" s="282"/>
      <c r="P785" s="282"/>
      <c r="Q785" s="282"/>
      <c r="R785" s="282"/>
      <c r="S785" s="282"/>
      <c r="T785" s="158"/>
    </row>
    <row r="786" spans="1:20" ht="12.75" customHeight="1" x14ac:dyDescent="0.3">
      <c r="A786" s="29"/>
      <c r="B786" s="29" t="s">
        <v>986</v>
      </c>
      <c r="C786" s="29"/>
      <c r="D786" s="29"/>
      <c r="E786" s="29"/>
      <c r="F786" s="29"/>
      <c r="G786" s="36" t="s">
        <v>4019</v>
      </c>
      <c r="H786" s="36" t="s">
        <v>36</v>
      </c>
      <c r="I786" s="522">
        <f>global!I182</f>
        <v>0</v>
      </c>
      <c r="J786" s="451"/>
      <c r="K786" s="451"/>
      <c r="L786" s="451"/>
      <c r="M786" s="451"/>
      <c r="N786" s="451">
        <f t="shared" ref="N786:R786" si="19">1-(0.0000258)/(IF(Tm&gt;298,EXP(-6.79*(1-Tm/298))*Pvap25*EXP((H0vap/8.314)*(1/298-1/TEMP.A)),Pvap25*EXP((H0vap/8.314)*(1/298-1/TEMP.A)))+(0.0000258))</f>
        <v>2.9151179054053289E-3</v>
      </c>
      <c r="O786" s="452">
        <f t="shared" si="19"/>
        <v>2.9151179054053289E-3</v>
      </c>
      <c r="P786" s="452">
        <f t="shared" si="19"/>
        <v>2.9151179054053289E-3</v>
      </c>
      <c r="Q786" s="452">
        <f t="shared" si="19"/>
        <v>2.9151179054053289E-3</v>
      </c>
      <c r="R786" s="452">
        <f t="shared" si="19"/>
        <v>2.9151179054053289E-3</v>
      </c>
      <c r="S786" s="452"/>
      <c r="T786" s="158"/>
    </row>
    <row r="787" spans="1:20" ht="12.75" customHeight="1" x14ac:dyDescent="0.3">
      <c r="A787" s="29"/>
      <c r="B787" s="29" t="s">
        <v>615</v>
      </c>
      <c r="C787" s="29"/>
      <c r="D787" s="29"/>
      <c r="E787" s="29"/>
      <c r="F787" s="29"/>
      <c r="G787" s="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1"/>
      <c r="N787" s="451"/>
      <c r="O787" s="452"/>
      <c r="P787" s="452"/>
      <c r="Q787" s="452"/>
      <c r="R787" s="452"/>
      <c r="S787" s="452"/>
      <c r="T787" s="158"/>
    </row>
    <row r="788" spans="1:20" ht="12.75" customHeight="1" x14ac:dyDescent="0.3">
      <c r="A788" s="29"/>
      <c r="B788" s="29" t="s">
        <v>616</v>
      </c>
      <c r="C788" s="29"/>
      <c r="D788" s="29"/>
      <c r="E788" s="29"/>
      <c r="F788" s="29"/>
      <c r="G788" s="29" t="s">
        <v>640</v>
      </c>
      <c r="H788" s="29" t="s">
        <v>36</v>
      </c>
      <c r="I788" s="522">
        <f>global!I184</f>
        <v>0</v>
      </c>
      <c r="J788" s="451"/>
      <c r="K788" s="451"/>
      <c r="L788" s="451"/>
      <c r="M788" s="451"/>
      <c r="N788" s="451">
        <f t="shared" ref="N788:R788" si="20">(0.0000258)/(IF(Tm&gt;298,EXP(-6.79*(1-Tm/298))*Pvap25*EXP((H0vap/8.314)*(1/298-1/TEMP.A)),Pvap25*EXP((H0vap/8.314)*(1/298-1/TEMP.A)))+(0.0000258))</f>
        <v>0.99708488209459467</v>
      </c>
      <c r="O788" s="452">
        <f t="shared" si="20"/>
        <v>0.99708488209459467</v>
      </c>
      <c r="P788" s="452">
        <f t="shared" si="20"/>
        <v>0.99708488209459467</v>
      </c>
      <c r="Q788" s="452">
        <f t="shared" si="20"/>
        <v>0.99708488209459467</v>
      </c>
      <c r="R788" s="452">
        <f t="shared" si="20"/>
        <v>0.99708488209459467</v>
      </c>
      <c r="S788" s="452"/>
      <c r="T788" s="158"/>
    </row>
    <row r="789" spans="1:20" ht="12.75" customHeight="1" x14ac:dyDescent="0.3">
      <c r="A789" s="29"/>
      <c r="B789" s="29"/>
      <c r="C789" s="36" t="s">
        <v>1043</v>
      </c>
      <c r="D789" s="36"/>
      <c r="E789" s="36"/>
      <c r="F789" s="36"/>
      <c r="G789" s="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1"/>
      <c r="N789" s="451"/>
      <c r="O789" s="452"/>
      <c r="P789" s="452"/>
      <c r="Q789" s="452"/>
      <c r="R789" s="452"/>
      <c r="S789" s="452"/>
      <c r="T789" s="158"/>
    </row>
    <row r="790" spans="1:20" ht="12.75" customHeight="1" x14ac:dyDescent="0.3">
      <c r="A790" s="36"/>
      <c r="B790" s="29"/>
      <c r="C790" s="29" t="s">
        <v>1017</v>
      </c>
      <c r="D790" s="29"/>
      <c r="E790" s="29"/>
      <c r="F790" s="29"/>
      <c r="G790" s="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1"/>
      <c r="N790" s="451"/>
      <c r="O790" s="452"/>
      <c r="P790" s="452"/>
      <c r="Q790" s="452"/>
      <c r="R790" s="452"/>
      <c r="S790" s="452"/>
      <c r="T790" s="158"/>
    </row>
    <row r="791" spans="1:20" ht="12.75" customHeight="1" x14ac:dyDescent="0.35">
      <c r="A791" s="29"/>
      <c r="B791" s="29"/>
      <c r="C791" s="29" t="s">
        <v>612</v>
      </c>
      <c r="D791" s="29"/>
      <c r="E791" s="29"/>
      <c r="F791" s="29"/>
      <c r="G791" s="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1"/>
      <c r="N791" s="451"/>
      <c r="O791" s="452"/>
      <c r="P791" s="452"/>
      <c r="Q791" s="452"/>
      <c r="R791" s="452"/>
      <c r="S791" s="452"/>
      <c r="T791" s="158"/>
    </row>
    <row r="792" spans="1:20" ht="12.75" customHeight="1" x14ac:dyDescent="0.35">
      <c r="A792" s="29"/>
      <c r="B792" s="29"/>
      <c r="C792" s="29" t="s">
        <v>613</v>
      </c>
      <c r="D792" s="29"/>
      <c r="E792" s="29"/>
      <c r="F792" s="29"/>
      <c r="G792" s="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1"/>
      <c r="N792" s="451"/>
      <c r="O792" s="452"/>
      <c r="P792" s="452"/>
      <c r="Q792" s="452"/>
      <c r="R792" s="452"/>
      <c r="S792" s="452"/>
      <c r="T792" s="158"/>
    </row>
    <row r="793" spans="1:20" ht="12.75" customHeight="1" x14ac:dyDescent="0.3">
      <c r="A793" s="36"/>
      <c r="B793" s="36" t="s">
        <v>4002</v>
      </c>
      <c r="C793" s="95"/>
      <c r="D793" s="29"/>
      <c r="E793" s="29"/>
      <c r="F793" s="29"/>
      <c r="G793" s="37" t="s">
        <v>1147</v>
      </c>
      <c r="H793" s="36" t="s">
        <v>36</v>
      </c>
      <c r="I793" s="522">
        <f>global!I189</f>
        <v>0</v>
      </c>
      <c r="J793" s="451"/>
      <c r="K793" s="451"/>
      <c r="L793" s="451"/>
      <c r="M793" s="451"/>
      <c r="N793" s="451">
        <f t="shared" ref="N793:R793" si="21">1/(1+Kp.susp2A*SUSP.w2A/1000+0.05*Kow*0.001/1000)</f>
        <v>0.99933769729472144</v>
      </c>
      <c r="O793" s="452">
        <f t="shared" si="21"/>
        <v>0.99933769729472144</v>
      </c>
      <c r="P793" s="452">
        <f t="shared" si="21"/>
        <v>0.99933769729472144</v>
      </c>
      <c r="Q793" s="452">
        <f t="shared" si="21"/>
        <v>0.99933769729472144</v>
      </c>
      <c r="R793" s="452">
        <f t="shared" si="21"/>
        <v>0.99933769729472144</v>
      </c>
      <c r="S793" s="452"/>
      <c r="T793" s="158"/>
    </row>
    <row r="794" spans="1:20" ht="12.75" customHeight="1" x14ac:dyDescent="0.3">
      <c r="A794" s="36"/>
      <c r="B794" s="36" t="s">
        <v>1119</v>
      </c>
      <c r="C794" s="95"/>
      <c r="D794" s="29"/>
      <c r="E794" s="29"/>
      <c r="F794" s="29"/>
      <c r="G794" s="37" t="s">
        <v>1148</v>
      </c>
      <c r="H794" s="36" t="s">
        <v>36</v>
      </c>
      <c r="I794" s="522">
        <f>global!I190</f>
        <v>0</v>
      </c>
      <c r="J794" s="451"/>
      <c r="K794" s="451"/>
      <c r="L794" s="451"/>
      <c r="M794" s="451"/>
      <c r="N794" s="451">
        <f t="shared" ref="N794:R794" si="22">1/(1+Kp.susp3A*SUSP.w3A/1000+0.05*Kow*0.001/1000)</f>
        <v>0.99933769729472144</v>
      </c>
      <c r="O794" s="452">
        <f t="shared" si="22"/>
        <v>0.99933769729472144</v>
      </c>
      <c r="P794" s="452">
        <f t="shared" si="22"/>
        <v>0.99933769729472144</v>
      </c>
      <c r="Q794" s="452">
        <f t="shared" si="22"/>
        <v>0.99933769729472144</v>
      </c>
      <c r="R794" s="452">
        <f t="shared" si="22"/>
        <v>0.99933769729472144</v>
      </c>
      <c r="S794" s="452"/>
      <c r="T794" s="158"/>
    </row>
    <row r="795" spans="1:20" ht="12.75" customHeight="1" x14ac:dyDescent="0.3">
      <c r="A795" s="36"/>
      <c r="B795" s="29"/>
      <c r="C795" s="36" t="s">
        <v>4003</v>
      </c>
      <c r="D795" s="29"/>
      <c r="E795" s="29"/>
      <c r="F795" s="29"/>
      <c r="G795" s="94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1"/>
      <c r="N795" s="451"/>
      <c r="O795" s="452"/>
      <c r="P795" s="452"/>
      <c r="Q795" s="452"/>
      <c r="R795" s="452"/>
      <c r="S795" s="452"/>
      <c r="T795" s="158"/>
    </row>
    <row r="796" spans="1:20" ht="12.75" customHeight="1" x14ac:dyDescent="0.3">
      <c r="A796" s="36"/>
      <c r="B796" s="29"/>
      <c r="C796" s="36" t="s">
        <v>1122</v>
      </c>
      <c r="D796" s="29"/>
      <c r="E796" s="29"/>
      <c r="F796" s="29"/>
      <c r="G796" s="94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1"/>
      <c r="N796" s="451"/>
      <c r="O796" s="452"/>
      <c r="P796" s="452"/>
      <c r="Q796" s="452"/>
      <c r="R796" s="452"/>
      <c r="S796" s="452"/>
      <c r="T796" s="158"/>
    </row>
    <row r="797" spans="1:20" ht="12.75" customHeight="1" x14ac:dyDescent="0.3">
      <c r="A797" s="36"/>
      <c r="B797" s="29"/>
      <c r="C797" s="36" t="s">
        <v>4004</v>
      </c>
      <c r="D797" s="29"/>
      <c r="E797" s="29"/>
      <c r="F797" s="29"/>
      <c r="G797" s="94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1"/>
      <c r="N797" s="451"/>
      <c r="O797" s="452"/>
      <c r="P797" s="452"/>
      <c r="Q797" s="452"/>
      <c r="R797" s="452"/>
      <c r="S797" s="452"/>
      <c r="T797" s="158"/>
    </row>
    <row r="798" spans="1:20" ht="12.75" customHeight="1" x14ac:dyDescent="0.3">
      <c r="A798" s="36"/>
      <c r="B798" s="29"/>
      <c r="C798" s="36" t="s">
        <v>1124</v>
      </c>
      <c r="D798" s="29"/>
      <c r="E798" s="29"/>
      <c r="F798" s="29"/>
      <c r="G798" s="94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1"/>
      <c r="N798" s="451"/>
      <c r="O798" s="452"/>
      <c r="P798" s="452"/>
      <c r="Q798" s="452"/>
      <c r="R798" s="452"/>
      <c r="S798" s="452"/>
      <c r="T798" s="158"/>
    </row>
    <row r="799" spans="1:20" ht="12.75" customHeight="1" x14ac:dyDescent="0.3">
      <c r="A799" s="36"/>
      <c r="B799" s="29"/>
      <c r="C799" s="36" t="s">
        <v>4005</v>
      </c>
      <c r="D799" s="29"/>
      <c r="E799" s="29"/>
      <c r="F799" s="29"/>
      <c r="G799" s="94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1"/>
      <c r="N799" s="451"/>
      <c r="O799" s="452"/>
      <c r="P799" s="452"/>
      <c r="Q799" s="452"/>
      <c r="R799" s="452"/>
      <c r="S799" s="452"/>
      <c r="T799" s="158"/>
    </row>
    <row r="800" spans="1:20" ht="12.75" customHeight="1" x14ac:dyDescent="0.3">
      <c r="A800" s="36"/>
      <c r="B800" s="29"/>
      <c r="C800" s="36" t="s">
        <v>1126</v>
      </c>
      <c r="D800" s="29"/>
      <c r="E800" s="29"/>
      <c r="F800" s="29"/>
      <c r="G800" s="94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1"/>
      <c r="N800" s="451"/>
      <c r="O800" s="452"/>
      <c r="P800" s="452"/>
      <c r="Q800" s="452"/>
      <c r="R800" s="452"/>
      <c r="S800" s="452"/>
      <c r="T800" s="158"/>
    </row>
    <row r="801" spans="1:20" ht="12.75" customHeight="1" x14ac:dyDescent="0.3">
      <c r="A801" s="36"/>
      <c r="B801" s="29"/>
      <c r="C801" s="36" t="s">
        <v>4006</v>
      </c>
      <c r="D801" s="29"/>
      <c r="E801" s="29"/>
      <c r="F801" s="29"/>
      <c r="G801" s="94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1"/>
      <c r="N801" s="451"/>
      <c r="O801" s="452"/>
      <c r="P801" s="452"/>
      <c r="Q801" s="452"/>
      <c r="R801" s="452"/>
      <c r="S801" s="452"/>
      <c r="T801" s="158"/>
    </row>
    <row r="802" spans="1:20" ht="12.75" customHeight="1" x14ac:dyDescent="0.3">
      <c r="A802" s="36"/>
      <c r="B802" s="29"/>
      <c r="C802" s="36" t="s">
        <v>1143</v>
      </c>
      <c r="D802" s="29"/>
      <c r="E802" s="29"/>
      <c r="F802" s="29"/>
      <c r="G802" s="94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1"/>
      <c r="N802" s="451"/>
      <c r="O802" s="452"/>
      <c r="P802" s="452"/>
      <c r="Q802" s="452"/>
      <c r="R802" s="452"/>
      <c r="S802" s="452"/>
      <c r="T802" s="158"/>
    </row>
    <row r="803" spans="1:20" ht="12.75" customHeight="1" x14ac:dyDescent="0.3">
      <c r="A803" s="36"/>
      <c r="B803" s="29"/>
      <c r="C803" s="36" t="s">
        <v>4007</v>
      </c>
      <c r="D803" s="29"/>
      <c r="E803" s="29"/>
      <c r="F803" s="29"/>
      <c r="G803" s="94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1"/>
      <c r="N803" s="451"/>
      <c r="O803" s="452"/>
      <c r="P803" s="452"/>
      <c r="Q803" s="452"/>
      <c r="R803" s="452"/>
      <c r="S803" s="452"/>
      <c r="T803" s="158"/>
    </row>
    <row r="804" spans="1:20" ht="12.75" customHeight="1" x14ac:dyDescent="0.3">
      <c r="A804" s="36"/>
      <c r="B804" s="29"/>
      <c r="C804" s="36" t="s">
        <v>1130</v>
      </c>
      <c r="D804" s="29"/>
      <c r="E804" s="29"/>
      <c r="F804" s="29"/>
      <c r="G804" s="94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1"/>
      <c r="N804" s="451"/>
      <c r="O804" s="452"/>
      <c r="P804" s="452"/>
      <c r="Q804" s="452"/>
      <c r="R804" s="452"/>
      <c r="S804" s="452"/>
      <c r="T804" s="158"/>
    </row>
    <row r="805" spans="1:20" ht="12.75" customHeight="1" x14ac:dyDescent="0.3">
      <c r="A805" s="36"/>
      <c r="B805" s="36" t="s">
        <v>1375</v>
      </c>
      <c r="C805" s="95"/>
      <c r="D805" s="29"/>
      <c r="E805" s="29"/>
      <c r="F805" s="29"/>
      <c r="G805" s="94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1"/>
      <c r="N805" s="451"/>
      <c r="O805" s="452"/>
      <c r="P805" s="452"/>
      <c r="Q805" s="452"/>
      <c r="R805" s="452"/>
      <c r="S805" s="452"/>
      <c r="T805" s="158"/>
    </row>
    <row r="806" spans="1:20" ht="12.75" customHeight="1" x14ac:dyDescent="0.3">
      <c r="A806" s="36"/>
      <c r="B806" s="29"/>
      <c r="C806" s="36" t="s">
        <v>1376</v>
      </c>
      <c r="D806" s="29"/>
      <c r="E806" s="29"/>
      <c r="F806" s="29"/>
      <c r="G806" s="94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1"/>
      <c r="N806" s="451"/>
      <c r="O806" s="452"/>
      <c r="P806" s="452"/>
      <c r="Q806" s="452"/>
      <c r="R806" s="452"/>
      <c r="S806" s="452"/>
      <c r="T806" s="158"/>
    </row>
    <row r="807" spans="1:20" ht="12.75" customHeight="1" x14ac:dyDescent="0.3">
      <c r="A807" s="36"/>
      <c r="B807" s="29"/>
      <c r="C807" s="36" t="s">
        <v>546</v>
      </c>
      <c r="D807" s="29"/>
      <c r="E807" s="29"/>
      <c r="F807" s="29"/>
      <c r="G807" s="94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1"/>
      <c r="N807" s="451"/>
      <c r="O807" s="452"/>
      <c r="P807" s="452"/>
      <c r="Q807" s="452"/>
      <c r="R807" s="452"/>
      <c r="S807" s="452"/>
      <c r="T807" s="158"/>
    </row>
    <row r="808" spans="1:20" ht="12.75" customHeight="1" x14ac:dyDescent="0.3">
      <c r="A808" s="36"/>
      <c r="B808" s="36" t="s">
        <v>1372</v>
      </c>
      <c r="C808" s="95"/>
      <c r="D808" s="29"/>
      <c r="E808" s="29"/>
      <c r="F808" s="29"/>
      <c r="G808" s="94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1"/>
      <c r="N808" s="451"/>
      <c r="O808" s="452"/>
      <c r="P808" s="452"/>
      <c r="Q808" s="452"/>
      <c r="R808" s="452"/>
      <c r="S808" s="452"/>
      <c r="T808" s="158"/>
    </row>
    <row r="809" spans="1:20" ht="12.75" customHeight="1" x14ac:dyDescent="0.3">
      <c r="A809" s="36"/>
      <c r="B809" s="36" t="s">
        <v>48</v>
      </c>
      <c r="C809" s="95"/>
      <c r="D809" s="29"/>
      <c r="E809" s="29"/>
      <c r="F809" s="29"/>
      <c r="G809" s="94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1"/>
      <c r="N809" s="451"/>
      <c r="O809" s="452"/>
      <c r="P809" s="452"/>
      <c r="Q809" s="452"/>
      <c r="R809" s="452"/>
      <c r="S809" s="452"/>
      <c r="T809" s="158"/>
    </row>
    <row r="810" spans="1:20" ht="12.75" customHeight="1" x14ac:dyDescent="0.3">
      <c r="A810" s="36"/>
      <c r="B810" s="36" t="s">
        <v>1301</v>
      </c>
      <c r="C810" s="95"/>
      <c r="D810" s="29"/>
      <c r="E810" s="29"/>
      <c r="F810" s="29"/>
      <c r="G810" s="94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1"/>
      <c r="N810" s="451"/>
      <c r="O810" s="452"/>
      <c r="P810" s="452"/>
      <c r="Q810" s="452"/>
      <c r="R810" s="452"/>
      <c r="S810" s="452"/>
      <c r="T810" s="158"/>
    </row>
    <row r="811" spans="1:20" ht="12.75" customHeight="1" x14ac:dyDescent="0.3">
      <c r="A811" s="36"/>
      <c r="B811" s="29"/>
      <c r="C811" s="36" t="s">
        <v>1373</v>
      </c>
      <c r="D811" s="29"/>
      <c r="E811" s="29"/>
      <c r="F811" s="29"/>
      <c r="G811" s="94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1"/>
      <c r="N811" s="451"/>
      <c r="O811" s="452"/>
      <c r="P811" s="452"/>
      <c r="Q811" s="452"/>
      <c r="R811" s="452"/>
      <c r="S811" s="452"/>
      <c r="T811" s="158"/>
    </row>
    <row r="812" spans="1:20" ht="12.75" customHeight="1" x14ac:dyDescent="0.3">
      <c r="A812" s="36"/>
      <c r="B812" s="29"/>
      <c r="C812" s="36" t="s">
        <v>1374</v>
      </c>
      <c r="D812" s="29"/>
      <c r="E812" s="29"/>
      <c r="F812" s="29"/>
      <c r="G812" s="94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1"/>
      <c r="N812" s="451"/>
      <c r="O812" s="452"/>
      <c r="P812" s="452"/>
      <c r="Q812" s="452"/>
      <c r="R812" s="452"/>
      <c r="S812" s="452"/>
      <c r="T812" s="158"/>
    </row>
    <row r="813" spans="1:20" ht="12.75" customHeight="1" x14ac:dyDescent="0.3">
      <c r="A813" s="29"/>
      <c r="B813" s="29"/>
      <c r="C813" s="29"/>
      <c r="D813" s="29"/>
      <c r="E813" s="29"/>
      <c r="F813" s="29"/>
      <c r="G813" s="29"/>
      <c r="H813" s="29"/>
      <c r="I813" s="457"/>
      <c r="J813" s="339"/>
      <c r="K813" s="339"/>
      <c r="L813" s="339"/>
      <c r="M813" s="339"/>
      <c r="N813" s="339"/>
      <c r="O813" s="282"/>
      <c r="P813" s="282"/>
      <c r="Q813" s="282"/>
      <c r="R813" s="282"/>
      <c r="S813" s="282"/>
      <c r="T813" s="158"/>
    </row>
    <row r="814" spans="1:20" ht="12.75" customHeight="1" x14ac:dyDescent="0.3">
      <c r="A814" s="98" t="s">
        <v>1311</v>
      </c>
      <c r="B814" s="97"/>
      <c r="C814" s="97"/>
      <c r="D814" s="97"/>
      <c r="E814" s="97"/>
      <c r="F814" s="97"/>
      <c r="G814" s="97"/>
      <c r="H814" s="97"/>
      <c r="I814" s="340" t="s">
        <v>754</v>
      </c>
      <c r="J814" s="364"/>
      <c r="K814" s="364"/>
      <c r="L814" s="364" t="s">
        <v>754</v>
      </c>
      <c r="M814" s="364" t="s">
        <v>754</v>
      </c>
      <c r="N814" s="364"/>
      <c r="O814" s="470"/>
      <c r="P814" s="470"/>
      <c r="Q814" s="470"/>
      <c r="R814" s="470"/>
      <c r="S814" s="470"/>
      <c r="T814" s="158"/>
    </row>
    <row r="815" spans="1:20" ht="12.75" customHeight="1" x14ac:dyDescent="0.3">
      <c r="A815" s="29"/>
      <c r="B815" s="29"/>
      <c r="C815" s="29"/>
      <c r="D815" s="29"/>
      <c r="E815" s="29"/>
      <c r="F815" s="29"/>
      <c r="G815" s="29"/>
      <c r="H815" s="29"/>
      <c r="I815" s="342"/>
      <c r="J815" s="339"/>
      <c r="K815" s="339"/>
      <c r="L815" s="339"/>
      <c r="M815" s="339"/>
      <c r="N815" s="339"/>
      <c r="O815" s="282"/>
      <c r="P815" s="282"/>
      <c r="Q815" s="282"/>
      <c r="R815" s="282"/>
      <c r="S815" s="282"/>
      <c r="T815" s="158"/>
    </row>
    <row r="816" spans="1:20" ht="12.75" customHeight="1" x14ac:dyDescent="0.3">
      <c r="A816" s="36" t="s">
        <v>93</v>
      </c>
      <c r="B816" s="29"/>
      <c r="C816" s="29"/>
      <c r="D816" s="29"/>
      <c r="E816" s="29"/>
      <c r="F816" s="29"/>
      <c r="G816" s="36" t="s">
        <v>1259</v>
      </c>
      <c r="H816" s="36" t="s">
        <v>2308</v>
      </c>
      <c r="I816" s="522">
        <f>global!I212</f>
        <v>0</v>
      </c>
      <c r="J816" s="451"/>
      <c r="K816" s="451"/>
      <c r="L816" s="451"/>
      <c r="M816" s="451"/>
      <c r="N816" s="451">
        <f>((DRYDEPaerosol.A+AerosolWashout.A+GasWashout.A+GASABS.aA.wA)/HEIGHT.aC)*AREAFRAC.wA</f>
        <v>4.9100836054391223E-2</v>
      </c>
      <c r="O816" s="451">
        <f>((DRYDEPaerosol.A+AerosolWashout.A+GasWashout.A+GASABS.aA.wA)/HEIGHT.aC)*AREAFRAC.wA</f>
        <v>4.9100836054391223E-2</v>
      </c>
      <c r="P816" s="451">
        <f>((DRYDEPaerosol.A+AerosolWashout.A+GasWashout.A+GASABS.aA.wA)/HEIGHT.aC)*AREAFRAC.wA</f>
        <v>4.9100836054391223E-2</v>
      </c>
      <c r="Q816" s="451">
        <f>((DRYDEPaerosol.A+AerosolWashout.A+GasWashout.A+GASABS.aA.wA)/HEIGHT.aC)*AREAFRAC.wA</f>
        <v>4.9100836054391223E-2</v>
      </c>
      <c r="R816" s="451">
        <f>((DRYDEPaerosol.A+AerosolWashout.A+GasWashout.A+GASABS.aA.wA)/HEIGHT.aC)*AREAFRAC.wA</f>
        <v>4.9100836054391223E-2</v>
      </c>
      <c r="S816" s="452"/>
      <c r="T816" s="158"/>
    </row>
    <row r="817" spans="1:20" ht="12.75" customHeight="1" x14ac:dyDescent="0.3">
      <c r="A817" s="36" t="s">
        <v>94</v>
      </c>
      <c r="B817" s="29"/>
      <c r="C817" s="29"/>
      <c r="D817" s="29"/>
      <c r="E817" s="29"/>
      <c r="F817" s="29"/>
      <c r="G817" s="36" t="s">
        <v>847</v>
      </c>
      <c r="H817" s="36" t="s">
        <v>2308</v>
      </c>
      <c r="I817" s="522">
        <f>global!I213</f>
        <v>0</v>
      </c>
      <c r="J817" s="451"/>
      <c r="K817" s="451"/>
      <c r="L817" s="451"/>
      <c r="M817" s="451"/>
      <c r="N817" s="451">
        <f>((DRYDEPaerosol.A+AerosolWashout.A+GasWashout.A+GASABS.aA.sA)/HEIGHT.aC)*AREAFRAC.sA</f>
        <v>3.2732803484148164E-2</v>
      </c>
      <c r="O817" s="451">
        <f>((DRYDEPaerosol.A+AerosolWashout.A+GasWashout.A+GASABS.aA.sA)/HEIGHT.aC)*AREAFRAC.sA</f>
        <v>3.2732803484148164E-2</v>
      </c>
      <c r="P817" s="451">
        <f>((DRYDEPaerosol.A+AerosolWashout.A+GasWashout.A+GASABS.aA.sA)/HEIGHT.aC)*AREAFRAC.sA</f>
        <v>3.2732803484148164E-2</v>
      </c>
      <c r="Q817" s="451">
        <f>((DRYDEPaerosol.A+AerosolWashout.A+GasWashout.A+GASABS.aA.sA)/HEIGHT.aC)*AREAFRAC.sA</f>
        <v>3.2732803484148164E-2</v>
      </c>
      <c r="R817" s="451">
        <f>((DRYDEPaerosol.A+AerosolWashout.A+GasWashout.A+GASABS.aA.sA)/HEIGHT.aC)*AREAFRAC.sA</f>
        <v>3.2732803484148164E-2</v>
      </c>
      <c r="S817" s="452"/>
      <c r="T817" s="158"/>
    </row>
    <row r="818" spans="1:20" ht="12.75" customHeight="1" x14ac:dyDescent="0.3">
      <c r="A818" s="36" t="s">
        <v>95</v>
      </c>
      <c r="B818" s="29"/>
      <c r="C818" s="29"/>
      <c r="D818" s="29"/>
      <c r="E818" s="29"/>
      <c r="F818" s="29"/>
      <c r="G818" s="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1"/>
      <c r="N818" s="451"/>
      <c r="O818" s="452"/>
      <c r="P818" s="452"/>
      <c r="Q818" s="452"/>
      <c r="R818" s="452"/>
      <c r="S818" s="452"/>
      <c r="T818" s="158"/>
    </row>
    <row r="819" spans="1:20" ht="12.75" customHeight="1" x14ac:dyDescent="0.3">
      <c r="A819" s="36" t="s">
        <v>96</v>
      </c>
      <c r="B819" s="29"/>
      <c r="C819" s="29"/>
      <c r="D819" s="29"/>
      <c r="E819" s="29"/>
      <c r="F819" s="29"/>
      <c r="G819" s="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1"/>
      <c r="N819" s="451"/>
      <c r="O819" s="452"/>
      <c r="P819" s="452"/>
      <c r="Q819" s="452"/>
      <c r="R819" s="452"/>
      <c r="S819" s="452"/>
      <c r="T819" s="158"/>
    </row>
    <row r="820" spans="1:20" ht="12.75" customHeight="1" x14ac:dyDescent="0.3">
      <c r="A820" s="36"/>
      <c r="B820" s="36" t="s">
        <v>2266</v>
      </c>
      <c r="C820" s="29"/>
      <c r="D820" s="29"/>
      <c r="E820" s="29"/>
      <c r="F820" s="29"/>
      <c r="G820" s="37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1"/>
      <c r="N820" s="451"/>
      <c r="O820" s="452"/>
      <c r="P820" s="452"/>
      <c r="Q820" s="452"/>
      <c r="R820" s="452"/>
      <c r="S820" s="452"/>
      <c r="T820" s="158"/>
    </row>
    <row r="821" spans="1:20" ht="12.75" customHeight="1" x14ac:dyDescent="0.3">
      <c r="A821" s="36"/>
      <c r="B821" s="36"/>
      <c r="C821" s="29" t="s">
        <v>2267</v>
      </c>
      <c r="D821" s="29"/>
      <c r="E821" s="29"/>
      <c r="F821" s="29"/>
      <c r="G821" s="37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1"/>
      <c r="N821" s="451"/>
      <c r="O821" s="452"/>
      <c r="P821" s="452"/>
      <c r="Q821" s="452"/>
      <c r="R821" s="452"/>
      <c r="S821" s="452"/>
      <c r="T821" s="158"/>
    </row>
    <row r="822" spans="1:20" ht="12.75" customHeight="1" x14ac:dyDescent="0.3">
      <c r="A822" s="36"/>
      <c r="B822" s="36"/>
      <c r="C822" s="36"/>
      <c r="D822" s="36" t="s">
        <v>3977</v>
      </c>
      <c r="E822" s="29"/>
      <c r="F822" s="29"/>
      <c r="G822" s="37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1"/>
      <c r="N822" s="451"/>
      <c r="O822" s="452"/>
      <c r="P822" s="452"/>
      <c r="Q822" s="452"/>
      <c r="R822" s="452"/>
      <c r="S822" s="452"/>
      <c r="T822" s="158"/>
    </row>
    <row r="823" spans="1:20" ht="12.75" customHeight="1" x14ac:dyDescent="0.3">
      <c r="A823" s="36"/>
      <c r="B823" s="36"/>
      <c r="C823" s="36"/>
      <c r="D823" s="36" t="s">
        <v>3978</v>
      </c>
      <c r="E823" s="29"/>
      <c r="F823" s="29"/>
      <c r="G823" s="37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1"/>
      <c r="N823" s="451"/>
      <c r="O823" s="452"/>
      <c r="P823" s="452"/>
      <c r="Q823" s="452"/>
      <c r="R823" s="452"/>
      <c r="S823" s="452"/>
      <c r="T823" s="158"/>
    </row>
    <row r="824" spans="1:20" ht="12.75" customHeight="1" x14ac:dyDescent="0.3">
      <c r="A824" s="36"/>
      <c r="B824" s="29" t="s">
        <v>929</v>
      </c>
      <c r="C824" s="29"/>
      <c r="D824" s="29"/>
      <c r="E824" s="29"/>
      <c r="F824" s="29"/>
      <c r="G824" s="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1"/>
      <c r="N824" s="451"/>
      <c r="O824" s="452"/>
      <c r="P824" s="452"/>
      <c r="Q824" s="452"/>
      <c r="R824" s="452"/>
      <c r="S824" s="452"/>
      <c r="T824" s="158"/>
    </row>
    <row r="825" spans="1:20" ht="12.75" customHeight="1" x14ac:dyDescent="0.3">
      <c r="A825" s="36"/>
      <c r="B825" s="29" t="s">
        <v>931</v>
      </c>
      <c r="C825" s="29"/>
      <c r="D825" s="29"/>
      <c r="E825" s="29"/>
      <c r="F825" s="29"/>
      <c r="G825" s="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1"/>
      <c r="N825" s="451"/>
      <c r="O825" s="452"/>
      <c r="P825" s="452"/>
      <c r="Q825" s="452"/>
      <c r="R825" s="452"/>
      <c r="S825" s="452"/>
      <c r="T825" s="158"/>
    </row>
    <row r="826" spans="1:20" ht="12.75" customHeight="1" x14ac:dyDescent="0.3">
      <c r="A826" s="36"/>
      <c r="B826" s="36" t="s">
        <v>493</v>
      </c>
      <c r="C826" s="29"/>
      <c r="D826" s="29"/>
      <c r="E826" s="29"/>
      <c r="F826" s="29"/>
      <c r="G826" s="94" t="s">
        <v>413</v>
      </c>
      <c r="H826" s="30" t="s">
        <v>2322</v>
      </c>
      <c r="I826" s="522">
        <f>global!I222</f>
        <v>0</v>
      </c>
      <c r="J826" s="451"/>
      <c r="K826" s="451"/>
      <c r="L826" s="451"/>
      <c r="M826" s="451"/>
      <c r="N826" s="451">
        <f>AEROSOLdeprate.A*FRaers.aA</f>
        <v>2.3247763912725882E-5</v>
      </c>
      <c r="O826" s="451">
        <f>AEROSOLdeprate.A*FRaers.aA</f>
        <v>2.3247763912725882E-5</v>
      </c>
      <c r="P826" s="451">
        <f>AEROSOLdeprate.A*FRaers.aA</f>
        <v>2.3247763912725882E-5</v>
      </c>
      <c r="Q826" s="451">
        <f>AEROSOLdeprate.A*FRaers.aA</f>
        <v>2.3247763912725882E-5</v>
      </c>
      <c r="R826" s="451">
        <f>AEROSOLdeprate.A*FRaers.aA</f>
        <v>2.3247763912725882E-5</v>
      </c>
      <c r="S826" s="452"/>
      <c r="T826" s="158"/>
    </row>
    <row r="827" spans="1:20" ht="12.75" customHeight="1" x14ac:dyDescent="0.3">
      <c r="A827" s="36"/>
      <c r="B827" s="36" t="s">
        <v>745</v>
      </c>
      <c r="C827" s="29"/>
      <c r="D827" s="29"/>
      <c r="E827" s="29"/>
      <c r="F827" s="29"/>
      <c r="G827" s="37" t="s">
        <v>1023</v>
      </c>
      <c r="H827" s="95" t="s">
        <v>2322</v>
      </c>
      <c r="I827" s="522">
        <f>global!I223</f>
        <v>0</v>
      </c>
      <c r="J827" s="451"/>
      <c r="K827" s="451"/>
      <c r="L827" s="451"/>
      <c r="M827" s="451"/>
      <c r="N827" s="451">
        <f t="shared" ref="N827:R827" si="23">(1-FRgas.aA)*COLLECTeff.A*RAINrate.A</f>
        <v>5.6498371502115854E-5</v>
      </c>
      <c r="O827" s="452">
        <f t="shared" si="23"/>
        <v>5.6498371502115854E-5</v>
      </c>
      <c r="P827" s="452">
        <f t="shared" si="23"/>
        <v>5.6498371502115854E-5</v>
      </c>
      <c r="Q827" s="452">
        <f t="shared" si="23"/>
        <v>5.6498371502115854E-5</v>
      </c>
      <c r="R827" s="452">
        <f t="shared" si="23"/>
        <v>5.6498371502115854E-5</v>
      </c>
      <c r="S827" s="452"/>
      <c r="T827" s="158"/>
    </row>
    <row r="828" spans="1:20" ht="12.75" customHeight="1" x14ac:dyDescent="0.3">
      <c r="A828" s="36"/>
      <c r="B828" s="36" t="s">
        <v>746</v>
      </c>
      <c r="C828" s="29"/>
      <c r="D828" s="29"/>
      <c r="E828" s="29"/>
      <c r="F828" s="29"/>
      <c r="G828" s="37" t="s">
        <v>1024</v>
      </c>
      <c r="H828" s="95" t="s">
        <v>2322</v>
      </c>
      <c r="I828" s="522">
        <f>global!I224</f>
        <v>0</v>
      </c>
      <c r="J828" s="451"/>
      <c r="K828" s="451"/>
      <c r="L828" s="451"/>
      <c r="M828" s="451"/>
      <c r="N828" s="451">
        <f t="shared" ref="N828:R828" si="24">FRgas.aA*RAINrate.A/Kaw.A</f>
        <v>4.9098192398628093</v>
      </c>
      <c r="O828" s="452">
        <f t="shared" si="24"/>
        <v>4.9098192398628093</v>
      </c>
      <c r="P828" s="452">
        <f t="shared" si="24"/>
        <v>4.9098192398628093</v>
      </c>
      <c r="Q828" s="452">
        <f t="shared" si="24"/>
        <v>4.9098192398628093</v>
      </c>
      <c r="R828" s="452">
        <f t="shared" si="24"/>
        <v>4.9098192398628093</v>
      </c>
      <c r="S828" s="452"/>
      <c r="T828" s="158"/>
    </row>
    <row r="829" spans="1:20" ht="12.75" customHeight="1" x14ac:dyDescent="0.3">
      <c r="A829" s="36"/>
      <c r="B829" s="29"/>
      <c r="C829" s="95" t="s">
        <v>747</v>
      </c>
      <c r="D829" s="95"/>
      <c r="E829" s="95"/>
      <c r="F829" s="95"/>
      <c r="G829" s="94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1"/>
      <c r="N829" s="451"/>
      <c r="O829" s="452"/>
      <c r="P829" s="452"/>
      <c r="Q829" s="452"/>
      <c r="R829" s="452"/>
      <c r="S829" s="452"/>
      <c r="T829" s="158"/>
    </row>
    <row r="830" spans="1:20" ht="12.75" customHeight="1" x14ac:dyDescent="0.3">
      <c r="A830" s="36"/>
      <c r="B830" s="29"/>
      <c r="C830" s="36" t="s">
        <v>748</v>
      </c>
      <c r="D830" s="95"/>
      <c r="E830" s="95"/>
      <c r="F830" s="95"/>
      <c r="G830" s="94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1"/>
      <c r="N830" s="451"/>
      <c r="O830" s="452"/>
      <c r="P830" s="452"/>
      <c r="Q830" s="452"/>
      <c r="R830" s="452"/>
      <c r="S830" s="452"/>
      <c r="T830" s="158"/>
    </row>
    <row r="831" spans="1:20" ht="12.75" customHeight="1" x14ac:dyDescent="0.3">
      <c r="A831" s="36"/>
      <c r="B831" s="29"/>
      <c r="C831" s="36" t="s">
        <v>444</v>
      </c>
      <c r="D831" s="29"/>
      <c r="E831" s="29"/>
      <c r="F831" s="29"/>
      <c r="G831" s="94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1"/>
      <c r="N831" s="451"/>
      <c r="O831" s="452"/>
      <c r="P831" s="452"/>
      <c r="Q831" s="452"/>
      <c r="R831" s="452"/>
      <c r="S831" s="452"/>
      <c r="T831" s="158"/>
    </row>
    <row r="832" spans="1:20" ht="12.75" customHeight="1" x14ac:dyDescent="0.3">
      <c r="A832" s="36"/>
      <c r="B832" s="36" t="s">
        <v>2218</v>
      </c>
      <c r="C832" s="29"/>
      <c r="D832" s="29"/>
      <c r="E832" s="95"/>
      <c r="F832" s="95"/>
      <c r="G832" s="37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1"/>
      <c r="N832" s="451"/>
      <c r="O832" s="452"/>
      <c r="P832" s="452"/>
      <c r="Q832" s="452"/>
      <c r="R832" s="452"/>
      <c r="S832" s="452"/>
      <c r="T832" s="158"/>
    </row>
    <row r="833" spans="1:20" ht="12.75" customHeight="1" x14ac:dyDescent="0.3">
      <c r="A833" s="36"/>
      <c r="B833" s="36" t="s">
        <v>2219</v>
      </c>
      <c r="C833" s="29"/>
      <c r="D833" s="29"/>
      <c r="E833" s="95"/>
      <c r="F833" s="95"/>
      <c r="G833" s="37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1"/>
      <c r="N833" s="451"/>
      <c r="O833" s="452"/>
      <c r="P833" s="452"/>
      <c r="Q833" s="452"/>
      <c r="R833" s="452"/>
      <c r="S833" s="452"/>
      <c r="T833" s="158"/>
    </row>
    <row r="834" spans="1:20" ht="12.75" customHeight="1" x14ac:dyDescent="0.3">
      <c r="A834" s="36"/>
      <c r="B834" s="36" t="s">
        <v>2270</v>
      </c>
      <c r="C834" s="29"/>
      <c r="D834" s="29"/>
      <c r="E834" s="29"/>
      <c r="F834" s="29"/>
      <c r="G834" s="37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1"/>
      <c r="N834" s="451"/>
      <c r="O834" s="452"/>
      <c r="P834" s="452"/>
      <c r="Q834" s="452"/>
      <c r="R834" s="452"/>
      <c r="S834" s="452"/>
      <c r="T834" s="158"/>
    </row>
    <row r="835" spans="1:20" ht="12.75" customHeight="1" x14ac:dyDescent="0.3">
      <c r="A835" s="36"/>
      <c r="B835" s="36" t="s">
        <v>2272</v>
      </c>
      <c r="C835" s="29"/>
      <c r="D835" s="29"/>
      <c r="E835" s="95"/>
      <c r="F835" s="95"/>
      <c r="G835" s="37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1"/>
      <c r="N835" s="451"/>
      <c r="O835" s="452"/>
      <c r="P835" s="452"/>
      <c r="Q835" s="452"/>
      <c r="R835" s="452"/>
      <c r="S835" s="452"/>
      <c r="T835" s="158"/>
    </row>
    <row r="836" spans="1:20" ht="12.75" customHeight="1" x14ac:dyDescent="0.3">
      <c r="A836" s="29"/>
      <c r="B836" s="36"/>
      <c r="C836" s="29" t="s">
        <v>1077</v>
      </c>
      <c r="D836" s="29"/>
      <c r="E836" s="29"/>
      <c r="F836" s="29"/>
      <c r="G836" s="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1"/>
      <c r="N836" s="451"/>
      <c r="O836" s="452"/>
      <c r="P836" s="452"/>
      <c r="Q836" s="452"/>
      <c r="R836" s="452"/>
      <c r="S836" s="452"/>
      <c r="T836" s="158"/>
    </row>
    <row r="837" spans="1:20" ht="12.75" customHeight="1" x14ac:dyDescent="0.3">
      <c r="A837" s="29"/>
      <c r="B837" s="36"/>
      <c r="C837" s="29" t="s">
        <v>1048</v>
      </c>
      <c r="D837" s="29"/>
      <c r="E837" s="29"/>
      <c r="F837" s="29"/>
      <c r="G837" s="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1"/>
      <c r="N837" s="451"/>
      <c r="O837" s="452"/>
      <c r="P837" s="452"/>
      <c r="Q837" s="452"/>
      <c r="R837" s="452"/>
      <c r="S837" s="452"/>
      <c r="T837" s="158"/>
    </row>
    <row r="838" spans="1:20" ht="12.75" customHeight="1" x14ac:dyDescent="0.3">
      <c r="A838" s="36"/>
      <c r="B838" s="29"/>
      <c r="C838" s="29"/>
      <c r="D838" s="95" t="s">
        <v>705</v>
      </c>
      <c r="E838" s="29"/>
      <c r="F838" s="29"/>
      <c r="G838" s="37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1"/>
      <c r="N838" s="451"/>
      <c r="O838" s="452"/>
      <c r="P838" s="452"/>
      <c r="Q838" s="452"/>
      <c r="R838" s="452"/>
      <c r="S838" s="452"/>
      <c r="T838" s="158"/>
    </row>
    <row r="839" spans="1:20" ht="12.75" customHeight="1" x14ac:dyDescent="0.3">
      <c r="A839" s="36"/>
      <c r="B839" s="36"/>
      <c r="C839" s="29" t="s">
        <v>1049</v>
      </c>
      <c r="D839" s="29"/>
      <c r="E839" s="95"/>
      <c r="F839" s="95"/>
      <c r="G839" s="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1"/>
      <c r="N839" s="451"/>
      <c r="O839" s="452"/>
      <c r="P839" s="452"/>
      <c r="Q839" s="452"/>
      <c r="R839" s="452"/>
      <c r="S839" s="452"/>
      <c r="T839" s="158"/>
    </row>
    <row r="840" spans="1:20" ht="12.75" customHeight="1" x14ac:dyDescent="0.3">
      <c r="A840" s="36"/>
      <c r="B840" s="36"/>
      <c r="C840" s="29" t="s">
        <v>872</v>
      </c>
      <c r="D840" s="29"/>
      <c r="E840" s="29"/>
      <c r="F840" s="29"/>
      <c r="G840" s="29" t="s">
        <v>4025</v>
      </c>
      <c r="H840" s="95" t="s">
        <v>2322</v>
      </c>
      <c r="I840" s="522">
        <f>global!I236</f>
        <v>0</v>
      </c>
      <c r="J840" s="451"/>
      <c r="K840" s="451"/>
      <c r="L840" s="451"/>
      <c r="M840" s="451"/>
      <c r="N840" s="451">
        <v>2.799723603513301E-9</v>
      </c>
      <c r="O840" s="452">
        <v>2.799723603513301E-9</v>
      </c>
      <c r="P840" s="452">
        <v>2.799723603513301E-9</v>
      </c>
      <c r="Q840" s="452">
        <v>2.799723603513301E-9</v>
      </c>
      <c r="R840" s="452"/>
      <c r="S840" s="452">
        <v>2.799723603513301E-9</v>
      </c>
      <c r="T840" s="158"/>
    </row>
    <row r="841" spans="1:20" ht="12.75" customHeight="1" x14ac:dyDescent="0.3">
      <c r="A841" s="36"/>
      <c r="B841" s="36"/>
      <c r="C841" s="29" t="s">
        <v>185</v>
      </c>
      <c r="D841" s="29"/>
      <c r="E841" s="95"/>
      <c r="F841" s="29"/>
      <c r="G841" s="37" t="s">
        <v>917</v>
      </c>
      <c r="H841" s="29" t="s">
        <v>36</v>
      </c>
      <c r="I841" s="522">
        <f>global!I237</f>
        <v>0</v>
      </c>
      <c r="J841" s="451"/>
      <c r="K841" s="451"/>
      <c r="L841" s="451"/>
      <c r="M841" s="451"/>
      <c r="N841" s="451">
        <v>1</v>
      </c>
      <c r="O841" s="452">
        <v>1</v>
      </c>
      <c r="P841" s="452">
        <v>1</v>
      </c>
      <c r="Q841" s="452">
        <v>1</v>
      </c>
      <c r="R841" s="452"/>
      <c r="S841" s="452">
        <v>1</v>
      </c>
      <c r="T841" s="158"/>
    </row>
    <row r="842" spans="1:20" ht="12.75" customHeight="1" x14ac:dyDescent="0.3">
      <c r="A842" s="29"/>
      <c r="B842" s="29"/>
      <c r="C842" s="29"/>
      <c r="D842" s="29"/>
      <c r="E842" s="29"/>
      <c r="F842" s="29"/>
      <c r="G842" s="29"/>
      <c r="H842" s="29"/>
      <c r="I842" s="527"/>
      <c r="J842" s="459"/>
      <c r="K842" s="459"/>
      <c r="L842" s="459"/>
      <c r="M842" s="459"/>
      <c r="N842" s="459"/>
      <c r="O842" s="460"/>
      <c r="P842" s="460"/>
      <c r="Q842" s="460"/>
      <c r="R842" s="460"/>
      <c r="S842" s="460"/>
      <c r="T842" s="158"/>
    </row>
    <row r="843" spans="1:20" ht="12.75" customHeight="1" x14ac:dyDescent="0.3">
      <c r="A843" s="36" t="s">
        <v>97</v>
      </c>
      <c r="B843" s="29"/>
      <c r="C843" s="29"/>
      <c r="D843" s="29"/>
      <c r="E843" s="29"/>
      <c r="F843" s="29"/>
      <c r="G843" s="37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1"/>
      <c r="N843" s="451"/>
      <c r="O843" s="452"/>
      <c r="P843" s="452"/>
      <c r="Q843" s="452"/>
      <c r="R843" s="452"/>
      <c r="S843" s="452"/>
      <c r="T843" s="158"/>
    </row>
    <row r="844" spans="1:20" ht="12.75" customHeight="1" x14ac:dyDescent="0.3">
      <c r="A844" s="36" t="s">
        <v>98</v>
      </c>
      <c r="B844" s="29"/>
      <c r="C844" s="29"/>
      <c r="D844" s="29"/>
      <c r="E844" s="29"/>
      <c r="F844" s="29"/>
      <c r="G844" s="37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1"/>
      <c r="N844" s="451"/>
      <c r="O844" s="452"/>
      <c r="P844" s="452"/>
      <c r="Q844" s="452"/>
      <c r="R844" s="452"/>
      <c r="S844" s="452"/>
      <c r="T844" s="158"/>
    </row>
    <row r="845" spans="1:20" ht="12.75" customHeight="1" x14ac:dyDescent="0.3">
      <c r="A845" s="36"/>
      <c r="B845" s="36" t="s">
        <v>2273</v>
      </c>
      <c r="C845" s="29"/>
      <c r="D845" s="29"/>
      <c r="E845" s="29"/>
      <c r="F845" s="29"/>
      <c r="G845" s="37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1"/>
      <c r="N845" s="451"/>
      <c r="O845" s="452"/>
      <c r="P845" s="452"/>
      <c r="Q845" s="452"/>
      <c r="R845" s="452"/>
      <c r="S845" s="452"/>
      <c r="T845" s="158"/>
    </row>
    <row r="846" spans="1:20" ht="12.75" customHeight="1" x14ac:dyDescent="0.3">
      <c r="A846" s="36"/>
      <c r="B846" s="36" t="s">
        <v>2274</v>
      </c>
      <c r="C846" s="29"/>
      <c r="D846" s="29"/>
      <c r="E846" s="29"/>
      <c r="F846" s="29"/>
      <c r="G846" s="37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1"/>
      <c r="N846" s="451"/>
      <c r="O846" s="452"/>
      <c r="P846" s="452"/>
      <c r="Q846" s="452"/>
      <c r="R846" s="452"/>
      <c r="S846" s="452"/>
      <c r="T846" s="158"/>
    </row>
    <row r="847" spans="1:20" ht="12.75" customHeight="1" x14ac:dyDescent="0.3">
      <c r="A847" s="36"/>
      <c r="B847" s="36"/>
      <c r="C847" s="36" t="s">
        <v>1228</v>
      </c>
      <c r="D847" s="36"/>
      <c r="E847" s="29"/>
      <c r="F847" s="29"/>
      <c r="G847" s="94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1"/>
      <c r="N847" s="451"/>
      <c r="O847" s="452"/>
      <c r="P847" s="452"/>
      <c r="Q847" s="452"/>
      <c r="R847" s="452"/>
      <c r="S847" s="452"/>
      <c r="T847" s="158"/>
    </row>
    <row r="848" spans="1:20" ht="12.75" customHeight="1" x14ac:dyDescent="0.3">
      <c r="A848" s="36"/>
      <c r="B848" s="36"/>
      <c r="C848" s="29"/>
      <c r="D848" s="36" t="s">
        <v>582</v>
      </c>
      <c r="E848" s="95"/>
      <c r="F848" s="95"/>
      <c r="G848" s="94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1"/>
      <c r="N848" s="451"/>
      <c r="O848" s="452"/>
      <c r="P848" s="452"/>
      <c r="Q848" s="452"/>
      <c r="R848" s="452"/>
      <c r="S848" s="452"/>
      <c r="T848" s="158"/>
    </row>
    <row r="849" spans="1:20" ht="12.75" customHeight="1" x14ac:dyDescent="0.3">
      <c r="A849" s="36"/>
      <c r="B849" s="36"/>
      <c r="C849" s="29"/>
      <c r="D849" s="36" t="s">
        <v>565</v>
      </c>
      <c r="E849" s="95"/>
      <c r="F849" s="95"/>
      <c r="G849" s="94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1"/>
      <c r="N849" s="451"/>
      <c r="O849" s="452"/>
      <c r="P849" s="452"/>
      <c r="Q849" s="452"/>
      <c r="R849" s="452"/>
      <c r="S849" s="452"/>
      <c r="T849" s="158"/>
    </row>
    <row r="850" spans="1:20" ht="12.75" customHeight="1" x14ac:dyDescent="0.3">
      <c r="A850" s="36"/>
      <c r="B850" s="36"/>
      <c r="C850" s="36"/>
      <c r="D850" s="29"/>
      <c r="E850" s="36" t="s">
        <v>803</v>
      </c>
      <c r="F850" s="36"/>
      <c r="G850" s="94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1"/>
      <c r="N850" s="451"/>
      <c r="O850" s="452"/>
      <c r="P850" s="452"/>
      <c r="Q850" s="452"/>
      <c r="R850" s="452"/>
      <c r="S850" s="452"/>
      <c r="T850" s="158"/>
    </row>
    <row r="851" spans="1:20" ht="12.75" customHeight="1" x14ac:dyDescent="0.3">
      <c r="A851" s="29"/>
      <c r="B851" s="29" t="s">
        <v>2275</v>
      </c>
      <c r="C851" s="95"/>
      <c r="D851" s="95"/>
      <c r="E851" s="29"/>
      <c r="F851" s="29"/>
      <c r="G851" s="37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1"/>
      <c r="N851" s="451"/>
      <c r="O851" s="452"/>
      <c r="P851" s="452"/>
      <c r="Q851" s="452"/>
      <c r="R851" s="452"/>
      <c r="S851" s="452"/>
      <c r="T851" s="158"/>
    </row>
    <row r="852" spans="1:20" ht="12.75" customHeight="1" x14ac:dyDescent="0.3">
      <c r="A852" s="29"/>
      <c r="B852" s="29" t="s">
        <v>2276</v>
      </c>
      <c r="C852" s="95"/>
      <c r="D852" s="95"/>
      <c r="E852" s="29"/>
      <c r="F852" s="29"/>
      <c r="G852" s="37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1"/>
      <c r="N852" s="451"/>
      <c r="O852" s="452"/>
      <c r="P852" s="452"/>
      <c r="Q852" s="452"/>
      <c r="R852" s="452"/>
      <c r="S852" s="452"/>
      <c r="T852" s="158"/>
    </row>
    <row r="853" spans="1:20" ht="12.75" customHeight="1" x14ac:dyDescent="0.3">
      <c r="A853" s="36"/>
      <c r="B853" s="36"/>
      <c r="C853" s="29" t="s">
        <v>1076</v>
      </c>
      <c r="D853" s="29"/>
      <c r="E853" s="29"/>
      <c r="F853" s="29"/>
      <c r="G853" s="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1"/>
      <c r="N853" s="451"/>
      <c r="O853" s="452"/>
      <c r="P853" s="452"/>
      <c r="Q853" s="452"/>
      <c r="R853" s="452"/>
      <c r="S853" s="452"/>
      <c r="T853" s="158"/>
    </row>
    <row r="854" spans="1:20" ht="12.75" customHeight="1" x14ac:dyDescent="0.3">
      <c r="A854" s="36"/>
      <c r="B854" s="36"/>
      <c r="C854" s="29" t="s">
        <v>1230</v>
      </c>
      <c r="D854" s="29"/>
      <c r="E854" s="29"/>
      <c r="F854" s="29"/>
      <c r="G854" s="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1"/>
      <c r="N854" s="451"/>
      <c r="O854" s="452"/>
      <c r="P854" s="452"/>
      <c r="Q854" s="452"/>
      <c r="R854" s="452"/>
      <c r="S854" s="452"/>
      <c r="T854" s="158"/>
    </row>
    <row r="855" spans="1:20" ht="12.75" customHeight="1" x14ac:dyDescent="0.3">
      <c r="A855" s="29"/>
      <c r="B855" s="29"/>
      <c r="C855" s="29"/>
      <c r="D855" s="29"/>
      <c r="E855" s="29"/>
      <c r="F855" s="29"/>
      <c r="G855" s="29"/>
      <c r="H855" s="29"/>
      <c r="I855" s="527"/>
      <c r="J855" s="459"/>
      <c r="K855" s="459"/>
      <c r="L855" s="459"/>
      <c r="M855" s="459"/>
      <c r="N855" s="459"/>
      <c r="O855" s="460"/>
      <c r="P855" s="460"/>
      <c r="Q855" s="460"/>
      <c r="R855" s="460"/>
      <c r="S855" s="460"/>
      <c r="T855" s="158"/>
    </row>
    <row r="856" spans="1:20" ht="12.75" customHeight="1" x14ac:dyDescent="0.3">
      <c r="A856" s="36" t="s">
        <v>89</v>
      </c>
      <c r="B856" s="29"/>
      <c r="C856" s="29"/>
      <c r="D856" s="29"/>
      <c r="E856" s="29"/>
      <c r="F856" s="29"/>
      <c r="G856" s="37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1"/>
      <c r="N856" s="451"/>
      <c r="O856" s="452"/>
      <c r="P856" s="452"/>
      <c r="Q856" s="452"/>
      <c r="R856" s="452"/>
      <c r="S856" s="452"/>
      <c r="T856" s="158"/>
    </row>
    <row r="857" spans="1:20" ht="12.75" customHeight="1" x14ac:dyDescent="0.3">
      <c r="A857" s="29"/>
      <c r="B857" s="29"/>
      <c r="C857" s="95" t="s">
        <v>211</v>
      </c>
      <c r="D857" s="29"/>
      <c r="E857" s="29"/>
      <c r="F857" s="29"/>
      <c r="G857" s="94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1"/>
      <c r="N857" s="451"/>
      <c r="O857" s="452"/>
      <c r="P857" s="452"/>
      <c r="Q857" s="452"/>
      <c r="R857" s="452"/>
      <c r="S857" s="452"/>
      <c r="T857" s="158"/>
    </row>
    <row r="858" spans="1:20" ht="12.75" customHeight="1" x14ac:dyDescent="0.3">
      <c r="A858" s="29"/>
      <c r="B858" s="29"/>
      <c r="C858" s="36" t="s">
        <v>1002</v>
      </c>
      <c r="D858" s="29"/>
      <c r="E858" s="29"/>
      <c r="F858" s="29"/>
      <c r="G858" s="94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1"/>
      <c r="N858" s="451"/>
      <c r="O858" s="452"/>
      <c r="P858" s="452"/>
      <c r="Q858" s="452"/>
      <c r="R858" s="452"/>
      <c r="S858" s="452"/>
      <c r="T858" s="158"/>
    </row>
    <row r="859" spans="1:20" ht="12.75" customHeight="1" x14ac:dyDescent="0.3">
      <c r="A859" s="36"/>
      <c r="B859" s="36"/>
      <c r="C859" s="29" t="s">
        <v>185</v>
      </c>
      <c r="D859" s="29"/>
      <c r="E859" s="95"/>
      <c r="F859" s="95"/>
      <c r="G859" s="37" t="s">
        <v>918</v>
      </c>
      <c r="H859" s="29" t="s">
        <v>36</v>
      </c>
      <c r="I859" s="522">
        <f>global!I255</f>
        <v>0</v>
      </c>
      <c r="J859" s="451"/>
      <c r="K859" s="451"/>
      <c r="L859" s="451"/>
      <c r="M859" s="451"/>
      <c r="N859" s="451">
        <v>1</v>
      </c>
      <c r="O859" s="452">
        <v>1</v>
      </c>
      <c r="P859" s="452">
        <v>1</v>
      </c>
      <c r="Q859" s="452">
        <v>1</v>
      </c>
      <c r="R859" s="452"/>
      <c r="S859" s="452">
        <v>1</v>
      </c>
      <c r="T859" s="158"/>
    </row>
    <row r="860" spans="1:20" ht="12.75" customHeight="1" x14ac:dyDescent="0.3">
      <c r="A860" s="29"/>
      <c r="B860" s="29"/>
      <c r="C860" s="29"/>
      <c r="D860" s="95"/>
      <c r="E860" s="29"/>
      <c r="F860" s="29"/>
      <c r="G860" s="29"/>
      <c r="H860" s="29"/>
      <c r="I860" s="457"/>
      <c r="J860" s="339"/>
      <c r="K860" s="339"/>
      <c r="L860" s="339"/>
      <c r="M860" s="339"/>
      <c r="N860" s="339"/>
      <c r="O860" s="282"/>
      <c r="P860" s="282"/>
      <c r="Q860" s="282"/>
      <c r="R860" s="282"/>
      <c r="S860" s="282"/>
      <c r="T860" s="158"/>
    </row>
    <row r="861" spans="1:20" ht="12.75" customHeight="1" x14ac:dyDescent="0.3">
      <c r="A861" s="98" t="s">
        <v>419</v>
      </c>
      <c r="B861" s="97"/>
      <c r="C861" s="97"/>
      <c r="D861" s="97"/>
      <c r="E861" s="97"/>
      <c r="F861" s="97"/>
      <c r="G861" s="97"/>
      <c r="H861" s="97"/>
      <c r="I861" s="340" t="s">
        <v>754</v>
      </c>
      <c r="J861" s="364"/>
      <c r="K861" s="364"/>
      <c r="L861" s="364" t="s">
        <v>754</v>
      </c>
      <c r="M861" s="364" t="s">
        <v>754</v>
      </c>
      <c r="N861" s="364"/>
      <c r="O861" s="470"/>
      <c r="P861" s="470"/>
      <c r="Q861" s="470"/>
      <c r="R861" s="470"/>
      <c r="S861" s="470"/>
      <c r="T861" s="158"/>
    </row>
    <row r="862" spans="1:20" ht="12.75" customHeight="1" x14ac:dyDescent="0.3">
      <c r="A862" s="36"/>
      <c r="B862" s="29"/>
      <c r="C862" s="29"/>
      <c r="D862" s="29"/>
      <c r="E862" s="29"/>
      <c r="F862" s="29"/>
      <c r="G862" s="29"/>
      <c r="H862" s="29"/>
      <c r="I862" s="342"/>
      <c r="J862" s="339"/>
      <c r="K862" s="339"/>
      <c r="L862" s="339"/>
      <c r="M862" s="339"/>
      <c r="N862" s="339"/>
      <c r="O862" s="282"/>
      <c r="P862" s="282"/>
      <c r="Q862" s="282"/>
      <c r="R862" s="282"/>
      <c r="S862" s="282"/>
      <c r="T862" s="158"/>
    </row>
    <row r="863" spans="1:20" ht="12.75" customHeight="1" x14ac:dyDescent="0.3">
      <c r="A863" s="36" t="s">
        <v>224</v>
      </c>
      <c r="B863" s="29"/>
      <c r="C863" s="29"/>
      <c r="D863" s="29"/>
      <c r="E863" s="29"/>
      <c r="F863" s="29"/>
      <c r="G863" s="37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1"/>
      <c r="N863" s="451"/>
      <c r="O863" s="452"/>
      <c r="P863" s="452"/>
      <c r="Q863" s="452"/>
      <c r="R863" s="452"/>
      <c r="S863" s="452"/>
      <c r="T863" s="158"/>
    </row>
    <row r="864" spans="1:20" ht="12.75" customHeight="1" x14ac:dyDescent="0.3">
      <c r="A864" s="36" t="s">
        <v>4013</v>
      </c>
      <c r="B864" s="29"/>
      <c r="C864" s="29"/>
      <c r="D864" s="29"/>
      <c r="E864" s="29"/>
      <c r="F864" s="29"/>
      <c r="G864" s="37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1"/>
      <c r="N864" s="451"/>
      <c r="O864" s="452"/>
      <c r="P864" s="452"/>
      <c r="Q864" s="452"/>
      <c r="R864" s="452"/>
      <c r="S864" s="452"/>
      <c r="T864" s="158"/>
    </row>
    <row r="865" spans="1:20" ht="12.75" customHeight="1" x14ac:dyDescent="0.3">
      <c r="A865" s="36" t="s">
        <v>1168</v>
      </c>
      <c r="B865" s="29"/>
      <c r="C865" s="29"/>
      <c r="D865" s="29"/>
      <c r="E865" s="29"/>
      <c r="F865" s="29"/>
      <c r="G865" s="37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1"/>
      <c r="N865" s="451"/>
      <c r="O865" s="452"/>
      <c r="P865" s="452"/>
      <c r="Q865" s="452"/>
      <c r="R865" s="452"/>
      <c r="S865" s="452"/>
      <c r="T865" s="158"/>
    </row>
    <row r="866" spans="1:20" ht="12.75" customHeight="1" x14ac:dyDescent="0.3">
      <c r="A866" s="36" t="s">
        <v>225</v>
      </c>
      <c r="B866" s="29"/>
      <c r="C866" s="29"/>
      <c r="D866" s="29"/>
      <c r="E866" s="29"/>
      <c r="F866" s="29"/>
      <c r="G866" s="37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1"/>
      <c r="N866" s="451"/>
      <c r="O866" s="452"/>
      <c r="P866" s="452"/>
      <c r="Q866" s="452"/>
      <c r="R866" s="452"/>
      <c r="S866" s="452"/>
      <c r="T866" s="158"/>
    </row>
    <row r="867" spans="1:20" ht="12.75" customHeight="1" x14ac:dyDescent="0.3">
      <c r="A867" s="36" t="s">
        <v>844</v>
      </c>
      <c r="B867" s="29"/>
      <c r="C867" s="29"/>
      <c r="D867" s="29"/>
      <c r="E867" s="29"/>
      <c r="F867" s="29"/>
      <c r="G867" s="37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1"/>
      <c r="N867" s="451"/>
      <c r="O867" s="452"/>
      <c r="P867" s="452"/>
      <c r="Q867" s="452"/>
      <c r="R867" s="452"/>
      <c r="S867" s="452"/>
      <c r="T867" s="158"/>
    </row>
    <row r="868" spans="1:20" ht="12.75" customHeight="1" x14ac:dyDescent="0.3">
      <c r="A868" s="36"/>
      <c r="B868" s="36" t="s">
        <v>796</v>
      </c>
      <c r="C868" s="95"/>
      <c r="D868" s="29"/>
      <c r="E868" s="29"/>
      <c r="F868" s="29"/>
      <c r="G868" s="94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1"/>
      <c r="N868" s="451"/>
      <c r="O868" s="452"/>
      <c r="P868" s="452"/>
      <c r="Q868" s="452"/>
      <c r="R868" s="452"/>
      <c r="S868" s="452"/>
      <c r="T868" s="158"/>
    </row>
    <row r="869" spans="1:20" ht="12.75" customHeight="1" x14ac:dyDescent="0.3">
      <c r="A869" s="36"/>
      <c r="B869" s="36" t="s">
        <v>797</v>
      </c>
      <c r="C869" s="29"/>
      <c r="D869" s="29"/>
      <c r="E869" s="29"/>
      <c r="F869" s="29"/>
      <c r="G869" s="37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1"/>
      <c r="N869" s="451"/>
      <c r="O869" s="452"/>
      <c r="P869" s="452"/>
      <c r="Q869" s="452"/>
      <c r="R869" s="452"/>
      <c r="S869" s="452"/>
      <c r="T869" s="158"/>
    </row>
    <row r="870" spans="1:20" ht="12.75" customHeight="1" x14ac:dyDescent="0.3">
      <c r="A870" s="95"/>
      <c r="B870" s="95"/>
      <c r="C870" s="36" t="s">
        <v>1021</v>
      </c>
      <c r="D870" s="29"/>
      <c r="E870" s="29"/>
      <c r="F870" s="29"/>
      <c r="G870" s="37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1"/>
      <c r="N870" s="451"/>
      <c r="O870" s="452"/>
      <c r="P870" s="452"/>
      <c r="Q870" s="452"/>
      <c r="R870" s="452"/>
      <c r="S870" s="452"/>
      <c r="T870" s="158"/>
    </row>
    <row r="871" spans="1:20" ht="12.75" customHeight="1" x14ac:dyDescent="0.3">
      <c r="A871" s="95"/>
      <c r="B871" s="95"/>
      <c r="C871" s="36" t="s">
        <v>35</v>
      </c>
      <c r="D871" s="29"/>
      <c r="E871" s="29"/>
      <c r="F871" s="29"/>
      <c r="G871" s="37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1"/>
      <c r="N871" s="451"/>
      <c r="O871" s="452"/>
      <c r="P871" s="452"/>
      <c r="Q871" s="452"/>
      <c r="R871" s="452"/>
      <c r="S871" s="452"/>
      <c r="T871" s="158"/>
    </row>
    <row r="872" spans="1:20" ht="12.75" customHeight="1" x14ac:dyDescent="0.3">
      <c r="A872" s="36"/>
      <c r="B872" s="36" t="s">
        <v>4014</v>
      </c>
      <c r="C872" s="29"/>
      <c r="D872" s="29"/>
      <c r="E872" s="29"/>
      <c r="F872" s="29"/>
      <c r="G872" s="37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1"/>
      <c r="N872" s="451"/>
      <c r="O872" s="452"/>
      <c r="P872" s="452"/>
      <c r="Q872" s="452"/>
      <c r="R872" s="452"/>
      <c r="S872" s="452"/>
      <c r="T872" s="158"/>
    </row>
    <row r="873" spans="1:20" ht="12.75" customHeight="1" x14ac:dyDescent="0.3">
      <c r="A873" s="36"/>
      <c r="B873" s="36" t="s">
        <v>1138</v>
      </c>
      <c r="C873" s="29"/>
      <c r="D873" s="29"/>
      <c r="E873" s="29"/>
      <c r="F873" s="29"/>
      <c r="G873" s="37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1"/>
      <c r="N873" s="451"/>
      <c r="O873" s="452"/>
      <c r="P873" s="452"/>
      <c r="Q873" s="452"/>
      <c r="R873" s="452"/>
      <c r="S873" s="452"/>
      <c r="T873" s="158"/>
    </row>
    <row r="874" spans="1:20" ht="12.75" customHeight="1" x14ac:dyDescent="0.3">
      <c r="A874" s="36"/>
      <c r="B874" s="36"/>
      <c r="C874" s="36" t="s">
        <v>4015</v>
      </c>
      <c r="D874" s="29"/>
      <c r="E874" s="29"/>
      <c r="F874" s="29"/>
      <c r="G874" s="94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1"/>
      <c r="N874" s="451"/>
      <c r="O874" s="452"/>
      <c r="P874" s="452"/>
      <c r="Q874" s="452"/>
      <c r="R874" s="452"/>
      <c r="S874" s="452"/>
      <c r="T874" s="158"/>
    </row>
    <row r="875" spans="1:20" ht="12.75" customHeight="1" x14ac:dyDescent="0.3">
      <c r="A875" s="36"/>
      <c r="B875" s="36"/>
      <c r="C875" s="36" t="s">
        <v>1140</v>
      </c>
      <c r="D875" s="29"/>
      <c r="E875" s="29"/>
      <c r="F875" s="29"/>
      <c r="G875" s="94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1"/>
      <c r="N875" s="451"/>
      <c r="O875" s="452"/>
      <c r="P875" s="452"/>
      <c r="Q875" s="452"/>
      <c r="R875" s="452"/>
      <c r="S875" s="452"/>
      <c r="T875" s="158"/>
    </row>
    <row r="876" spans="1:20" ht="12.75" customHeight="1" x14ac:dyDescent="0.3">
      <c r="A876" s="95"/>
      <c r="B876" s="95"/>
      <c r="C876" s="36" t="s">
        <v>766</v>
      </c>
      <c r="D876" s="29"/>
      <c r="E876" s="29"/>
      <c r="F876" s="29"/>
      <c r="G876" s="37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1"/>
      <c r="N876" s="451"/>
      <c r="O876" s="452"/>
      <c r="P876" s="452"/>
      <c r="Q876" s="452"/>
      <c r="R876" s="452"/>
      <c r="S876" s="452"/>
      <c r="T876" s="158"/>
    </row>
    <row r="877" spans="1:20" ht="12.75" customHeight="1" x14ac:dyDescent="0.3">
      <c r="A877" s="36"/>
      <c r="B877" s="36" t="s">
        <v>772</v>
      </c>
      <c r="C877" s="29"/>
      <c r="D877" s="29"/>
      <c r="E877" s="29"/>
      <c r="F877" s="29"/>
      <c r="G877" s="37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1"/>
      <c r="N877" s="451"/>
      <c r="O877" s="452"/>
      <c r="P877" s="452"/>
      <c r="Q877" s="452"/>
      <c r="R877" s="452"/>
      <c r="S877" s="452"/>
      <c r="T877" s="158"/>
    </row>
    <row r="878" spans="1:20" ht="12.75" customHeight="1" x14ac:dyDescent="0.3">
      <c r="A878" s="36"/>
      <c r="B878" s="36" t="s">
        <v>773</v>
      </c>
      <c r="C878" s="29"/>
      <c r="D878" s="29"/>
      <c r="E878" s="29"/>
      <c r="F878" s="29"/>
      <c r="G878" s="37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1"/>
      <c r="N878" s="451"/>
      <c r="O878" s="452"/>
      <c r="P878" s="452"/>
      <c r="Q878" s="452"/>
      <c r="R878" s="452"/>
      <c r="S878" s="452"/>
      <c r="T878" s="158"/>
    </row>
    <row r="879" spans="1:20" ht="12.75" customHeight="1" x14ac:dyDescent="0.3">
      <c r="A879" s="29"/>
      <c r="B879" s="36" t="s">
        <v>1036</v>
      </c>
      <c r="C879" s="29"/>
      <c r="D879" s="29"/>
      <c r="E879" s="29"/>
      <c r="F879" s="29"/>
      <c r="G879" s="94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1"/>
      <c r="N879" s="451"/>
      <c r="O879" s="452"/>
      <c r="P879" s="452"/>
      <c r="Q879" s="452"/>
      <c r="R879" s="452"/>
      <c r="S879" s="452"/>
      <c r="T879" s="158"/>
    </row>
    <row r="880" spans="1:20" ht="12.75" customHeight="1" x14ac:dyDescent="0.3">
      <c r="A880" s="36"/>
      <c r="B880" s="29" t="s">
        <v>185</v>
      </c>
      <c r="C880" s="29"/>
      <c r="D880" s="29"/>
      <c r="E880" s="95"/>
      <c r="F880" s="95"/>
      <c r="G880" s="37" t="s">
        <v>919</v>
      </c>
      <c r="H880" s="29" t="s">
        <v>36</v>
      </c>
      <c r="I880" s="522">
        <f>global!I276</f>
        <v>0</v>
      </c>
      <c r="J880" s="451"/>
      <c r="K880" s="451"/>
      <c r="L880" s="451"/>
      <c r="M880" s="451"/>
      <c r="N880" s="451">
        <v>1</v>
      </c>
      <c r="O880" s="452">
        <v>1</v>
      </c>
      <c r="P880" s="452">
        <v>1</v>
      </c>
      <c r="Q880" s="452">
        <v>1</v>
      </c>
      <c r="R880" s="452"/>
      <c r="S880" s="452">
        <v>1</v>
      </c>
      <c r="T880" s="158"/>
    </row>
    <row r="881" spans="1:20" ht="12.75" customHeight="1" x14ac:dyDescent="0.3">
      <c r="A881" s="134"/>
      <c r="B881" s="134"/>
      <c r="C881" s="134"/>
      <c r="D881" s="134"/>
      <c r="E881" s="134"/>
      <c r="F881" s="134"/>
      <c r="G881" s="134"/>
      <c r="H881" s="134"/>
      <c r="I881" s="457"/>
      <c r="J881" s="356"/>
      <c r="K881" s="356"/>
      <c r="L881" s="356"/>
      <c r="M881" s="356"/>
      <c r="N881" s="356"/>
      <c r="O881" s="471"/>
      <c r="P881" s="471"/>
      <c r="Q881" s="471"/>
      <c r="R881" s="471"/>
      <c r="S881" s="471"/>
      <c r="T881" s="158"/>
    </row>
    <row r="882" spans="1:20" ht="12.75" customHeight="1" x14ac:dyDescent="0.3">
      <c r="A882" s="44"/>
      <c r="B882" s="5"/>
      <c r="C882" s="29"/>
      <c r="D882" s="29"/>
      <c r="E882" s="29"/>
      <c r="F882" s="29"/>
      <c r="G882" s="29"/>
      <c r="H882" s="29"/>
      <c r="I882" s="342"/>
      <c r="J882" s="339"/>
      <c r="K882" s="339"/>
      <c r="L882" s="339"/>
      <c r="M882" s="339"/>
      <c r="N882" s="339"/>
      <c r="O882" s="282"/>
      <c r="P882" s="282"/>
      <c r="Q882" s="282"/>
      <c r="R882" s="282"/>
      <c r="S882" s="282"/>
      <c r="T882" s="158"/>
    </row>
    <row r="883" spans="1:20" ht="12.75" customHeight="1" x14ac:dyDescent="0.3">
      <c r="A883" s="44"/>
      <c r="B883" s="5"/>
      <c r="C883" s="29"/>
      <c r="D883" s="29"/>
      <c r="E883" s="29"/>
      <c r="F883" s="29"/>
      <c r="G883" s="29"/>
      <c r="H883" s="29"/>
      <c r="I883" s="342"/>
      <c r="J883" s="339"/>
      <c r="K883" s="339"/>
      <c r="L883" s="339"/>
      <c r="M883" s="339"/>
      <c r="N883" s="339"/>
      <c r="O883" s="282"/>
      <c r="P883" s="282"/>
      <c r="Q883" s="282"/>
      <c r="R883" s="282"/>
      <c r="S883" s="282"/>
      <c r="T883" s="158"/>
    </row>
    <row r="884" spans="1:20" ht="12.75" customHeight="1" x14ac:dyDescent="0.3">
      <c r="A884" s="62" t="s">
        <v>1404</v>
      </c>
      <c r="B884" s="5"/>
      <c r="C884" s="29"/>
      <c r="D884" s="29"/>
      <c r="E884" s="29"/>
      <c r="F884" s="29"/>
      <c r="G884" s="29"/>
      <c r="H884" s="29"/>
      <c r="I884" s="342"/>
      <c r="J884" s="339"/>
      <c r="K884" s="339"/>
      <c r="L884" s="339"/>
      <c r="M884" s="339"/>
      <c r="N884" s="339"/>
      <c r="O884" s="282"/>
      <c r="P884" s="282"/>
      <c r="Q884" s="282"/>
      <c r="R884" s="282"/>
      <c r="S884" s="282"/>
      <c r="T884" s="158"/>
    </row>
    <row r="885" spans="1:20" ht="12.75" customHeight="1" x14ac:dyDescent="0.3">
      <c r="A885" s="29"/>
      <c r="B885" s="29"/>
      <c r="C885" s="29"/>
      <c r="D885" s="29"/>
      <c r="E885" s="29"/>
      <c r="F885" s="29"/>
      <c r="G885" s="29"/>
      <c r="H885" s="29"/>
      <c r="I885" s="457"/>
      <c r="J885" s="339"/>
      <c r="K885" s="339"/>
      <c r="L885" s="339"/>
      <c r="M885" s="339"/>
      <c r="N885" s="339"/>
      <c r="O885" s="282"/>
      <c r="P885" s="282"/>
      <c r="Q885" s="282"/>
      <c r="R885" s="282"/>
      <c r="S885" s="282"/>
      <c r="T885" s="158"/>
    </row>
    <row r="886" spans="1:20" ht="12.75" customHeight="1" x14ac:dyDescent="0.3">
      <c r="A886" s="97" t="s">
        <v>1310</v>
      </c>
      <c r="B886" s="97"/>
      <c r="C886" s="97"/>
      <c r="D886" s="97"/>
      <c r="E886" s="97"/>
      <c r="F886" s="97"/>
      <c r="G886" s="97"/>
      <c r="H886" s="97"/>
      <c r="I886" s="340" t="s">
        <v>754</v>
      </c>
      <c r="J886" s="364"/>
      <c r="K886" s="364"/>
      <c r="L886" s="364" t="s">
        <v>754</v>
      </c>
      <c r="M886" s="364" t="s">
        <v>754</v>
      </c>
      <c r="N886" s="364"/>
      <c r="O886" s="470"/>
      <c r="P886" s="470"/>
      <c r="Q886" s="470"/>
      <c r="R886" s="470"/>
      <c r="S886" s="470"/>
      <c r="T886" s="158"/>
    </row>
    <row r="887" spans="1:20" ht="12.75" customHeight="1" x14ac:dyDescent="0.3">
      <c r="A887" s="29"/>
      <c r="B887" s="29"/>
      <c r="C887" s="29"/>
      <c r="D887" s="29"/>
      <c r="E887" s="29"/>
      <c r="F887" s="29"/>
      <c r="G887" s="29"/>
      <c r="H887" s="29"/>
      <c r="I887" s="342"/>
      <c r="J887" s="339"/>
      <c r="K887" s="339"/>
      <c r="L887" s="339"/>
      <c r="M887" s="339"/>
      <c r="N887" s="339"/>
      <c r="O887" s="282"/>
      <c r="P887" s="282"/>
      <c r="Q887" s="282"/>
      <c r="R887" s="282"/>
      <c r="S887" s="282"/>
      <c r="T887" s="158"/>
    </row>
    <row r="888" spans="1:20" ht="12.75" customHeight="1" x14ac:dyDescent="0.3">
      <c r="A888" s="36" t="s">
        <v>1089</v>
      </c>
      <c r="B888" s="29"/>
      <c r="C888" s="29"/>
      <c r="D888" s="29"/>
      <c r="E888" s="29"/>
      <c r="F888" s="29"/>
      <c r="G888" s="37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1"/>
      <c r="N888" s="451"/>
      <c r="O888" s="452"/>
      <c r="P888" s="452"/>
      <c r="Q888" s="452"/>
      <c r="R888" s="452"/>
      <c r="S888" s="452"/>
      <c r="T888" s="158"/>
    </row>
    <row r="889" spans="1:20" ht="12.75" customHeight="1" x14ac:dyDescent="0.3">
      <c r="A889" s="29" t="s">
        <v>4016</v>
      </c>
      <c r="B889" s="29"/>
      <c r="C889" s="29"/>
      <c r="D889" s="29"/>
      <c r="E889" s="29"/>
      <c r="F889" s="29"/>
      <c r="G889" s="37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1"/>
      <c r="N889" s="451"/>
      <c r="O889" s="452"/>
      <c r="P889" s="452"/>
      <c r="Q889" s="452"/>
      <c r="R889" s="452"/>
      <c r="S889" s="452"/>
      <c r="T889" s="158"/>
    </row>
    <row r="890" spans="1:20" ht="12.75" customHeight="1" x14ac:dyDescent="0.3">
      <c r="A890" s="36" t="s">
        <v>104</v>
      </c>
      <c r="B890" s="29"/>
      <c r="C890" s="29"/>
      <c r="D890" s="29"/>
      <c r="E890" s="29"/>
      <c r="F890" s="29"/>
      <c r="G890" s="37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1"/>
      <c r="N890" s="451"/>
      <c r="O890" s="452"/>
      <c r="P890" s="452"/>
      <c r="Q890" s="452"/>
      <c r="R890" s="452"/>
      <c r="S890" s="452"/>
      <c r="T890" s="158"/>
    </row>
    <row r="891" spans="1:20" ht="12.75" customHeight="1" x14ac:dyDescent="0.3">
      <c r="A891" s="36" t="s">
        <v>734</v>
      </c>
      <c r="B891" s="29"/>
      <c r="C891" s="29"/>
      <c r="D891" s="29"/>
      <c r="E891" s="29"/>
      <c r="F891" s="29"/>
      <c r="G891" s="37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1"/>
      <c r="N891" s="451"/>
      <c r="O891" s="452"/>
      <c r="P891" s="452"/>
      <c r="Q891" s="452"/>
      <c r="R891" s="452"/>
      <c r="S891" s="452"/>
      <c r="T891" s="158"/>
    </row>
    <row r="892" spans="1:20" ht="12.75" customHeight="1" x14ac:dyDescent="0.3">
      <c r="A892" s="36" t="s">
        <v>735</v>
      </c>
      <c r="B892" s="29"/>
      <c r="C892" s="29"/>
      <c r="D892" s="29"/>
      <c r="E892" s="29"/>
      <c r="F892" s="29"/>
      <c r="G892" s="37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1"/>
      <c r="N892" s="451"/>
      <c r="O892" s="452"/>
      <c r="P892" s="452"/>
      <c r="Q892" s="452"/>
      <c r="R892" s="452"/>
      <c r="S892" s="452"/>
      <c r="T892" s="158"/>
    </row>
    <row r="893" spans="1:20" ht="12.75" customHeight="1" x14ac:dyDescent="0.3">
      <c r="A893" s="29"/>
      <c r="B893" s="36" t="s">
        <v>1022</v>
      </c>
      <c r="C893" s="29"/>
      <c r="D893" s="29"/>
      <c r="E893" s="29"/>
      <c r="F893" s="29"/>
      <c r="G893" s="37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1"/>
      <c r="N893" s="451"/>
      <c r="O893" s="452"/>
      <c r="P893" s="452"/>
      <c r="Q893" s="452"/>
      <c r="R893" s="452"/>
      <c r="S893" s="452"/>
      <c r="T893" s="158"/>
    </row>
    <row r="894" spans="1:20" ht="12.75" customHeight="1" x14ac:dyDescent="0.3">
      <c r="A894" s="29"/>
      <c r="B894" s="36" t="s">
        <v>3992</v>
      </c>
      <c r="C894" s="29"/>
      <c r="D894" s="29"/>
      <c r="E894" s="29"/>
      <c r="F894" s="29"/>
      <c r="G894" s="94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1"/>
      <c r="N894" s="451"/>
      <c r="O894" s="452"/>
      <c r="P894" s="452"/>
      <c r="Q894" s="452"/>
      <c r="R894" s="452"/>
      <c r="S894" s="452"/>
      <c r="T894" s="158"/>
    </row>
    <row r="895" spans="1:20" ht="12.75" customHeight="1" x14ac:dyDescent="0.3">
      <c r="A895" s="29"/>
      <c r="B895" s="36" t="s">
        <v>3993</v>
      </c>
      <c r="C895" s="29"/>
      <c r="D895" s="29"/>
      <c r="E895" s="29"/>
      <c r="F895" s="29"/>
      <c r="G895" s="94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1"/>
      <c r="N895" s="451"/>
      <c r="O895" s="452"/>
      <c r="P895" s="452"/>
      <c r="Q895" s="452"/>
      <c r="R895" s="452"/>
      <c r="S895" s="452"/>
      <c r="T895" s="158"/>
    </row>
    <row r="896" spans="1:20" ht="12.75" customHeight="1" x14ac:dyDescent="0.3">
      <c r="A896" s="29"/>
      <c r="B896" s="29"/>
      <c r="C896" s="36" t="s">
        <v>767</v>
      </c>
      <c r="D896" s="29"/>
      <c r="E896" s="29"/>
      <c r="F896" s="29"/>
      <c r="G896" s="94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1"/>
      <c r="N896" s="451"/>
      <c r="O896" s="452"/>
      <c r="P896" s="452"/>
      <c r="Q896" s="452"/>
      <c r="R896" s="452"/>
      <c r="S896" s="452"/>
      <c r="T896" s="158"/>
    </row>
    <row r="897" spans="1:20" ht="12.75" customHeight="1" x14ac:dyDescent="0.3">
      <c r="A897" s="29"/>
      <c r="B897" s="29"/>
      <c r="C897" s="36" t="s">
        <v>106</v>
      </c>
      <c r="D897" s="29"/>
      <c r="E897" s="29"/>
      <c r="F897" s="29"/>
      <c r="G897" s="94" t="s">
        <v>947</v>
      </c>
      <c r="H897" s="36" t="s">
        <v>719</v>
      </c>
      <c r="I897" s="522">
        <f>global!I293</f>
        <v>0</v>
      </c>
      <c r="J897" s="451"/>
      <c r="K897" s="451"/>
      <c r="L897" s="451"/>
      <c r="M897" s="451"/>
      <c r="N897" s="451">
        <v>990</v>
      </c>
      <c r="O897" s="452">
        <v>990</v>
      </c>
      <c r="P897" s="452"/>
      <c r="Q897" s="452">
        <v>990</v>
      </c>
      <c r="R897" s="452">
        <v>990</v>
      </c>
      <c r="S897" s="452">
        <v>990</v>
      </c>
      <c r="T897" s="158"/>
    </row>
    <row r="898" spans="1:20" ht="12.75" customHeight="1" x14ac:dyDescent="0.3">
      <c r="A898" s="29"/>
      <c r="B898" s="29"/>
      <c r="C898" s="36" t="s">
        <v>105</v>
      </c>
      <c r="D898" s="29"/>
      <c r="E898" s="29"/>
      <c r="F898" s="29"/>
      <c r="G898" s="94" t="s">
        <v>948</v>
      </c>
      <c r="H898" s="36" t="s">
        <v>719</v>
      </c>
      <c r="I898" s="522">
        <f>global!I294</f>
        <v>0</v>
      </c>
      <c r="J898" s="451"/>
      <c r="K898" s="451"/>
      <c r="L898" s="451"/>
      <c r="M898" s="451"/>
      <c r="N898" s="451">
        <v>10</v>
      </c>
      <c r="O898" s="452">
        <v>10</v>
      </c>
      <c r="P898" s="452"/>
      <c r="Q898" s="452">
        <v>10</v>
      </c>
      <c r="R898" s="452">
        <v>10</v>
      </c>
      <c r="S898" s="452">
        <v>10</v>
      </c>
      <c r="T898" s="158"/>
    </row>
    <row r="899" spans="1:20" ht="12.75" customHeight="1" x14ac:dyDescent="0.3">
      <c r="A899" s="29"/>
      <c r="B899" s="29"/>
      <c r="C899" s="36" t="s">
        <v>1053</v>
      </c>
      <c r="D899" s="29"/>
      <c r="E899" s="29"/>
      <c r="F899" s="29"/>
      <c r="G899" s="94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1"/>
      <c r="N899" s="451"/>
      <c r="O899" s="452"/>
      <c r="P899" s="452"/>
      <c r="Q899" s="452"/>
      <c r="R899" s="452"/>
      <c r="S899" s="452"/>
      <c r="T899" s="158"/>
    </row>
    <row r="900" spans="1:20" ht="12.75" customHeight="1" x14ac:dyDescent="0.3">
      <c r="A900" s="36"/>
      <c r="B900" s="29"/>
      <c r="C900" s="36" t="s">
        <v>3994</v>
      </c>
      <c r="D900" s="95"/>
      <c r="E900" s="95"/>
      <c r="F900" s="95"/>
      <c r="G900" s="94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1"/>
      <c r="N900" s="451"/>
      <c r="O900" s="452"/>
      <c r="P900" s="452"/>
      <c r="Q900" s="452"/>
      <c r="R900" s="452"/>
      <c r="S900" s="452"/>
      <c r="T900" s="158"/>
    </row>
    <row r="901" spans="1:20" ht="12.75" customHeight="1" x14ac:dyDescent="0.3">
      <c r="A901" s="29"/>
      <c r="B901" s="29"/>
      <c r="C901" s="29" t="s">
        <v>216</v>
      </c>
      <c r="D901" s="29"/>
      <c r="E901" s="29"/>
      <c r="F901" s="29"/>
      <c r="G901" s="36" t="s">
        <v>4026</v>
      </c>
      <c r="H901" s="36" t="s">
        <v>722</v>
      </c>
      <c r="I901" s="522">
        <f>global!I297</f>
        <v>0</v>
      </c>
      <c r="J901" s="451"/>
      <c r="K901" s="451"/>
      <c r="L901" s="451"/>
      <c r="M901" s="451"/>
      <c r="N901" s="451">
        <v>4.9999999999999995E-11</v>
      </c>
      <c r="O901" s="452">
        <v>4.9999999999999995E-11</v>
      </c>
      <c r="P901" s="452">
        <v>4.9999999999999995E-11</v>
      </c>
      <c r="Q901" s="452">
        <v>4.9999999999999995E-11</v>
      </c>
      <c r="R901" s="452">
        <v>4.9999999999999995E-11</v>
      </c>
      <c r="S901" s="452"/>
      <c r="T901" s="158"/>
    </row>
    <row r="902" spans="1:20" ht="12.75" customHeight="1" x14ac:dyDescent="0.3">
      <c r="A902" s="29"/>
      <c r="B902" s="29"/>
      <c r="C902" s="29" t="s">
        <v>217</v>
      </c>
      <c r="D902" s="29"/>
      <c r="E902" s="29"/>
      <c r="F902" s="29"/>
      <c r="G902" s="36" t="s">
        <v>4027</v>
      </c>
      <c r="H902" s="36" t="s">
        <v>722</v>
      </c>
      <c r="I902" s="522">
        <f>global!I298</f>
        <v>0</v>
      </c>
      <c r="J902" s="451"/>
      <c r="K902" s="451"/>
      <c r="L902" s="451"/>
      <c r="M902" s="451"/>
      <c r="N902" s="451">
        <v>9.9999999999999995E-21</v>
      </c>
      <c r="O902" s="452">
        <v>9.9999999999999995E-21</v>
      </c>
      <c r="P902" s="452">
        <v>9.9999999999999995E-21</v>
      </c>
      <c r="Q902" s="452">
        <v>9.9999999999999995E-21</v>
      </c>
      <c r="R902" s="452">
        <v>9.9999999999999995E-21</v>
      </c>
      <c r="S902" s="452"/>
      <c r="T902" s="158"/>
    </row>
    <row r="903" spans="1:20" ht="12.75" customHeight="1" x14ac:dyDescent="0.3">
      <c r="A903" s="29"/>
      <c r="B903" s="29"/>
      <c r="C903" s="36" t="s">
        <v>1054</v>
      </c>
      <c r="D903" s="95"/>
      <c r="E903" s="95"/>
      <c r="F903" s="95"/>
      <c r="G903" s="94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1"/>
      <c r="N903" s="451"/>
      <c r="O903" s="452"/>
      <c r="P903" s="452"/>
      <c r="Q903" s="452"/>
      <c r="R903" s="452"/>
      <c r="S903" s="452"/>
      <c r="T903" s="158"/>
    </row>
    <row r="904" spans="1:20" ht="12.75" customHeight="1" x14ac:dyDescent="0.3">
      <c r="A904" s="29"/>
      <c r="B904" s="29"/>
      <c r="C904" s="36" t="s">
        <v>1055</v>
      </c>
      <c r="D904" s="29"/>
      <c r="E904" s="29"/>
      <c r="F904" s="29"/>
      <c r="G904" s="94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1"/>
      <c r="N904" s="451"/>
      <c r="O904" s="452"/>
      <c r="P904" s="452"/>
      <c r="Q904" s="452"/>
      <c r="R904" s="452"/>
      <c r="S904" s="452"/>
      <c r="T904" s="158"/>
    </row>
    <row r="905" spans="1:20" ht="12.75" customHeight="1" x14ac:dyDescent="0.3">
      <c r="A905" s="29"/>
      <c r="B905" s="29"/>
      <c r="C905" s="36" t="s">
        <v>1056</v>
      </c>
      <c r="D905" s="29"/>
      <c r="E905" s="29"/>
      <c r="F905" s="29"/>
      <c r="G905" s="94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1"/>
      <c r="N905" s="451"/>
      <c r="O905" s="452"/>
      <c r="P905" s="452"/>
      <c r="Q905" s="452"/>
      <c r="R905" s="452"/>
      <c r="S905" s="452"/>
      <c r="T905" s="158"/>
    </row>
    <row r="906" spans="1:20" ht="12.75" customHeight="1" x14ac:dyDescent="0.3">
      <c r="A906" s="36"/>
      <c r="B906" s="29"/>
      <c r="C906" s="36" t="s">
        <v>434</v>
      </c>
      <c r="D906" s="95"/>
      <c r="E906" s="95"/>
      <c r="F906" s="95"/>
      <c r="G906" s="94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1"/>
      <c r="N906" s="451"/>
      <c r="O906" s="452"/>
      <c r="P906" s="452"/>
      <c r="Q906" s="452"/>
      <c r="R906" s="452"/>
      <c r="S906" s="452"/>
      <c r="T906" s="158"/>
    </row>
    <row r="907" spans="1:20" ht="12.75" customHeight="1" x14ac:dyDescent="0.3">
      <c r="A907" s="36"/>
      <c r="B907" s="29"/>
      <c r="C907" s="36" t="s">
        <v>888</v>
      </c>
      <c r="D907" s="95"/>
      <c r="E907" s="95"/>
      <c r="F907" s="95"/>
      <c r="G907" s="94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1"/>
      <c r="N907" s="451"/>
      <c r="O907" s="452"/>
      <c r="P907" s="452"/>
      <c r="Q907" s="452"/>
      <c r="R907" s="452"/>
      <c r="S907" s="452"/>
      <c r="T907" s="158"/>
    </row>
    <row r="908" spans="1:20" ht="12.75" customHeight="1" x14ac:dyDescent="0.3">
      <c r="A908" s="92"/>
      <c r="B908" s="92"/>
      <c r="C908" s="92"/>
      <c r="D908" s="92"/>
      <c r="E908" s="92"/>
      <c r="F908" s="92"/>
      <c r="G908" s="93"/>
      <c r="H908" s="133"/>
      <c r="I908" s="524"/>
      <c r="J908" s="451"/>
      <c r="K908" s="451"/>
      <c r="L908" s="451"/>
      <c r="M908" s="451"/>
      <c r="N908" s="451"/>
      <c r="O908" s="452"/>
      <c r="P908" s="452"/>
      <c r="Q908" s="452"/>
      <c r="R908" s="452"/>
      <c r="S908" s="452"/>
      <c r="T908" s="158"/>
    </row>
    <row r="909" spans="1:20" ht="12.75" customHeight="1" x14ac:dyDescent="0.3">
      <c r="A909" s="36" t="s">
        <v>101</v>
      </c>
      <c r="B909" s="29"/>
      <c r="C909" s="29"/>
      <c r="D909" s="29"/>
      <c r="E909" s="29"/>
      <c r="F909" s="29"/>
      <c r="G909" s="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1"/>
      <c r="N909" s="451"/>
      <c r="O909" s="452"/>
      <c r="P909" s="452"/>
      <c r="Q909" s="452"/>
      <c r="R909" s="452"/>
      <c r="S909" s="452"/>
      <c r="T909" s="158"/>
    </row>
    <row r="910" spans="1:20" ht="12.75" customHeight="1" x14ac:dyDescent="0.3">
      <c r="A910" s="36"/>
      <c r="B910" s="36" t="s">
        <v>511</v>
      </c>
      <c r="C910" s="29"/>
      <c r="D910" s="29"/>
      <c r="E910" s="29"/>
      <c r="F910" s="29"/>
      <c r="G910" s="37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1"/>
      <c r="N910" s="451"/>
      <c r="O910" s="452"/>
      <c r="P910" s="452"/>
      <c r="Q910" s="452"/>
      <c r="R910" s="452"/>
      <c r="S910" s="452"/>
      <c r="T910" s="158"/>
    </row>
    <row r="911" spans="1:20" ht="12.75" customHeight="1" x14ac:dyDescent="0.3">
      <c r="A911" s="92"/>
      <c r="B911" s="92"/>
      <c r="C911" s="92"/>
      <c r="D911" s="92"/>
      <c r="E911" s="92"/>
      <c r="F911" s="92"/>
      <c r="G911" s="93"/>
      <c r="H911" s="133"/>
      <c r="I911" s="524"/>
      <c r="J911" s="451"/>
      <c r="K911" s="451"/>
      <c r="L911" s="451"/>
      <c r="M911" s="451"/>
      <c r="N911" s="451"/>
      <c r="O911" s="452"/>
      <c r="P911" s="452"/>
      <c r="Q911" s="452"/>
      <c r="R911" s="452"/>
      <c r="S911" s="452"/>
      <c r="T911" s="158"/>
    </row>
    <row r="912" spans="1:20" ht="12.75" customHeight="1" x14ac:dyDescent="0.3">
      <c r="A912" s="36" t="s">
        <v>102</v>
      </c>
      <c r="B912" s="29"/>
      <c r="C912" s="29"/>
      <c r="D912" s="29"/>
      <c r="E912" s="29"/>
      <c r="F912" s="29"/>
      <c r="G912" s="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1"/>
      <c r="N912" s="451"/>
      <c r="O912" s="452"/>
      <c r="P912" s="452"/>
      <c r="Q912" s="452"/>
      <c r="R912" s="452"/>
      <c r="S912" s="452"/>
      <c r="T912" s="158"/>
    </row>
    <row r="913" spans="1:20" ht="12.75" customHeight="1" x14ac:dyDescent="0.3">
      <c r="A913" s="36" t="s">
        <v>103</v>
      </c>
      <c r="B913" s="29"/>
      <c r="C913" s="29"/>
      <c r="D913" s="29"/>
      <c r="E913" s="29"/>
      <c r="F913" s="29"/>
      <c r="G913" s="36" t="s">
        <v>59</v>
      </c>
      <c r="H913" s="36" t="s">
        <v>2308</v>
      </c>
      <c r="I913" s="522">
        <f>global!I309</f>
        <v>0</v>
      </c>
      <c r="J913" s="451"/>
      <c r="K913" s="451"/>
      <c r="L913" s="451"/>
      <c r="M913" s="451"/>
      <c r="N913" s="451">
        <v>9.9999999999999995E-21</v>
      </c>
      <c r="O913" s="452">
        <v>9.9999999999999995E-21</v>
      </c>
      <c r="P913" s="452"/>
      <c r="Q913" s="452">
        <v>9.9999999999999995E-21</v>
      </c>
      <c r="R913" s="452">
        <v>9.9999999999999995E-21</v>
      </c>
      <c r="S913" s="452">
        <v>9.9999999999999995E-21</v>
      </c>
      <c r="T913" s="158"/>
    </row>
    <row r="914" spans="1:20" ht="12.75" customHeight="1" x14ac:dyDescent="0.3">
      <c r="A914" s="36"/>
      <c r="B914" s="36" t="s">
        <v>512</v>
      </c>
      <c r="C914" s="29"/>
      <c r="D914" s="29"/>
      <c r="E914" s="29"/>
      <c r="F914" s="29"/>
      <c r="G914" s="94" t="s">
        <v>62</v>
      </c>
      <c r="H914" s="29" t="s">
        <v>2317</v>
      </c>
      <c r="I914" s="522">
        <f>global!I310</f>
        <v>0</v>
      </c>
      <c r="J914" s="451"/>
      <c r="K914" s="451"/>
      <c r="L914" s="451"/>
      <c r="M914" s="451"/>
      <c r="N914" s="451">
        <v>94472218.138455927</v>
      </c>
      <c r="O914" s="452">
        <v>94472218.138455927</v>
      </c>
      <c r="P914" s="452"/>
      <c r="Q914" s="452">
        <v>94472218.138455927</v>
      </c>
      <c r="R914" s="452">
        <v>94472218.138455927</v>
      </c>
      <c r="S914" s="452">
        <v>94472218.138455927</v>
      </c>
      <c r="T914" s="158"/>
    </row>
    <row r="915" spans="1:20" ht="12.75" customHeight="1" x14ac:dyDescent="0.3">
      <c r="A915" s="36" t="s">
        <v>129</v>
      </c>
      <c r="B915" s="29"/>
      <c r="C915" s="29"/>
      <c r="D915" s="29"/>
      <c r="E915" s="29"/>
      <c r="F915" s="29"/>
      <c r="G915" s="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1"/>
      <c r="N915" s="451"/>
      <c r="O915" s="452"/>
      <c r="P915" s="452"/>
      <c r="Q915" s="452"/>
      <c r="R915" s="452"/>
      <c r="S915" s="452"/>
      <c r="T915" s="158"/>
    </row>
    <row r="916" spans="1:20" ht="12.75" customHeight="1" x14ac:dyDescent="0.3">
      <c r="A916" s="36" t="s">
        <v>130</v>
      </c>
      <c r="B916" s="29"/>
      <c r="C916" s="29"/>
      <c r="D916" s="29"/>
      <c r="E916" s="29"/>
      <c r="F916" s="29"/>
      <c r="G916" s="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1"/>
      <c r="N916" s="451"/>
      <c r="O916" s="452"/>
      <c r="P916" s="452"/>
      <c r="Q916" s="452"/>
      <c r="R916" s="452"/>
      <c r="S916" s="452"/>
      <c r="T916" s="158"/>
    </row>
    <row r="917" spans="1:20" ht="12.75" customHeight="1" x14ac:dyDescent="0.3">
      <c r="A917" s="36"/>
      <c r="B917" s="29" t="s">
        <v>693</v>
      </c>
      <c r="C917" s="29"/>
      <c r="D917" s="29"/>
      <c r="E917" s="29"/>
      <c r="F917" s="29"/>
      <c r="G917" s="37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1"/>
      <c r="N917" s="451"/>
      <c r="O917" s="452"/>
      <c r="P917" s="452"/>
      <c r="Q917" s="452"/>
      <c r="R917" s="452"/>
      <c r="S917" s="452"/>
      <c r="T917" s="158"/>
    </row>
    <row r="918" spans="1:20" ht="12.75" customHeight="1" x14ac:dyDescent="0.3">
      <c r="A918" s="36"/>
      <c r="B918" s="36"/>
      <c r="C918" s="29" t="s">
        <v>1218</v>
      </c>
      <c r="D918" s="29"/>
      <c r="E918" s="29"/>
      <c r="F918" s="29"/>
      <c r="G918" s="37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1"/>
      <c r="N918" s="451"/>
      <c r="O918" s="452"/>
      <c r="P918" s="452"/>
      <c r="Q918" s="452"/>
      <c r="R918" s="452"/>
      <c r="S918" s="452"/>
      <c r="T918" s="158"/>
    </row>
    <row r="919" spans="1:20" ht="12.75" customHeight="1" x14ac:dyDescent="0.3">
      <c r="A919" s="29"/>
      <c r="B919" s="29"/>
      <c r="C919" s="29"/>
      <c r="D919" s="29"/>
      <c r="E919" s="29"/>
      <c r="F919" s="29"/>
      <c r="G919" s="29"/>
      <c r="H919" s="29"/>
      <c r="I919" s="457"/>
      <c r="J919" s="339"/>
      <c r="K919" s="339"/>
      <c r="L919" s="339"/>
      <c r="M919" s="339"/>
      <c r="N919" s="339"/>
      <c r="O919" s="282"/>
      <c r="P919" s="282"/>
      <c r="Q919" s="282"/>
      <c r="R919" s="282"/>
      <c r="S919" s="282"/>
      <c r="T919" s="158"/>
    </row>
    <row r="920" spans="1:20" ht="12.75" customHeight="1" x14ac:dyDescent="0.3">
      <c r="A920" s="98" t="s">
        <v>209</v>
      </c>
      <c r="B920" s="97"/>
      <c r="C920" s="97"/>
      <c r="D920" s="97"/>
      <c r="E920" s="97"/>
      <c r="F920" s="97"/>
      <c r="G920" s="97"/>
      <c r="H920" s="97"/>
      <c r="I920" s="340" t="s">
        <v>754</v>
      </c>
      <c r="J920" s="364"/>
      <c r="K920" s="364"/>
      <c r="L920" s="364" t="s">
        <v>754</v>
      </c>
      <c r="M920" s="364" t="s">
        <v>754</v>
      </c>
      <c r="N920" s="364"/>
      <c r="O920" s="470"/>
      <c r="P920" s="470"/>
      <c r="Q920" s="470"/>
      <c r="R920" s="470"/>
      <c r="S920" s="470"/>
      <c r="T920" s="158"/>
    </row>
    <row r="921" spans="1:20" ht="12.75" customHeight="1" x14ac:dyDescent="0.3">
      <c r="A921" s="29"/>
      <c r="B921" s="29"/>
      <c r="C921" s="29"/>
      <c r="D921" s="29"/>
      <c r="E921" s="29"/>
      <c r="F921" s="29"/>
      <c r="G921" s="29"/>
      <c r="H921" s="29"/>
      <c r="I921" s="342"/>
      <c r="J921" s="339"/>
      <c r="K921" s="339"/>
      <c r="L921" s="339"/>
      <c r="M921" s="339"/>
      <c r="N921" s="339"/>
      <c r="O921" s="282"/>
      <c r="P921" s="282"/>
      <c r="Q921" s="282"/>
      <c r="R921" s="282"/>
      <c r="S921" s="282"/>
      <c r="T921" s="158"/>
    </row>
    <row r="922" spans="1:20" ht="12.75" customHeight="1" x14ac:dyDescent="0.3">
      <c r="A922" s="29"/>
      <c r="B922" s="36" t="s">
        <v>986</v>
      </c>
      <c r="C922" s="36"/>
      <c r="D922" s="36"/>
      <c r="E922" s="36"/>
      <c r="F922" s="36"/>
      <c r="G922" s="36" t="s">
        <v>4028</v>
      </c>
      <c r="H922" s="36" t="s">
        <v>36</v>
      </c>
      <c r="I922" s="522">
        <f>global!I318</f>
        <v>0</v>
      </c>
      <c r="J922" s="451"/>
      <c r="K922" s="451"/>
      <c r="L922" s="451"/>
      <c r="M922" s="451"/>
      <c r="N922" s="451">
        <f t="shared" ref="N922:R922" si="25">1-(0.0000258)/(IF(Tm&gt;298,EXP(-6.79*(1-Tm/298))*Pvap25*EXP((H0vap/8.314)*(1/298-1/TEMP.T)),Pvap25*EXP((H0vap/8.314)*(1/298-1/TEMP.T)))+(0.0000258))</f>
        <v>0.5192546583226858</v>
      </c>
      <c r="O922" s="452">
        <f t="shared" si="25"/>
        <v>0.5192546583226858</v>
      </c>
      <c r="P922" s="452">
        <f t="shared" si="25"/>
        <v>0.5192546583226858</v>
      </c>
      <c r="Q922" s="452">
        <f t="shared" si="25"/>
        <v>0.5192546583226858</v>
      </c>
      <c r="R922" s="452">
        <f t="shared" si="25"/>
        <v>0.5192546583226858</v>
      </c>
      <c r="S922" s="452"/>
      <c r="T922" s="158"/>
    </row>
    <row r="923" spans="1:20" ht="12.75" customHeight="1" x14ac:dyDescent="0.3">
      <c r="A923" s="29"/>
      <c r="B923" s="29" t="s">
        <v>615</v>
      </c>
      <c r="C923" s="29"/>
      <c r="D923" s="29"/>
      <c r="E923" s="29"/>
      <c r="F923" s="29"/>
      <c r="G923" s="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1"/>
      <c r="N923" s="451"/>
      <c r="O923" s="452"/>
      <c r="P923" s="452"/>
      <c r="Q923" s="452"/>
      <c r="R923" s="452"/>
      <c r="S923" s="452"/>
      <c r="T923" s="158"/>
    </row>
    <row r="924" spans="1:20" ht="12.75" customHeight="1" x14ac:dyDescent="0.3">
      <c r="A924" s="29"/>
      <c r="B924" s="29" t="s">
        <v>616</v>
      </c>
      <c r="C924" s="29"/>
      <c r="D924" s="29"/>
      <c r="E924" s="29"/>
      <c r="F924" s="29"/>
      <c r="G924" s="29" t="s">
        <v>630</v>
      </c>
      <c r="H924" s="29" t="s">
        <v>36</v>
      </c>
      <c r="I924" s="522">
        <f>global!I320</f>
        <v>0</v>
      </c>
      <c r="J924" s="451"/>
      <c r="K924" s="451"/>
      <c r="L924" s="451"/>
      <c r="M924" s="451"/>
      <c r="N924" s="451">
        <f t="shared" ref="N924:R924" si="26">(0.0000258)/(IF(Tm&gt;298,EXP(-6.79*(1-Tm/298))*Pvap25*EXP((H0vap/8.314)*(1/298-1/TEMP.T)),Pvap25*EXP((H0vap/8.314)*(1/298-1/TEMP.T)))+(0.0000258))</f>
        <v>0.48074534167731414</v>
      </c>
      <c r="O924" s="452">
        <f t="shared" si="26"/>
        <v>0.48074534167731414</v>
      </c>
      <c r="P924" s="452">
        <f t="shared" si="26"/>
        <v>0.48074534167731414</v>
      </c>
      <c r="Q924" s="452">
        <f t="shared" si="26"/>
        <v>0.48074534167731414</v>
      </c>
      <c r="R924" s="452">
        <f t="shared" si="26"/>
        <v>0.48074534167731414</v>
      </c>
      <c r="S924" s="452"/>
      <c r="T924" s="158"/>
    </row>
    <row r="925" spans="1:20" ht="12.75" customHeight="1" x14ac:dyDescent="0.3">
      <c r="A925" s="29"/>
      <c r="B925" s="29"/>
      <c r="C925" s="36" t="s">
        <v>1043</v>
      </c>
      <c r="D925" s="36"/>
      <c r="E925" s="36"/>
      <c r="F925" s="36"/>
      <c r="G925" s="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1"/>
      <c r="N925" s="451"/>
      <c r="O925" s="452"/>
      <c r="P925" s="452"/>
      <c r="Q925" s="452"/>
      <c r="R925" s="452"/>
      <c r="S925" s="452"/>
      <c r="T925" s="158"/>
    </row>
    <row r="926" spans="1:20" ht="12.75" customHeight="1" x14ac:dyDescent="0.3">
      <c r="A926" s="36"/>
      <c r="B926" s="36"/>
      <c r="C926" s="36" t="s">
        <v>513</v>
      </c>
      <c r="D926" s="36"/>
      <c r="E926" s="36"/>
      <c r="F926" s="36"/>
      <c r="G926" s="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1"/>
      <c r="N926" s="451"/>
      <c r="O926" s="452"/>
      <c r="P926" s="452"/>
      <c r="Q926" s="452"/>
      <c r="R926" s="452"/>
      <c r="S926" s="452"/>
      <c r="T926" s="158"/>
    </row>
    <row r="927" spans="1:20" ht="12.75" customHeight="1" x14ac:dyDescent="0.35">
      <c r="A927" s="29"/>
      <c r="B927" s="29"/>
      <c r="C927" s="29" t="s">
        <v>612</v>
      </c>
      <c r="D927" s="29"/>
      <c r="E927" s="29"/>
      <c r="F927" s="29"/>
      <c r="G927" s="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1"/>
      <c r="N927" s="451"/>
      <c r="O927" s="452"/>
      <c r="P927" s="452"/>
      <c r="Q927" s="452"/>
      <c r="R927" s="452"/>
      <c r="S927" s="452"/>
      <c r="T927" s="158"/>
    </row>
    <row r="928" spans="1:20" ht="12.75" customHeight="1" x14ac:dyDescent="0.35">
      <c r="A928" s="29"/>
      <c r="B928" s="29"/>
      <c r="C928" s="29" t="s">
        <v>613</v>
      </c>
      <c r="D928" s="29"/>
      <c r="E928" s="29"/>
      <c r="F928" s="29"/>
      <c r="G928" s="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1"/>
      <c r="N928" s="451"/>
      <c r="O928" s="452"/>
      <c r="P928" s="452"/>
      <c r="Q928" s="452"/>
      <c r="R928" s="452"/>
      <c r="S928" s="452"/>
      <c r="T928" s="158"/>
    </row>
    <row r="929" spans="1:20" ht="12.75" customHeight="1" x14ac:dyDescent="0.3">
      <c r="A929" s="36"/>
      <c r="B929" s="36" t="s">
        <v>4002</v>
      </c>
      <c r="C929" s="95"/>
      <c r="D929" s="29"/>
      <c r="E929" s="29"/>
      <c r="F929" s="29"/>
      <c r="G929" s="37" t="s">
        <v>107</v>
      </c>
      <c r="H929" s="36" t="s">
        <v>36</v>
      </c>
      <c r="I929" s="522">
        <f>global!I325</f>
        <v>0</v>
      </c>
      <c r="J929" s="451"/>
      <c r="K929" s="451"/>
      <c r="L929" s="451"/>
      <c r="M929" s="451"/>
      <c r="N929" s="451">
        <f t="shared" ref="N929:R929" si="27">1/(1+Kp.susp2T*SUSP.w2T/1000+0.05*Kow*0.001/1000)</f>
        <v>0.99933769729472144</v>
      </c>
      <c r="O929" s="452">
        <f t="shared" si="27"/>
        <v>0.99933769729472144</v>
      </c>
      <c r="P929" s="452">
        <f t="shared" si="27"/>
        <v>0.99933769729472144</v>
      </c>
      <c r="Q929" s="452">
        <f t="shared" si="27"/>
        <v>0.99933769729472144</v>
      </c>
      <c r="R929" s="452">
        <f t="shared" si="27"/>
        <v>0.99933769729472144</v>
      </c>
      <c r="S929" s="452"/>
      <c r="T929" s="158"/>
    </row>
    <row r="930" spans="1:20" ht="12.75" customHeight="1" x14ac:dyDescent="0.3">
      <c r="A930" s="36"/>
      <c r="B930" s="36" t="s">
        <v>1119</v>
      </c>
      <c r="C930" s="95"/>
      <c r="D930" s="29"/>
      <c r="E930" s="29"/>
      <c r="F930" s="29"/>
      <c r="G930" s="37" t="s">
        <v>1120</v>
      </c>
      <c r="H930" s="36" t="s">
        <v>36</v>
      </c>
      <c r="I930" s="522">
        <f>global!I326</f>
        <v>0</v>
      </c>
      <c r="J930" s="451"/>
      <c r="K930" s="451"/>
      <c r="L930" s="451"/>
      <c r="M930" s="451"/>
      <c r="N930" s="451">
        <f t="shared" ref="N930:R930" si="28">1/(1+Kp.susp3T*SUSP.w3T/1000+0.05*Kow*0.001/1000)</f>
        <v>0.99933769729472144</v>
      </c>
      <c r="O930" s="452">
        <f t="shared" si="28"/>
        <v>0.99933769729472144</v>
      </c>
      <c r="P930" s="452">
        <f t="shared" si="28"/>
        <v>0.99933769729472144</v>
      </c>
      <c r="Q930" s="452">
        <f t="shared" si="28"/>
        <v>0.99933769729472144</v>
      </c>
      <c r="R930" s="452">
        <f t="shared" si="28"/>
        <v>0.99933769729472144</v>
      </c>
      <c r="S930" s="452"/>
      <c r="T930" s="158"/>
    </row>
    <row r="931" spans="1:20" ht="12.75" customHeight="1" x14ac:dyDescent="0.3">
      <c r="A931" s="36"/>
      <c r="B931" s="29"/>
      <c r="C931" s="36" t="s">
        <v>4003</v>
      </c>
      <c r="D931" s="29"/>
      <c r="E931" s="29"/>
      <c r="F931" s="29"/>
      <c r="G931" s="94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1"/>
      <c r="N931" s="451"/>
      <c r="O931" s="452"/>
      <c r="P931" s="452"/>
      <c r="Q931" s="452"/>
      <c r="R931" s="452"/>
      <c r="S931" s="452"/>
      <c r="T931" s="158"/>
    </row>
    <row r="932" spans="1:20" ht="12.75" customHeight="1" x14ac:dyDescent="0.3">
      <c r="A932" s="36"/>
      <c r="B932" s="29"/>
      <c r="C932" s="36" t="s">
        <v>1122</v>
      </c>
      <c r="D932" s="29"/>
      <c r="E932" s="29"/>
      <c r="F932" s="29"/>
      <c r="G932" s="94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1"/>
      <c r="N932" s="451"/>
      <c r="O932" s="452"/>
      <c r="P932" s="452"/>
      <c r="Q932" s="452"/>
      <c r="R932" s="452"/>
      <c r="S932" s="452"/>
      <c r="T932" s="158"/>
    </row>
    <row r="933" spans="1:20" ht="12.75" customHeight="1" x14ac:dyDescent="0.3">
      <c r="A933" s="36"/>
      <c r="B933" s="29"/>
      <c r="C933" s="36" t="s">
        <v>4004</v>
      </c>
      <c r="D933" s="29"/>
      <c r="E933" s="29"/>
      <c r="F933" s="29"/>
      <c r="G933" s="94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1"/>
      <c r="N933" s="451"/>
      <c r="O933" s="452"/>
      <c r="P933" s="452"/>
      <c r="Q933" s="452"/>
      <c r="R933" s="452"/>
      <c r="S933" s="452"/>
      <c r="T933" s="158"/>
    </row>
    <row r="934" spans="1:20" ht="12.75" customHeight="1" x14ac:dyDescent="0.3">
      <c r="A934" s="36"/>
      <c r="B934" s="29"/>
      <c r="C934" s="36" t="s">
        <v>1124</v>
      </c>
      <c r="D934" s="29"/>
      <c r="E934" s="29"/>
      <c r="F934" s="29"/>
      <c r="G934" s="94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1"/>
      <c r="N934" s="451"/>
      <c r="O934" s="452"/>
      <c r="P934" s="452"/>
      <c r="Q934" s="452"/>
      <c r="R934" s="452"/>
      <c r="S934" s="452"/>
      <c r="T934" s="158"/>
    </row>
    <row r="935" spans="1:20" ht="12.75" customHeight="1" x14ac:dyDescent="0.3">
      <c r="A935" s="36"/>
      <c r="B935" s="29"/>
      <c r="C935" s="36" t="s">
        <v>4005</v>
      </c>
      <c r="D935" s="29"/>
      <c r="E935" s="29"/>
      <c r="F935" s="29"/>
      <c r="G935" s="94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1"/>
      <c r="N935" s="451"/>
      <c r="O935" s="452"/>
      <c r="P935" s="452"/>
      <c r="Q935" s="452"/>
      <c r="R935" s="452"/>
      <c r="S935" s="452"/>
      <c r="T935" s="158"/>
    </row>
    <row r="936" spans="1:20" ht="12.75" customHeight="1" x14ac:dyDescent="0.3">
      <c r="A936" s="36"/>
      <c r="B936" s="29"/>
      <c r="C936" s="36" t="s">
        <v>1126</v>
      </c>
      <c r="D936" s="29"/>
      <c r="E936" s="29"/>
      <c r="F936" s="29"/>
      <c r="G936" s="94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1"/>
      <c r="N936" s="451"/>
      <c r="O936" s="452"/>
      <c r="P936" s="452"/>
      <c r="Q936" s="452"/>
      <c r="R936" s="452"/>
      <c r="S936" s="452"/>
      <c r="T936" s="158"/>
    </row>
    <row r="937" spans="1:20" ht="12.75" customHeight="1" x14ac:dyDescent="0.3">
      <c r="A937" s="36"/>
      <c r="B937" s="29"/>
      <c r="C937" s="36" t="s">
        <v>4006</v>
      </c>
      <c r="D937" s="29"/>
      <c r="E937" s="29"/>
      <c r="F937" s="29"/>
      <c r="G937" s="94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1"/>
      <c r="N937" s="451"/>
      <c r="O937" s="452"/>
      <c r="P937" s="452"/>
      <c r="Q937" s="452"/>
      <c r="R937" s="452"/>
      <c r="S937" s="452"/>
      <c r="T937" s="158"/>
    </row>
    <row r="938" spans="1:20" ht="12.75" customHeight="1" x14ac:dyDescent="0.3">
      <c r="A938" s="36"/>
      <c r="B938" s="29"/>
      <c r="C938" s="36" t="s">
        <v>1143</v>
      </c>
      <c r="D938" s="29"/>
      <c r="E938" s="29"/>
      <c r="F938" s="29"/>
      <c r="G938" s="94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1"/>
      <c r="N938" s="451"/>
      <c r="O938" s="452"/>
      <c r="P938" s="452"/>
      <c r="Q938" s="452"/>
      <c r="R938" s="452"/>
      <c r="S938" s="452"/>
      <c r="T938" s="158"/>
    </row>
    <row r="939" spans="1:20" ht="12.75" customHeight="1" x14ac:dyDescent="0.3">
      <c r="A939" s="36"/>
      <c r="B939" s="29"/>
      <c r="C939" s="36" t="s">
        <v>4007</v>
      </c>
      <c r="D939" s="29"/>
      <c r="E939" s="29"/>
      <c r="F939" s="29"/>
      <c r="G939" s="94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1"/>
      <c r="N939" s="451"/>
      <c r="O939" s="452"/>
      <c r="P939" s="452"/>
      <c r="Q939" s="452"/>
      <c r="R939" s="452"/>
      <c r="S939" s="452"/>
      <c r="T939" s="158"/>
    </row>
    <row r="940" spans="1:20" ht="12.75" customHeight="1" x14ac:dyDescent="0.3">
      <c r="A940" s="36"/>
      <c r="B940" s="29"/>
      <c r="C940" s="36" t="s">
        <v>1130</v>
      </c>
      <c r="D940" s="29"/>
      <c r="E940" s="29"/>
      <c r="F940" s="29"/>
      <c r="G940" s="94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1"/>
      <c r="N940" s="451"/>
      <c r="O940" s="452"/>
      <c r="P940" s="452"/>
      <c r="Q940" s="452"/>
      <c r="R940" s="452"/>
      <c r="S940" s="452"/>
      <c r="T940" s="158"/>
    </row>
    <row r="941" spans="1:20" ht="12.75" customHeight="1" x14ac:dyDescent="0.3">
      <c r="A941" s="36"/>
      <c r="B941" s="36" t="s">
        <v>1375</v>
      </c>
      <c r="C941" s="95"/>
      <c r="D941" s="29"/>
      <c r="E941" s="29"/>
      <c r="F941" s="29"/>
      <c r="G941" s="94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1"/>
      <c r="N941" s="451"/>
      <c r="O941" s="452"/>
      <c r="P941" s="452"/>
      <c r="Q941" s="452"/>
      <c r="R941" s="452"/>
      <c r="S941" s="452"/>
      <c r="T941" s="158"/>
    </row>
    <row r="942" spans="1:20" ht="12.75" customHeight="1" x14ac:dyDescent="0.3">
      <c r="A942" s="36"/>
      <c r="B942" s="29"/>
      <c r="C942" s="36" t="s">
        <v>1376</v>
      </c>
      <c r="D942" s="29"/>
      <c r="E942" s="29"/>
      <c r="F942" s="29"/>
      <c r="G942" s="94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1"/>
      <c r="N942" s="451"/>
      <c r="O942" s="452"/>
      <c r="P942" s="452"/>
      <c r="Q942" s="452"/>
      <c r="R942" s="452"/>
      <c r="S942" s="452"/>
      <c r="T942" s="158"/>
    </row>
    <row r="943" spans="1:20" ht="12.75" customHeight="1" x14ac:dyDescent="0.3">
      <c r="A943" s="36"/>
      <c r="B943" s="29"/>
      <c r="C943" s="36" t="s">
        <v>546</v>
      </c>
      <c r="D943" s="29"/>
      <c r="E943" s="29"/>
      <c r="F943" s="29"/>
      <c r="G943" s="94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1"/>
      <c r="N943" s="451"/>
      <c r="O943" s="452"/>
      <c r="P943" s="452"/>
      <c r="Q943" s="452"/>
      <c r="R943" s="452"/>
      <c r="S943" s="452"/>
      <c r="T943" s="158"/>
    </row>
    <row r="944" spans="1:20" ht="12.75" customHeight="1" x14ac:dyDescent="0.3">
      <c r="A944" s="36"/>
      <c r="B944" s="36" t="s">
        <v>1372</v>
      </c>
      <c r="C944" s="95"/>
      <c r="D944" s="29"/>
      <c r="E944" s="29"/>
      <c r="F944" s="29"/>
      <c r="G944" s="94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1"/>
      <c r="N944" s="451"/>
      <c r="O944" s="452"/>
      <c r="P944" s="452"/>
      <c r="Q944" s="452"/>
      <c r="R944" s="452"/>
      <c r="S944" s="452"/>
      <c r="T944" s="158"/>
    </row>
    <row r="945" spans="1:20" ht="12.75" customHeight="1" x14ac:dyDescent="0.3">
      <c r="A945" s="36"/>
      <c r="B945" s="36" t="s">
        <v>48</v>
      </c>
      <c r="C945" s="95"/>
      <c r="D945" s="29"/>
      <c r="E945" s="29"/>
      <c r="F945" s="29"/>
      <c r="G945" s="94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1"/>
      <c r="N945" s="451"/>
      <c r="O945" s="452"/>
      <c r="P945" s="452"/>
      <c r="Q945" s="452"/>
      <c r="R945" s="452"/>
      <c r="S945" s="452"/>
      <c r="T945" s="158"/>
    </row>
    <row r="946" spans="1:20" ht="12.75" customHeight="1" x14ac:dyDescent="0.3">
      <c r="A946" s="36"/>
      <c r="B946" s="36" t="s">
        <v>1301</v>
      </c>
      <c r="C946" s="95"/>
      <c r="D946" s="29"/>
      <c r="E946" s="29"/>
      <c r="F946" s="29"/>
      <c r="G946" s="94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1"/>
      <c r="N946" s="451"/>
      <c r="O946" s="452"/>
      <c r="P946" s="452"/>
      <c r="Q946" s="452"/>
      <c r="R946" s="452"/>
      <c r="S946" s="452"/>
      <c r="T946" s="158"/>
    </row>
    <row r="947" spans="1:20" ht="12.75" customHeight="1" x14ac:dyDescent="0.3">
      <c r="A947" s="36"/>
      <c r="B947" s="29"/>
      <c r="C947" s="36" t="s">
        <v>1373</v>
      </c>
      <c r="D947" s="29"/>
      <c r="E947" s="29"/>
      <c r="F947" s="29"/>
      <c r="G947" s="94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1"/>
      <c r="N947" s="451"/>
      <c r="O947" s="452"/>
      <c r="P947" s="452"/>
      <c r="Q947" s="452"/>
      <c r="R947" s="452"/>
      <c r="S947" s="452"/>
      <c r="T947" s="158"/>
    </row>
    <row r="948" spans="1:20" ht="12.75" customHeight="1" x14ac:dyDescent="0.3">
      <c r="A948" s="36"/>
      <c r="B948" s="29"/>
      <c r="C948" s="36" t="s">
        <v>1374</v>
      </c>
      <c r="D948" s="29"/>
      <c r="E948" s="29"/>
      <c r="F948" s="29"/>
      <c r="G948" s="94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1"/>
      <c r="N948" s="451"/>
      <c r="O948" s="452"/>
      <c r="P948" s="452"/>
      <c r="Q948" s="452"/>
      <c r="R948" s="452"/>
      <c r="S948" s="452"/>
      <c r="T948" s="158"/>
    </row>
    <row r="949" spans="1:20" ht="12.75" customHeight="1" x14ac:dyDescent="0.3">
      <c r="A949" s="29"/>
      <c r="B949" s="29"/>
      <c r="C949" s="29"/>
      <c r="D949" s="29"/>
      <c r="E949" s="29"/>
      <c r="F949" s="29"/>
      <c r="G949" s="29"/>
      <c r="H949" s="29"/>
      <c r="I949" s="457"/>
      <c r="J949" s="339"/>
      <c r="K949" s="339"/>
      <c r="L949" s="339"/>
      <c r="M949" s="339"/>
      <c r="N949" s="339"/>
      <c r="O949" s="282"/>
      <c r="P949" s="282"/>
      <c r="Q949" s="282"/>
      <c r="R949" s="282"/>
      <c r="S949" s="282"/>
      <c r="T949" s="158"/>
    </row>
    <row r="950" spans="1:20" ht="12.75" customHeight="1" x14ac:dyDescent="0.3">
      <c r="A950" s="98" t="s">
        <v>1311</v>
      </c>
      <c r="B950" s="97"/>
      <c r="C950" s="97"/>
      <c r="D950" s="97"/>
      <c r="E950" s="97"/>
      <c r="F950" s="97"/>
      <c r="G950" s="97"/>
      <c r="H950" s="97"/>
      <c r="I950" s="340" t="s">
        <v>754</v>
      </c>
      <c r="J950" s="364"/>
      <c r="K950" s="364"/>
      <c r="L950" s="364" t="s">
        <v>754</v>
      </c>
      <c r="M950" s="364" t="s">
        <v>754</v>
      </c>
      <c r="N950" s="364"/>
      <c r="O950" s="470"/>
      <c r="P950" s="470"/>
      <c r="Q950" s="470"/>
      <c r="R950" s="470"/>
      <c r="S950" s="470"/>
      <c r="T950" s="158"/>
    </row>
    <row r="951" spans="1:20" ht="12.75" customHeight="1" x14ac:dyDescent="0.3">
      <c r="A951" s="29"/>
      <c r="B951" s="29"/>
      <c r="C951" s="29"/>
      <c r="D951" s="29"/>
      <c r="E951" s="29"/>
      <c r="F951" s="29"/>
      <c r="G951" s="29"/>
      <c r="H951" s="29"/>
      <c r="I951" s="342"/>
      <c r="J951" s="339"/>
      <c r="K951" s="339"/>
      <c r="L951" s="339"/>
      <c r="M951" s="339"/>
      <c r="N951" s="339"/>
      <c r="O951" s="282"/>
      <c r="P951" s="282"/>
      <c r="Q951" s="282"/>
      <c r="R951" s="282"/>
      <c r="S951" s="282"/>
      <c r="T951" s="158"/>
    </row>
    <row r="952" spans="1:20" ht="12.75" customHeight="1" x14ac:dyDescent="0.3">
      <c r="A952" s="36" t="s">
        <v>93</v>
      </c>
      <c r="B952" s="29"/>
      <c r="C952" s="29"/>
      <c r="D952" s="29"/>
      <c r="E952" s="29"/>
      <c r="F952" s="29"/>
      <c r="G952" s="36" t="s">
        <v>1264</v>
      </c>
      <c r="H952" s="36" t="s">
        <v>2308</v>
      </c>
      <c r="I952" s="522">
        <f>global!I348</f>
        <v>0</v>
      </c>
      <c r="J952" s="451"/>
      <c r="K952" s="451"/>
      <c r="L952" s="451"/>
      <c r="M952" s="451"/>
      <c r="N952" s="451">
        <f>((DRYDEPaerosol.T+AerosolWashout.T+GasWashout.T+GASABS.aT.wT)/HEIGHT.aT)*AREAFRAC.wT</f>
        <v>1.5876117326674712E-3</v>
      </c>
      <c r="O952" s="451">
        <f>((DRYDEPaerosol.T+AerosolWashout.T+GasWashout.T+GASABS.aT.wT)/HEIGHT.aT)*AREAFRAC.wT</f>
        <v>1.5876117326674712E-3</v>
      </c>
      <c r="P952" s="451">
        <f>((DRYDEPaerosol.T+AerosolWashout.T+GasWashout.T+GASABS.aT.wT)/HEIGHT.aT)*AREAFRAC.wT</f>
        <v>1.5876117326674712E-3</v>
      </c>
      <c r="Q952" s="451">
        <f>((DRYDEPaerosol.T+AerosolWashout.T+GasWashout.T+GASABS.aT.wT)/HEIGHT.aT)*AREAFRAC.wT</f>
        <v>1.5876117326674712E-3</v>
      </c>
      <c r="R952" s="451">
        <f>((DRYDEPaerosol.T+AerosolWashout.T+GasWashout.T+GASABS.aT.wT)/HEIGHT.aT)*AREAFRAC.wT</f>
        <v>1.5876117326674712E-3</v>
      </c>
      <c r="S952" s="452"/>
      <c r="T952" s="158"/>
    </row>
    <row r="953" spans="1:20" ht="12.75" customHeight="1" x14ac:dyDescent="0.3">
      <c r="A953" s="36" t="s">
        <v>94</v>
      </c>
      <c r="B953" s="29"/>
      <c r="C953" s="29"/>
      <c r="D953" s="29"/>
      <c r="E953" s="29"/>
      <c r="F953" s="29"/>
      <c r="G953" s="36" t="s">
        <v>1367</v>
      </c>
      <c r="H953" s="36" t="s">
        <v>2308</v>
      </c>
      <c r="I953" s="522">
        <f>global!I349</f>
        <v>0</v>
      </c>
      <c r="J953" s="451"/>
      <c r="K953" s="451"/>
      <c r="L953" s="451"/>
      <c r="M953" s="451"/>
      <c r="N953" s="451">
        <f>((DRYDEPaerosol.T+AerosolWashout.T+GasWashout.T+GASABS.aT.sT)/HEIGHT.aT)*AREAFRAC.sT</f>
        <v>6.7957943825524929E-4</v>
      </c>
      <c r="O953" s="451">
        <f>((DRYDEPaerosol.T+AerosolWashout.T+GasWashout.T+GASABS.aT.sT)/HEIGHT.aT)*AREAFRAC.sT</f>
        <v>6.7957943825524929E-4</v>
      </c>
      <c r="P953" s="451">
        <f>((DRYDEPaerosol.T+AerosolWashout.T+GasWashout.T+GASABS.aT.sT)/HEIGHT.aT)*AREAFRAC.sT</f>
        <v>6.7957943825524929E-4</v>
      </c>
      <c r="Q953" s="451">
        <f>((DRYDEPaerosol.T+AerosolWashout.T+GasWashout.T+GASABS.aT.sT)/HEIGHT.aT)*AREAFRAC.sT</f>
        <v>6.7957943825524929E-4</v>
      </c>
      <c r="R953" s="451">
        <f>((DRYDEPaerosol.T+AerosolWashout.T+GasWashout.T+GASABS.aT.sT)/HEIGHT.aT)*AREAFRAC.sT</f>
        <v>6.7957943825524929E-4</v>
      </c>
      <c r="S953" s="452"/>
      <c r="T953" s="158"/>
    </row>
    <row r="954" spans="1:20" ht="12.75" customHeight="1" x14ac:dyDescent="0.3">
      <c r="A954" s="36" t="s">
        <v>95</v>
      </c>
      <c r="B954" s="29"/>
      <c r="C954" s="29"/>
      <c r="D954" s="29"/>
      <c r="E954" s="29"/>
      <c r="F954" s="29"/>
      <c r="G954" s="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1"/>
      <c r="N954" s="451"/>
      <c r="O954" s="452"/>
      <c r="P954" s="452"/>
      <c r="Q954" s="452"/>
      <c r="R954" s="452"/>
      <c r="S954" s="452"/>
      <c r="T954" s="158"/>
    </row>
    <row r="955" spans="1:20" ht="12.75" customHeight="1" x14ac:dyDescent="0.3">
      <c r="A955" s="36" t="s">
        <v>96</v>
      </c>
      <c r="B955" s="29"/>
      <c r="C955" s="29"/>
      <c r="D955" s="29"/>
      <c r="E955" s="29"/>
      <c r="F955" s="29"/>
      <c r="G955" s="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1"/>
      <c r="N955" s="451"/>
      <c r="O955" s="452"/>
      <c r="P955" s="452"/>
      <c r="Q955" s="452"/>
      <c r="R955" s="452"/>
      <c r="S955" s="452"/>
      <c r="T955" s="158"/>
    </row>
    <row r="956" spans="1:20" ht="12.75" customHeight="1" x14ac:dyDescent="0.3">
      <c r="A956" s="36"/>
      <c r="B956" s="36" t="s">
        <v>2266</v>
      </c>
      <c r="C956" s="29"/>
      <c r="D956" s="29"/>
      <c r="E956" s="29"/>
      <c r="F956" s="29"/>
      <c r="G956" s="37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1"/>
      <c r="N956" s="451"/>
      <c r="O956" s="452"/>
      <c r="P956" s="452"/>
      <c r="Q956" s="452"/>
      <c r="R956" s="452"/>
      <c r="S956" s="452"/>
      <c r="T956" s="158"/>
    </row>
    <row r="957" spans="1:20" ht="12.75" customHeight="1" x14ac:dyDescent="0.3">
      <c r="A957" s="36"/>
      <c r="B957" s="36"/>
      <c r="C957" s="29" t="s">
        <v>2267</v>
      </c>
      <c r="D957" s="29"/>
      <c r="E957" s="29"/>
      <c r="F957" s="29"/>
      <c r="G957" s="37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1"/>
      <c r="N957" s="451"/>
      <c r="O957" s="452"/>
      <c r="P957" s="452"/>
      <c r="Q957" s="452"/>
      <c r="R957" s="452"/>
      <c r="S957" s="452"/>
      <c r="T957" s="158"/>
    </row>
    <row r="958" spans="1:20" ht="12.75" customHeight="1" x14ac:dyDescent="0.3">
      <c r="A958" s="36"/>
      <c r="B958" s="36"/>
      <c r="C958" s="36"/>
      <c r="D958" s="36" t="s">
        <v>3977</v>
      </c>
      <c r="E958" s="29"/>
      <c r="F958" s="29"/>
      <c r="G958" s="37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1"/>
      <c r="N958" s="451"/>
      <c r="O958" s="452"/>
      <c r="P958" s="452"/>
      <c r="Q958" s="452"/>
      <c r="R958" s="452"/>
      <c r="S958" s="452"/>
      <c r="T958" s="158"/>
    </row>
    <row r="959" spans="1:20" ht="12.75" customHeight="1" x14ac:dyDescent="0.3">
      <c r="A959" s="36"/>
      <c r="B959" s="36"/>
      <c r="C959" s="36"/>
      <c r="D959" s="36" t="s">
        <v>3978</v>
      </c>
      <c r="E959" s="29"/>
      <c r="F959" s="29"/>
      <c r="G959" s="37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1"/>
      <c r="N959" s="451"/>
      <c r="O959" s="452"/>
      <c r="P959" s="452"/>
      <c r="Q959" s="452"/>
      <c r="R959" s="452"/>
      <c r="S959" s="452"/>
      <c r="T959" s="158"/>
    </row>
    <row r="960" spans="1:20" ht="12.75" customHeight="1" x14ac:dyDescent="0.3">
      <c r="A960" s="36"/>
      <c r="B960" s="29" t="s">
        <v>929</v>
      </c>
      <c r="C960" s="29"/>
      <c r="D960" s="29"/>
      <c r="E960" s="29"/>
      <c r="F960" s="29"/>
      <c r="G960" s="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1"/>
      <c r="N960" s="451"/>
      <c r="O960" s="452"/>
      <c r="P960" s="452"/>
      <c r="Q960" s="452"/>
      <c r="R960" s="452"/>
      <c r="S960" s="452"/>
      <c r="T960" s="158"/>
    </row>
    <row r="961" spans="1:20" ht="12.75" customHeight="1" x14ac:dyDescent="0.3">
      <c r="A961" s="36"/>
      <c r="B961" s="29" t="s">
        <v>931</v>
      </c>
      <c r="C961" s="29"/>
      <c r="D961" s="29"/>
      <c r="E961" s="29"/>
      <c r="F961" s="29"/>
      <c r="G961" s="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1"/>
      <c r="N961" s="451"/>
      <c r="O961" s="452"/>
      <c r="P961" s="452"/>
      <c r="Q961" s="452"/>
      <c r="R961" s="452"/>
      <c r="S961" s="452"/>
      <c r="T961" s="158"/>
    </row>
    <row r="962" spans="1:20" ht="12.75" customHeight="1" x14ac:dyDescent="0.3">
      <c r="A962" s="36"/>
      <c r="B962" s="36" t="s">
        <v>493</v>
      </c>
      <c r="C962" s="29"/>
      <c r="D962" s="29"/>
      <c r="E962" s="29"/>
      <c r="F962" s="29"/>
      <c r="G962" s="94" t="s">
        <v>953</v>
      </c>
      <c r="H962" s="30" t="s">
        <v>2322</v>
      </c>
      <c r="I962" s="522">
        <f>global!I358</f>
        <v>0</v>
      </c>
      <c r="J962" s="451"/>
      <c r="K962" s="451"/>
      <c r="L962" s="451"/>
      <c r="M962" s="451"/>
      <c r="N962" s="451">
        <f>AEROSOLdeprate.T*FRaers.aT</f>
        <v>2.3537793839004767E-5</v>
      </c>
      <c r="O962" s="451">
        <f>AEROSOLdeprate.T*FRaers.aT</f>
        <v>2.3537793839004767E-5</v>
      </c>
      <c r="P962" s="451">
        <f>AEROSOLdeprate.T*FRaers.aT</f>
        <v>2.3537793839004767E-5</v>
      </c>
      <c r="Q962" s="451">
        <f>AEROSOLdeprate.T*FRaers.aT</f>
        <v>2.3537793839004767E-5</v>
      </c>
      <c r="R962" s="451">
        <f>AEROSOLdeprate.T*FRaers.aT</f>
        <v>2.3537793839004767E-5</v>
      </c>
      <c r="S962" s="452"/>
      <c r="T962" s="158"/>
    </row>
    <row r="963" spans="1:20" ht="12.75" customHeight="1" x14ac:dyDescent="0.3">
      <c r="A963" s="36"/>
      <c r="B963" s="36" t="s">
        <v>745</v>
      </c>
      <c r="C963" s="29"/>
      <c r="D963" s="29"/>
      <c r="E963" s="29"/>
      <c r="F963" s="29"/>
      <c r="G963" s="37" t="s">
        <v>1400</v>
      </c>
      <c r="H963" s="95" t="s">
        <v>2322</v>
      </c>
      <c r="I963" s="522">
        <f>global!I359</f>
        <v>0</v>
      </c>
      <c r="J963" s="451"/>
      <c r="K963" s="451"/>
      <c r="L963" s="451"/>
      <c r="M963" s="451"/>
      <c r="N963" s="451">
        <f t="shared" ref="N963:R963" si="29">(1-FRgas.aT)*COLLECTeff.T*RAINrate.T</f>
        <v>1.9460105841749811E-4</v>
      </c>
      <c r="O963" s="452">
        <f t="shared" si="29"/>
        <v>1.9460105841749811E-4</v>
      </c>
      <c r="P963" s="452">
        <f t="shared" si="29"/>
        <v>1.9460105841749811E-4</v>
      </c>
      <c r="Q963" s="452">
        <f t="shared" si="29"/>
        <v>1.9460105841749811E-4</v>
      </c>
      <c r="R963" s="452">
        <f t="shared" si="29"/>
        <v>1.9460105841749811E-4</v>
      </c>
      <c r="S963" s="452"/>
      <c r="T963" s="158"/>
    </row>
    <row r="964" spans="1:20" ht="12.75" customHeight="1" x14ac:dyDescent="0.3">
      <c r="A964" s="36"/>
      <c r="B964" s="36" t="s">
        <v>746</v>
      </c>
      <c r="C964" s="29"/>
      <c r="D964" s="29"/>
      <c r="E964" s="29"/>
      <c r="F964" s="29"/>
      <c r="G964" s="37" t="s">
        <v>1401</v>
      </c>
      <c r="H964" s="95" t="s">
        <v>2322</v>
      </c>
      <c r="I964" s="522">
        <f>global!I360</f>
        <v>0</v>
      </c>
      <c r="J964" s="451"/>
      <c r="K964" s="451"/>
      <c r="L964" s="451"/>
      <c r="M964" s="451"/>
      <c r="N964" s="451">
        <f t="shared" ref="N964:R964" si="30">FRgas.aT*RAINrate.T/Kaw.T</f>
        <v>0.13565904295464432</v>
      </c>
      <c r="O964" s="452">
        <f t="shared" si="30"/>
        <v>0.13565904295464432</v>
      </c>
      <c r="P964" s="452">
        <f t="shared" si="30"/>
        <v>0.13565904295464432</v>
      </c>
      <c r="Q964" s="452">
        <f t="shared" si="30"/>
        <v>0.13565904295464432</v>
      </c>
      <c r="R964" s="452">
        <f t="shared" si="30"/>
        <v>0.13565904295464432</v>
      </c>
      <c r="S964" s="452"/>
      <c r="T964" s="158"/>
    </row>
    <row r="965" spans="1:20" ht="12.75" customHeight="1" x14ac:dyDescent="0.3">
      <c r="A965" s="36"/>
      <c r="B965" s="29"/>
      <c r="C965" s="95" t="s">
        <v>747</v>
      </c>
      <c r="D965" s="95"/>
      <c r="E965" s="95"/>
      <c r="F965" s="95"/>
      <c r="G965" s="94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1"/>
      <c r="N965" s="451"/>
      <c r="O965" s="452"/>
      <c r="P965" s="452"/>
      <c r="Q965" s="452"/>
      <c r="R965" s="452"/>
      <c r="S965" s="452"/>
      <c r="T965" s="158"/>
    </row>
    <row r="966" spans="1:20" ht="12.75" customHeight="1" x14ac:dyDescent="0.3">
      <c r="A966" s="36"/>
      <c r="B966" s="29"/>
      <c r="C966" s="36" t="s">
        <v>748</v>
      </c>
      <c r="D966" s="95"/>
      <c r="E966" s="95"/>
      <c r="F966" s="95"/>
      <c r="G966" s="94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1"/>
      <c r="N966" s="451"/>
      <c r="O966" s="452"/>
      <c r="P966" s="452"/>
      <c r="Q966" s="452"/>
      <c r="R966" s="452"/>
      <c r="S966" s="452"/>
      <c r="T966" s="158"/>
    </row>
    <row r="967" spans="1:20" ht="12.75" customHeight="1" x14ac:dyDescent="0.3">
      <c r="A967" s="36"/>
      <c r="B967" s="29"/>
      <c r="C967" s="36" t="s">
        <v>444</v>
      </c>
      <c r="D967" s="29"/>
      <c r="E967" s="29"/>
      <c r="F967" s="29"/>
      <c r="G967" s="94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1"/>
      <c r="N967" s="451"/>
      <c r="O967" s="452"/>
      <c r="P967" s="452"/>
      <c r="Q967" s="452"/>
      <c r="R967" s="452"/>
      <c r="S967" s="452"/>
      <c r="T967" s="158"/>
    </row>
    <row r="968" spans="1:20" ht="12.75" customHeight="1" x14ac:dyDescent="0.3">
      <c r="A968" s="36"/>
      <c r="B968" s="36" t="s">
        <v>2218</v>
      </c>
      <c r="C968" s="29"/>
      <c r="D968" s="29"/>
      <c r="E968" s="95"/>
      <c r="F968" s="95"/>
      <c r="G968" s="37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1"/>
      <c r="N968" s="451"/>
      <c r="O968" s="452"/>
      <c r="P968" s="452"/>
      <c r="Q968" s="452"/>
      <c r="R968" s="452"/>
      <c r="S968" s="452"/>
      <c r="T968" s="158"/>
    </row>
    <row r="969" spans="1:20" ht="12.75" customHeight="1" x14ac:dyDescent="0.3">
      <c r="A969" s="36"/>
      <c r="B969" s="36" t="s">
        <v>2219</v>
      </c>
      <c r="C969" s="29"/>
      <c r="D969" s="29"/>
      <c r="E969" s="95"/>
      <c r="F969" s="95"/>
      <c r="G969" s="37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1"/>
      <c r="N969" s="451"/>
      <c r="O969" s="452"/>
      <c r="P969" s="452"/>
      <c r="Q969" s="452"/>
      <c r="R969" s="452"/>
      <c r="S969" s="452"/>
      <c r="T969" s="158"/>
    </row>
    <row r="970" spans="1:20" ht="12.75" customHeight="1" x14ac:dyDescent="0.3">
      <c r="A970" s="36"/>
      <c r="B970" s="36" t="s">
        <v>2270</v>
      </c>
      <c r="C970" s="29"/>
      <c r="D970" s="29"/>
      <c r="E970" s="29"/>
      <c r="F970" s="29"/>
      <c r="G970" s="37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1"/>
      <c r="N970" s="451"/>
      <c r="O970" s="452"/>
      <c r="P970" s="452"/>
      <c r="Q970" s="452"/>
      <c r="R970" s="452"/>
      <c r="S970" s="452"/>
      <c r="T970" s="158"/>
    </row>
    <row r="971" spans="1:20" ht="12.75" customHeight="1" x14ac:dyDescent="0.3">
      <c r="A971" s="36"/>
      <c r="B971" s="36" t="s">
        <v>2272</v>
      </c>
      <c r="C971" s="29"/>
      <c r="D971" s="29"/>
      <c r="E971" s="95"/>
      <c r="F971" s="95"/>
      <c r="G971" s="37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1"/>
      <c r="N971" s="451"/>
      <c r="O971" s="452"/>
      <c r="P971" s="452"/>
      <c r="Q971" s="452"/>
      <c r="R971" s="452"/>
      <c r="S971" s="452"/>
      <c r="T971" s="158"/>
    </row>
    <row r="972" spans="1:20" ht="12.75" customHeight="1" x14ac:dyDescent="0.3">
      <c r="A972" s="29"/>
      <c r="B972" s="36"/>
      <c r="C972" s="29" t="s">
        <v>1077</v>
      </c>
      <c r="D972" s="29"/>
      <c r="E972" s="29"/>
      <c r="F972" s="29"/>
      <c r="G972" s="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1"/>
      <c r="N972" s="451"/>
      <c r="O972" s="452"/>
      <c r="P972" s="452"/>
      <c r="Q972" s="452"/>
      <c r="R972" s="452"/>
      <c r="S972" s="452"/>
      <c r="T972" s="158"/>
    </row>
    <row r="973" spans="1:20" ht="12.75" customHeight="1" x14ac:dyDescent="0.3">
      <c r="A973" s="29"/>
      <c r="B973" s="36"/>
      <c r="C973" s="29" t="s">
        <v>1048</v>
      </c>
      <c r="D973" s="29"/>
      <c r="E973" s="29"/>
      <c r="F973" s="29"/>
      <c r="G973" s="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1"/>
      <c r="N973" s="451"/>
      <c r="O973" s="452"/>
      <c r="P973" s="452"/>
      <c r="Q973" s="452"/>
      <c r="R973" s="452"/>
      <c r="S973" s="452"/>
      <c r="T973" s="158"/>
    </row>
    <row r="974" spans="1:20" ht="12.75" customHeight="1" x14ac:dyDescent="0.3">
      <c r="A974" s="36"/>
      <c r="B974" s="29"/>
      <c r="C974" s="29"/>
      <c r="D974" s="95" t="s">
        <v>705</v>
      </c>
      <c r="E974" s="29"/>
      <c r="F974" s="29"/>
      <c r="G974" s="37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1"/>
      <c r="N974" s="451"/>
      <c r="O974" s="452"/>
      <c r="P974" s="452"/>
      <c r="Q974" s="452"/>
      <c r="R974" s="452"/>
      <c r="S974" s="452"/>
      <c r="T974" s="158"/>
    </row>
    <row r="975" spans="1:20" ht="12.75" customHeight="1" x14ac:dyDescent="0.3">
      <c r="A975" s="29"/>
      <c r="B975" s="36"/>
      <c r="C975" s="29" t="s">
        <v>1049</v>
      </c>
      <c r="D975" s="29"/>
      <c r="E975" s="95"/>
      <c r="F975" s="95"/>
      <c r="G975" s="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1"/>
      <c r="N975" s="451"/>
      <c r="O975" s="452"/>
      <c r="P975" s="452"/>
      <c r="Q975" s="452"/>
      <c r="R975" s="452"/>
      <c r="S975" s="452"/>
      <c r="T975" s="158"/>
    </row>
    <row r="976" spans="1:20" ht="12.75" customHeight="1" x14ac:dyDescent="0.3">
      <c r="A976" s="29"/>
      <c r="B976" s="36"/>
      <c r="C976" s="29" t="s">
        <v>872</v>
      </c>
      <c r="D976" s="29"/>
      <c r="E976" s="29"/>
      <c r="F976" s="29"/>
      <c r="G976" s="29" t="s">
        <v>4034</v>
      </c>
      <c r="H976" s="95" t="s">
        <v>2322</v>
      </c>
      <c r="I976" s="522">
        <f>global!I372</f>
        <v>0</v>
      </c>
      <c r="J976" s="451"/>
      <c r="K976" s="451"/>
      <c r="L976" s="451"/>
      <c r="M976" s="451"/>
      <c r="N976" s="451">
        <v>2.5308522804345867E-8</v>
      </c>
      <c r="O976" s="452">
        <v>2.5308522804345867E-8</v>
      </c>
      <c r="P976" s="452">
        <v>2.5308522804345867E-8</v>
      </c>
      <c r="Q976" s="452">
        <v>2.5308522804345867E-8</v>
      </c>
      <c r="R976" s="452"/>
      <c r="S976" s="452">
        <v>2.5308522804345867E-8</v>
      </c>
      <c r="T976" s="158"/>
    </row>
    <row r="977" spans="1:20" ht="12.75" customHeight="1" x14ac:dyDescent="0.3">
      <c r="A977" s="29"/>
      <c r="B977" s="36"/>
      <c r="C977" s="29" t="s">
        <v>185</v>
      </c>
      <c r="D977" s="29"/>
      <c r="E977" s="95"/>
      <c r="F977" s="29"/>
      <c r="G977" s="37" t="s">
        <v>811</v>
      </c>
      <c r="H977" s="29" t="s">
        <v>36</v>
      </c>
      <c r="I977" s="522">
        <f>global!I373</f>
        <v>0</v>
      </c>
      <c r="J977" s="451"/>
      <c r="K977" s="451"/>
      <c r="L977" s="451"/>
      <c r="M977" s="451"/>
      <c r="N977" s="451">
        <v>1</v>
      </c>
      <c r="O977" s="452">
        <v>1</v>
      </c>
      <c r="P977" s="452">
        <v>1</v>
      </c>
      <c r="Q977" s="452">
        <v>1</v>
      </c>
      <c r="R977" s="452"/>
      <c r="S977" s="452">
        <v>1</v>
      </c>
      <c r="T977" s="158"/>
    </row>
    <row r="978" spans="1:20" ht="12.75" customHeight="1" x14ac:dyDescent="0.3">
      <c r="A978" s="29"/>
      <c r="B978" s="29"/>
      <c r="C978" s="29"/>
      <c r="D978" s="29"/>
      <c r="E978" s="29"/>
      <c r="F978" s="29"/>
      <c r="G978" s="29"/>
      <c r="H978" s="29"/>
      <c r="I978" s="527"/>
      <c r="J978" s="459"/>
      <c r="K978" s="459"/>
      <c r="L978" s="459"/>
      <c r="M978" s="459"/>
      <c r="N978" s="459"/>
      <c r="O978" s="460"/>
      <c r="P978" s="460"/>
      <c r="Q978" s="460"/>
      <c r="R978" s="460"/>
      <c r="S978" s="460"/>
      <c r="T978" s="158"/>
    </row>
    <row r="979" spans="1:20" ht="12.75" customHeight="1" x14ac:dyDescent="0.3">
      <c r="A979" s="36" t="s">
        <v>97</v>
      </c>
      <c r="B979" s="29"/>
      <c r="C979" s="29"/>
      <c r="D979" s="29"/>
      <c r="E979" s="29"/>
      <c r="F979" s="29"/>
      <c r="G979" s="37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1"/>
      <c r="N979" s="451"/>
      <c r="O979" s="452"/>
      <c r="P979" s="452"/>
      <c r="Q979" s="452"/>
      <c r="R979" s="452"/>
      <c r="S979" s="452"/>
      <c r="T979" s="158"/>
    </row>
    <row r="980" spans="1:20" ht="12.75" customHeight="1" x14ac:dyDescent="0.3">
      <c r="A980" s="36" t="s">
        <v>98</v>
      </c>
      <c r="B980" s="29"/>
      <c r="C980" s="29"/>
      <c r="D980" s="29"/>
      <c r="E980" s="29"/>
      <c r="F980" s="29"/>
      <c r="G980" s="37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1"/>
      <c r="N980" s="451"/>
      <c r="O980" s="452"/>
      <c r="P980" s="452"/>
      <c r="Q980" s="452"/>
      <c r="R980" s="452"/>
      <c r="S980" s="452"/>
      <c r="T980" s="158"/>
    </row>
    <row r="981" spans="1:20" ht="12.75" customHeight="1" x14ac:dyDescent="0.3">
      <c r="A981" s="36"/>
      <c r="B981" s="36" t="s">
        <v>2273</v>
      </c>
      <c r="C981" s="29"/>
      <c r="D981" s="29"/>
      <c r="E981" s="29"/>
      <c r="F981" s="29"/>
      <c r="G981" s="37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1"/>
      <c r="N981" s="451"/>
      <c r="O981" s="452"/>
      <c r="P981" s="452"/>
      <c r="Q981" s="452"/>
      <c r="R981" s="452"/>
      <c r="S981" s="452"/>
      <c r="T981" s="158"/>
    </row>
    <row r="982" spans="1:20" ht="12.75" customHeight="1" x14ac:dyDescent="0.3">
      <c r="A982" s="36"/>
      <c r="B982" s="36" t="s">
        <v>2274</v>
      </c>
      <c r="C982" s="29"/>
      <c r="D982" s="29"/>
      <c r="E982" s="29"/>
      <c r="F982" s="29"/>
      <c r="G982" s="37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1"/>
      <c r="N982" s="451"/>
      <c r="O982" s="452"/>
      <c r="P982" s="452"/>
      <c r="Q982" s="452"/>
      <c r="R982" s="452"/>
      <c r="S982" s="452"/>
      <c r="T982" s="158"/>
    </row>
    <row r="983" spans="1:20" ht="12.75" customHeight="1" x14ac:dyDescent="0.3">
      <c r="A983" s="29"/>
      <c r="B983" s="36"/>
      <c r="C983" s="36" t="s">
        <v>1228</v>
      </c>
      <c r="D983" s="29"/>
      <c r="E983" s="29"/>
      <c r="F983" s="29"/>
      <c r="G983" s="94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1"/>
      <c r="N983" s="451"/>
      <c r="O983" s="452"/>
      <c r="P983" s="452"/>
      <c r="Q983" s="452"/>
      <c r="R983" s="452"/>
      <c r="S983" s="452"/>
      <c r="T983" s="158"/>
    </row>
    <row r="984" spans="1:20" ht="12.75" customHeight="1" x14ac:dyDescent="0.3">
      <c r="A984" s="36"/>
      <c r="B984" s="29"/>
      <c r="C984" s="36"/>
      <c r="D984" s="36" t="s">
        <v>582</v>
      </c>
      <c r="E984" s="95"/>
      <c r="F984" s="95"/>
      <c r="G984" s="94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1"/>
      <c r="N984" s="451"/>
      <c r="O984" s="452"/>
      <c r="P984" s="452"/>
      <c r="Q984" s="452"/>
      <c r="R984" s="452"/>
      <c r="S984" s="452"/>
      <c r="T984" s="158"/>
    </row>
    <row r="985" spans="1:20" ht="12.75" customHeight="1" x14ac:dyDescent="0.3">
      <c r="A985" s="36"/>
      <c r="B985" s="29"/>
      <c r="C985" s="36"/>
      <c r="D985" s="36" t="s">
        <v>565</v>
      </c>
      <c r="E985" s="95"/>
      <c r="F985" s="95"/>
      <c r="G985" s="94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1"/>
      <c r="N985" s="451"/>
      <c r="O985" s="452"/>
      <c r="P985" s="452"/>
      <c r="Q985" s="452"/>
      <c r="R985" s="452"/>
      <c r="S985" s="452"/>
      <c r="T985" s="158"/>
    </row>
    <row r="986" spans="1:20" ht="12.75" customHeight="1" x14ac:dyDescent="0.3">
      <c r="A986" s="29"/>
      <c r="B986" s="36"/>
      <c r="C986" s="36"/>
      <c r="D986" s="36"/>
      <c r="E986" s="36" t="s">
        <v>803</v>
      </c>
      <c r="F986" s="36"/>
      <c r="G986" s="94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1"/>
      <c r="N986" s="451"/>
      <c r="O986" s="452"/>
      <c r="P986" s="452"/>
      <c r="Q986" s="452"/>
      <c r="R986" s="452"/>
      <c r="S986" s="452"/>
      <c r="T986" s="158"/>
    </row>
    <row r="987" spans="1:20" ht="12.75" customHeight="1" x14ac:dyDescent="0.3">
      <c r="A987" s="29"/>
      <c r="B987" s="29" t="s">
        <v>2275</v>
      </c>
      <c r="C987" s="95"/>
      <c r="D987" s="95"/>
      <c r="E987" s="29"/>
      <c r="F987" s="29"/>
      <c r="G987" s="37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1"/>
      <c r="N987" s="451"/>
      <c r="O987" s="452"/>
      <c r="P987" s="452"/>
      <c r="Q987" s="452"/>
      <c r="R987" s="452"/>
      <c r="S987" s="452"/>
      <c r="T987" s="158"/>
    </row>
    <row r="988" spans="1:20" ht="12.75" customHeight="1" x14ac:dyDescent="0.3">
      <c r="A988" s="29"/>
      <c r="B988" s="29" t="s">
        <v>2276</v>
      </c>
      <c r="C988" s="95"/>
      <c r="D988" s="95"/>
      <c r="E988" s="29"/>
      <c r="F988" s="29"/>
      <c r="G988" s="37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1"/>
      <c r="N988" s="451"/>
      <c r="O988" s="452"/>
      <c r="P988" s="452"/>
      <c r="Q988" s="452"/>
      <c r="R988" s="452"/>
      <c r="S988" s="452"/>
      <c r="T988" s="158"/>
    </row>
    <row r="989" spans="1:20" ht="12.75" customHeight="1" x14ac:dyDescent="0.3">
      <c r="A989" s="29"/>
      <c r="B989" s="36"/>
      <c r="C989" s="29" t="s">
        <v>1076</v>
      </c>
      <c r="D989" s="29"/>
      <c r="E989" s="29"/>
      <c r="F989" s="29"/>
      <c r="G989" s="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1"/>
      <c r="N989" s="451"/>
      <c r="O989" s="452"/>
      <c r="P989" s="452"/>
      <c r="Q989" s="452"/>
      <c r="R989" s="452"/>
      <c r="S989" s="452"/>
      <c r="T989" s="158"/>
    </row>
    <row r="990" spans="1:20" ht="12.75" customHeight="1" x14ac:dyDescent="0.3">
      <c r="A990" s="29"/>
      <c r="B990" s="36"/>
      <c r="C990" s="29" t="s">
        <v>1230</v>
      </c>
      <c r="D990" s="29"/>
      <c r="E990" s="29"/>
      <c r="F990" s="29"/>
      <c r="G990" s="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1"/>
      <c r="N990" s="451"/>
      <c r="O990" s="452"/>
      <c r="P990" s="452"/>
      <c r="Q990" s="452"/>
      <c r="R990" s="452"/>
      <c r="S990" s="452"/>
      <c r="T990" s="158"/>
    </row>
    <row r="991" spans="1:20" ht="12.75" customHeight="1" x14ac:dyDescent="0.3">
      <c r="A991" s="29"/>
      <c r="B991" s="29"/>
      <c r="C991" s="29"/>
      <c r="D991" s="29"/>
      <c r="E991" s="29"/>
      <c r="F991" s="29"/>
      <c r="G991" s="29"/>
      <c r="H991" s="29"/>
      <c r="I991" s="527"/>
      <c r="J991" s="459"/>
      <c r="K991" s="459"/>
      <c r="L991" s="459"/>
      <c r="M991" s="459"/>
      <c r="N991" s="459"/>
      <c r="O991" s="460"/>
      <c r="P991" s="460"/>
      <c r="Q991" s="460"/>
      <c r="R991" s="460"/>
      <c r="S991" s="460"/>
      <c r="T991" s="158"/>
    </row>
    <row r="992" spans="1:20" ht="12.75" customHeight="1" x14ac:dyDescent="0.3">
      <c r="A992" s="36" t="s">
        <v>99</v>
      </c>
      <c r="B992" s="29"/>
      <c r="C992" s="29"/>
      <c r="D992" s="29"/>
      <c r="E992" s="29"/>
      <c r="F992" s="29"/>
      <c r="G992" s="37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1"/>
      <c r="N992" s="451"/>
      <c r="O992" s="452"/>
      <c r="P992" s="452"/>
      <c r="Q992" s="452"/>
      <c r="R992" s="452"/>
      <c r="S992" s="452"/>
      <c r="T992" s="158"/>
    </row>
    <row r="993" spans="1:20" ht="12.75" customHeight="1" x14ac:dyDescent="0.3">
      <c r="A993" s="29"/>
      <c r="B993" s="95" t="s">
        <v>211</v>
      </c>
      <c r="C993" s="29"/>
      <c r="D993" s="29"/>
      <c r="E993" s="29"/>
      <c r="F993" s="29"/>
      <c r="G993" s="94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1"/>
      <c r="N993" s="451"/>
      <c r="O993" s="452"/>
      <c r="P993" s="452"/>
      <c r="Q993" s="452"/>
      <c r="R993" s="452"/>
      <c r="S993" s="452"/>
      <c r="T993" s="158"/>
    </row>
    <row r="994" spans="1:20" ht="12.75" customHeight="1" x14ac:dyDescent="0.3">
      <c r="A994" s="29"/>
      <c r="B994" s="36" t="s">
        <v>1002</v>
      </c>
      <c r="C994" s="29"/>
      <c r="D994" s="29"/>
      <c r="E994" s="29"/>
      <c r="F994" s="29"/>
      <c r="G994" s="94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1"/>
      <c r="N994" s="451"/>
      <c r="O994" s="452"/>
      <c r="P994" s="452"/>
      <c r="Q994" s="452"/>
      <c r="R994" s="452"/>
      <c r="S994" s="452"/>
      <c r="T994" s="158"/>
    </row>
    <row r="995" spans="1:20" ht="12.75" customHeight="1" x14ac:dyDescent="0.3">
      <c r="A995" s="36"/>
      <c r="B995" s="29" t="s">
        <v>185</v>
      </c>
      <c r="C995" s="29"/>
      <c r="D995" s="95"/>
      <c r="E995" s="95"/>
      <c r="F995" s="95"/>
      <c r="G995" s="37" t="s">
        <v>874</v>
      </c>
      <c r="H995" s="29" t="s">
        <v>36</v>
      </c>
      <c r="I995" s="522">
        <f>global!I391</f>
        <v>0</v>
      </c>
      <c r="J995" s="451"/>
      <c r="K995" s="451"/>
      <c r="L995" s="451"/>
      <c r="M995" s="451"/>
      <c r="N995" s="451">
        <v>1</v>
      </c>
      <c r="O995" s="452">
        <v>1</v>
      </c>
      <c r="P995" s="452">
        <v>1</v>
      </c>
      <c r="Q995" s="452">
        <v>1</v>
      </c>
      <c r="R995" s="452"/>
      <c r="S995" s="452">
        <v>1</v>
      </c>
      <c r="T995" s="158"/>
    </row>
    <row r="996" spans="1:20" ht="12.75" customHeight="1" x14ac:dyDescent="0.3">
      <c r="A996" s="29"/>
      <c r="B996" s="29"/>
      <c r="C996" s="29"/>
      <c r="D996" s="29"/>
      <c r="E996" s="29"/>
      <c r="F996" s="29"/>
      <c r="G996" s="29"/>
      <c r="H996" s="29"/>
      <c r="I996" s="457"/>
      <c r="J996" s="339"/>
      <c r="K996" s="339"/>
      <c r="L996" s="339"/>
      <c r="M996" s="339"/>
      <c r="N996" s="339"/>
      <c r="O996" s="282"/>
      <c r="P996" s="282"/>
      <c r="Q996" s="282"/>
      <c r="R996" s="282"/>
      <c r="S996" s="282"/>
      <c r="T996" s="158"/>
    </row>
    <row r="997" spans="1:20" ht="12.75" customHeight="1" x14ac:dyDescent="0.3">
      <c r="A997" s="98" t="s">
        <v>419</v>
      </c>
      <c r="B997" s="97"/>
      <c r="C997" s="97"/>
      <c r="D997" s="97"/>
      <c r="E997" s="97"/>
      <c r="F997" s="97"/>
      <c r="G997" s="97"/>
      <c r="H997" s="97"/>
      <c r="I997" s="340" t="s">
        <v>754</v>
      </c>
      <c r="J997" s="364"/>
      <c r="K997" s="364"/>
      <c r="L997" s="364" t="s">
        <v>754</v>
      </c>
      <c r="M997" s="364" t="s">
        <v>754</v>
      </c>
      <c r="N997" s="364"/>
      <c r="O997" s="470"/>
      <c r="P997" s="470"/>
      <c r="Q997" s="470"/>
      <c r="R997" s="470"/>
      <c r="S997" s="470"/>
      <c r="T997" s="158"/>
    </row>
    <row r="998" spans="1:20" ht="12.75" customHeight="1" x14ac:dyDescent="0.3">
      <c r="A998" s="36"/>
      <c r="B998" s="29"/>
      <c r="C998" s="29"/>
      <c r="D998" s="29"/>
      <c r="E998" s="29"/>
      <c r="F998" s="29"/>
      <c r="G998" s="29"/>
      <c r="H998" s="29"/>
      <c r="I998" s="342"/>
      <c r="J998" s="339"/>
      <c r="K998" s="339"/>
      <c r="L998" s="339"/>
      <c r="M998" s="339"/>
      <c r="N998" s="339"/>
      <c r="O998" s="282"/>
      <c r="P998" s="282"/>
      <c r="Q998" s="282"/>
      <c r="R998" s="282"/>
      <c r="S998" s="282"/>
      <c r="T998" s="158"/>
    </row>
    <row r="999" spans="1:20" ht="12.75" customHeight="1" x14ac:dyDescent="0.3">
      <c r="A999" s="36" t="s">
        <v>224</v>
      </c>
      <c r="B999" s="29"/>
      <c r="C999" s="29"/>
      <c r="D999" s="29"/>
      <c r="E999" s="29"/>
      <c r="F999" s="29"/>
      <c r="G999" s="37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1"/>
      <c r="N999" s="451"/>
      <c r="O999" s="452"/>
      <c r="P999" s="452"/>
      <c r="Q999" s="452"/>
      <c r="R999" s="452"/>
      <c r="S999" s="452"/>
      <c r="T999" s="158"/>
    </row>
    <row r="1000" spans="1:20" ht="12.75" customHeight="1" x14ac:dyDescent="0.3">
      <c r="A1000" s="36" t="s">
        <v>4013</v>
      </c>
      <c r="B1000" s="29"/>
      <c r="C1000" s="29"/>
      <c r="D1000" s="29"/>
      <c r="E1000" s="29"/>
      <c r="F1000" s="29"/>
      <c r="G1000" s="37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1"/>
      <c r="N1000" s="451"/>
      <c r="O1000" s="452"/>
      <c r="P1000" s="452"/>
      <c r="Q1000" s="452"/>
      <c r="R1000" s="452"/>
      <c r="S1000" s="452"/>
      <c r="T1000" s="158"/>
    </row>
    <row r="1001" spans="1:20" ht="12.75" customHeight="1" x14ac:dyDescent="0.3">
      <c r="A1001" s="36" t="s">
        <v>1168</v>
      </c>
      <c r="B1001" s="29"/>
      <c r="C1001" s="29"/>
      <c r="D1001" s="29"/>
      <c r="E1001" s="29"/>
      <c r="F1001" s="29"/>
      <c r="G1001" s="37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1"/>
      <c r="N1001" s="451"/>
      <c r="O1001" s="452"/>
      <c r="P1001" s="452"/>
      <c r="Q1001" s="452"/>
      <c r="R1001" s="452"/>
      <c r="S1001" s="452"/>
      <c r="T1001" s="158"/>
    </row>
    <row r="1002" spans="1:20" ht="12.75" customHeight="1" x14ac:dyDescent="0.3">
      <c r="A1002" s="36" t="s">
        <v>225</v>
      </c>
      <c r="B1002" s="29"/>
      <c r="C1002" s="29"/>
      <c r="D1002" s="29"/>
      <c r="E1002" s="29"/>
      <c r="F1002" s="29"/>
      <c r="G1002" s="37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1"/>
      <c r="N1002" s="451"/>
      <c r="O1002" s="452"/>
      <c r="P1002" s="452"/>
      <c r="Q1002" s="452"/>
      <c r="R1002" s="452"/>
      <c r="S1002" s="452"/>
      <c r="T1002" s="158"/>
    </row>
    <row r="1003" spans="1:20" ht="12.75" customHeight="1" x14ac:dyDescent="0.3">
      <c r="A1003" s="36" t="s">
        <v>844</v>
      </c>
      <c r="B1003" s="29"/>
      <c r="C1003" s="29"/>
      <c r="D1003" s="29"/>
      <c r="E1003" s="29"/>
      <c r="F1003" s="29"/>
      <c r="G1003" s="37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1"/>
      <c r="N1003" s="451"/>
      <c r="O1003" s="452"/>
      <c r="P1003" s="452"/>
      <c r="Q1003" s="452"/>
      <c r="R1003" s="452"/>
      <c r="S1003" s="452"/>
      <c r="T1003" s="158"/>
    </row>
    <row r="1004" spans="1:20" ht="12.75" customHeight="1" x14ac:dyDescent="0.3">
      <c r="A1004" s="36"/>
      <c r="B1004" s="36" t="s">
        <v>796</v>
      </c>
      <c r="C1004" s="95"/>
      <c r="D1004" s="29"/>
      <c r="E1004" s="29"/>
      <c r="F1004" s="29"/>
      <c r="G1004" s="94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1"/>
      <c r="N1004" s="451"/>
      <c r="O1004" s="452"/>
      <c r="P1004" s="452"/>
      <c r="Q1004" s="452"/>
      <c r="R1004" s="452"/>
      <c r="S1004" s="452"/>
      <c r="T1004" s="158"/>
    </row>
    <row r="1005" spans="1:20" ht="12.75" customHeight="1" x14ac:dyDescent="0.3">
      <c r="A1005" s="36"/>
      <c r="B1005" s="36" t="s">
        <v>797</v>
      </c>
      <c r="C1005" s="29"/>
      <c r="D1005" s="29"/>
      <c r="E1005" s="29"/>
      <c r="F1005" s="29"/>
      <c r="G1005" s="37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1"/>
      <c r="N1005" s="451"/>
      <c r="O1005" s="452"/>
      <c r="P1005" s="452"/>
      <c r="Q1005" s="452"/>
      <c r="R1005" s="452"/>
      <c r="S1005" s="452"/>
      <c r="T1005" s="158"/>
    </row>
    <row r="1006" spans="1:20" ht="12.75" customHeight="1" x14ac:dyDescent="0.3">
      <c r="A1006" s="95"/>
      <c r="B1006" s="95"/>
      <c r="C1006" s="36" t="s">
        <v>514</v>
      </c>
      <c r="D1006" s="29"/>
      <c r="E1006" s="29"/>
      <c r="F1006" s="29"/>
      <c r="G1006" s="37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1"/>
      <c r="N1006" s="451"/>
      <c r="O1006" s="452"/>
      <c r="P1006" s="452"/>
      <c r="Q1006" s="452"/>
      <c r="R1006" s="452"/>
      <c r="S1006" s="452"/>
      <c r="T1006" s="158"/>
    </row>
    <row r="1007" spans="1:20" ht="12.75" customHeight="1" x14ac:dyDescent="0.3">
      <c r="A1007" s="95"/>
      <c r="B1007" s="95"/>
      <c r="C1007" s="36" t="s">
        <v>35</v>
      </c>
      <c r="D1007" s="29"/>
      <c r="E1007" s="29"/>
      <c r="F1007" s="29"/>
      <c r="G1007" s="37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1"/>
      <c r="N1007" s="451"/>
      <c r="O1007" s="452"/>
      <c r="P1007" s="452"/>
      <c r="Q1007" s="452"/>
      <c r="R1007" s="452"/>
      <c r="S1007" s="452"/>
      <c r="T1007" s="158"/>
    </row>
    <row r="1008" spans="1:20" ht="12.75" customHeight="1" x14ac:dyDescent="0.3">
      <c r="A1008" s="36"/>
      <c r="B1008" s="36" t="s">
        <v>4014</v>
      </c>
      <c r="C1008" s="29"/>
      <c r="D1008" s="29"/>
      <c r="E1008" s="29"/>
      <c r="F1008" s="29"/>
      <c r="G1008" s="37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1"/>
      <c r="N1008" s="451"/>
      <c r="O1008" s="452"/>
      <c r="P1008" s="452"/>
      <c r="Q1008" s="452"/>
      <c r="R1008" s="452"/>
      <c r="S1008" s="452"/>
      <c r="T1008" s="158"/>
    </row>
    <row r="1009" spans="1:20" ht="12.75" customHeight="1" x14ac:dyDescent="0.3">
      <c r="A1009" s="36"/>
      <c r="B1009" s="36" t="s">
        <v>1138</v>
      </c>
      <c r="C1009" s="29"/>
      <c r="D1009" s="29"/>
      <c r="E1009" s="29"/>
      <c r="F1009" s="29"/>
      <c r="G1009" s="37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1"/>
      <c r="N1009" s="451"/>
      <c r="O1009" s="452"/>
      <c r="P1009" s="452"/>
      <c r="Q1009" s="452"/>
      <c r="R1009" s="452"/>
      <c r="S1009" s="452"/>
      <c r="T1009" s="158"/>
    </row>
    <row r="1010" spans="1:20" ht="12.75" customHeight="1" x14ac:dyDescent="0.3">
      <c r="A1010" s="36"/>
      <c r="B1010" s="36"/>
      <c r="C1010" s="36" t="s">
        <v>4015</v>
      </c>
      <c r="D1010" s="29"/>
      <c r="E1010" s="29"/>
      <c r="F1010" s="29"/>
      <c r="G1010" s="94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1"/>
      <c r="N1010" s="451"/>
      <c r="O1010" s="452"/>
      <c r="P1010" s="452"/>
      <c r="Q1010" s="452"/>
      <c r="R1010" s="452"/>
      <c r="S1010" s="452"/>
      <c r="T1010" s="158"/>
    </row>
    <row r="1011" spans="1:20" ht="12.75" customHeight="1" x14ac:dyDescent="0.3">
      <c r="A1011" s="36"/>
      <c r="B1011" s="36"/>
      <c r="C1011" s="36" t="s">
        <v>1140</v>
      </c>
      <c r="D1011" s="29"/>
      <c r="E1011" s="29"/>
      <c r="F1011" s="29"/>
      <c r="G1011" s="94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1"/>
      <c r="N1011" s="451"/>
      <c r="O1011" s="452"/>
      <c r="P1011" s="452"/>
      <c r="Q1011" s="452"/>
      <c r="R1011" s="452"/>
      <c r="S1011" s="452"/>
      <c r="T1011" s="158"/>
    </row>
    <row r="1012" spans="1:20" ht="12.75" customHeight="1" x14ac:dyDescent="0.3">
      <c r="A1012" s="95"/>
      <c r="B1012" s="95"/>
      <c r="C1012" s="36" t="s">
        <v>766</v>
      </c>
      <c r="D1012" s="29"/>
      <c r="E1012" s="29"/>
      <c r="F1012" s="29"/>
      <c r="G1012" s="37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1"/>
      <c r="N1012" s="451"/>
      <c r="O1012" s="452"/>
      <c r="P1012" s="452"/>
      <c r="Q1012" s="452"/>
      <c r="R1012" s="452"/>
      <c r="S1012" s="452"/>
      <c r="T1012" s="158"/>
    </row>
    <row r="1013" spans="1:20" ht="12.75" customHeight="1" x14ac:dyDescent="0.3">
      <c r="A1013" s="36"/>
      <c r="B1013" s="36" t="s">
        <v>772</v>
      </c>
      <c r="C1013" s="29"/>
      <c r="D1013" s="29"/>
      <c r="E1013" s="29"/>
      <c r="F1013" s="29"/>
      <c r="G1013" s="37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1"/>
      <c r="N1013" s="451"/>
      <c r="O1013" s="452"/>
      <c r="P1013" s="452"/>
      <c r="Q1013" s="452"/>
      <c r="R1013" s="452"/>
      <c r="S1013" s="452"/>
      <c r="T1013" s="158"/>
    </row>
    <row r="1014" spans="1:20" ht="12.75" customHeight="1" x14ac:dyDescent="0.3">
      <c r="A1014" s="36"/>
      <c r="B1014" s="36" t="s">
        <v>773</v>
      </c>
      <c r="C1014" s="29"/>
      <c r="D1014" s="29"/>
      <c r="E1014" s="29"/>
      <c r="F1014" s="29"/>
      <c r="G1014" s="37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1"/>
      <c r="N1014" s="451"/>
      <c r="O1014" s="452"/>
      <c r="P1014" s="452"/>
      <c r="Q1014" s="452"/>
      <c r="R1014" s="452"/>
      <c r="S1014" s="452"/>
      <c r="T1014" s="158"/>
    </row>
    <row r="1015" spans="1:20" ht="12.75" customHeight="1" x14ac:dyDescent="0.3">
      <c r="A1015" s="29"/>
      <c r="B1015" s="36" t="s">
        <v>1036</v>
      </c>
      <c r="C1015" s="29"/>
      <c r="D1015" s="29"/>
      <c r="E1015" s="29"/>
      <c r="F1015" s="29"/>
      <c r="G1015" s="94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1"/>
      <c r="N1015" s="451"/>
      <c r="O1015" s="452"/>
      <c r="P1015" s="452"/>
      <c r="Q1015" s="452"/>
      <c r="R1015" s="452"/>
      <c r="S1015" s="452"/>
      <c r="T1015" s="158"/>
    </row>
    <row r="1016" spans="1:20" ht="12.75" customHeight="1" x14ac:dyDescent="0.3">
      <c r="A1016" s="36"/>
      <c r="B1016" s="29" t="s">
        <v>185</v>
      </c>
      <c r="C1016" s="29"/>
      <c r="D1016" s="95"/>
      <c r="E1016" s="95"/>
      <c r="F1016" s="95"/>
      <c r="G1016" s="37" t="s">
        <v>873</v>
      </c>
      <c r="H1016" s="29" t="s">
        <v>36</v>
      </c>
      <c r="I1016" s="522">
        <f>global!I412</f>
        <v>0</v>
      </c>
      <c r="J1016" s="451"/>
      <c r="K1016" s="451"/>
      <c r="L1016" s="451"/>
      <c r="M1016" s="451"/>
      <c r="N1016" s="451">
        <v>1</v>
      </c>
      <c r="O1016" s="452">
        <v>1</v>
      </c>
      <c r="P1016" s="452">
        <v>1</v>
      </c>
      <c r="Q1016" s="452">
        <v>1</v>
      </c>
      <c r="R1016" s="452"/>
      <c r="S1016" s="452">
        <v>1</v>
      </c>
      <c r="T1016" s="158"/>
    </row>
    <row r="1017" spans="1:20" ht="12.75" customHeight="1" thickBot="1" x14ac:dyDescent="0.35">
      <c r="A1017" s="633"/>
      <c r="B1017" s="633"/>
      <c r="C1017" s="633"/>
      <c r="D1017" s="633"/>
      <c r="E1017" s="633"/>
      <c r="F1017" s="633"/>
      <c r="G1017" s="633"/>
      <c r="H1017" s="136"/>
      <c r="I1017" s="474"/>
      <c r="J1017" s="474"/>
      <c r="K1017" s="474"/>
      <c r="L1017" s="474"/>
      <c r="M1017" s="474"/>
      <c r="N1017" s="474"/>
      <c r="O1017" s="362"/>
      <c r="P1017" s="362"/>
      <c r="Q1017" s="362"/>
      <c r="R1017" s="362"/>
      <c r="S1017" s="362"/>
      <c r="T1017" s="158"/>
    </row>
    <row r="1018" spans="1:20" ht="12.75" customHeight="1" x14ac:dyDescent="0.3">
      <c r="A1018" s="29"/>
      <c r="B1018" s="29"/>
      <c r="C1018" s="29"/>
      <c r="D1018" s="29"/>
      <c r="E1018" s="29"/>
      <c r="F1018" s="29"/>
      <c r="G1018" s="29"/>
      <c r="H1018" s="36"/>
      <c r="I1018" s="342"/>
      <c r="J1018" s="342"/>
      <c r="K1018" s="342"/>
      <c r="L1018" s="342"/>
      <c r="M1018" s="342"/>
      <c r="N1018" s="342"/>
      <c r="O1018" s="360"/>
      <c r="P1018" s="360"/>
      <c r="Q1018" s="360"/>
      <c r="R1018" s="360"/>
      <c r="S1018" s="360"/>
      <c r="T1018" s="158"/>
    </row>
  </sheetData>
  <phoneticPr fontId="5" type="noConversion"/>
  <conditionalFormatting sqref="J341:S341">
    <cfRule type="cellIs" dxfId="152" priority="73" operator="equal">
      <formula>0</formula>
    </cfRule>
  </conditionalFormatting>
  <conditionalFormatting sqref="J343:S343">
    <cfRule type="cellIs" dxfId="151" priority="72" operator="equal">
      <formula>0</formula>
    </cfRule>
  </conditionalFormatting>
  <conditionalFormatting sqref="J517:S520">
    <cfRule type="cellIs" dxfId="150" priority="68" operator="equal">
      <formula>0</formula>
    </cfRule>
  </conditionalFormatting>
  <conditionalFormatting sqref="J532:S532">
    <cfRule type="cellIs" dxfId="149" priority="67" operator="equal">
      <formula>0</formula>
    </cfRule>
  </conditionalFormatting>
  <conditionalFormatting sqref="J535:S535">
    <cfRule type="cellIs" dxfId="148" priority="66" operator="equal">
      <formula>0</formula>
    </cfRule>
  </conditionalFormatting>
  <conditionalFormatting sqref="J538:S538">
    <cfRule type="cellIs" dxfId="147" priority="65" operator="equal">
      <formula>0</formula>
    </cfRule>
  </conditionalFormatting>
  <conditionalFormatting sqref="N703:Q703 S703">
    <cfRule type="cellIs" dxfId="146" priority="58" operator="equal">
      <formula>0</formula>
    </cfRule>
  </conditionalFormatting>
  <conditionalFormatting sqref="N839:S839">
    <cfRule type="cellIs" dxfId="145" priority="55" operator="equal">
      <formula>0</formula>
    </cfRule>
  </conditionalFormatting>
  <conditionalFormatting sqref="N975:S975">
    <cfRule type="cellIs" dxfId="144" priority="52" operator="equal">
      <formula>0</formula>
    </cfRule>
  </conditionalFormatting>
  <conditionalFormatting sqref="N493:R498">
    <cfRule type="cellIs" dxfId="143" priority="49" operator="equal">
      <formula>0</formula>
    </cfRule>
  </conditionalFormatting>
  <conditionalFormatting sqref="O493:R498">
    <cfRule type="cellIs" dxfId="142" priority="48" operator="equal">
      <formula>0</formula>
    </cfRule>
  </conditionalFormatting>
  <conditionalFormatting sqref="O493:R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46" transitionEvaluation="1" transitionEntry="1" codeName="Sheet2"/>
  <dimension ref="A1:O219"/>
  <sheetViews>
    <sheetView topLeftCell="A146" zoomScaleNormal="100" workbookViewId="0">
      <selection activeCell="K159" sqref="K159"/>
    </sheetView>
  </sheetViews>
  <sheetFormatPr defaultColWidth="10.6640625" defaultRowHeight="12.75" customHeight="1" x14ac:dyDescent="0.3"/>
  <cols>
    <col min="1" max="5" width="1.6640625" customWidth="1"/>
    <col min="6" max="6" width="60.6640625" customWidth="1"/>
    <col min="7" max="7" width="22.6640625" style="79" customWidth="1"/>
    <col min="8" max="8" width="10.6640625" style="79" customWidth="1"/>
    <col min="9" max="9" width="9.109375" style="357" customWidth="1"/>
    <col min="10" max="10" width="9.109375" style="432" customWidth="1"/>
    <col min="11" max="11" width="9.5546875" style="644" customWidth="1"/>
    <col min="12" max="12" width="14" style="644" customWidth="1"/>
    <col min="13" max="13" width="9.109375" customWidth="1"/>
    <col min="14" max="14" width="79.88671875" style="79" customWidth="1"/>
    <col min="15" max="15" width="2.6640625" customWidth="1"/>
  </cols>
  <sheetData>
    <row r="1" spans="1:15" ht="12.75" customHeight="1" x14ac:dyDescent="0.3">
      <c r="A1" s="62" t="s">
        <v>465</v>
      </c>
      <c r="B1" s="29"/>
      <c r="C1" s="29"/>
      <c r="D1" s="29"/>
      <c r="E1" s="29"/>
      <c r="F1" s="29"/>
      <c r="G1" s="36"/>
      <c r="H1" s="36"/>
      <c r="I1" s="339"/>
      <c r="J1" s="363"/>
      <c r="K1" s="353"/>
      <c r="L1" s="353"/>
      <c r="M1" s="29"/>
      <c r="N1" s="36"/>
      <c r="O1" s="29"/>
    </row>
    <row r="2" spans="1:15" ht="12.75" customHeight="1" x14ac:dyDescent="0.3">
      <c r="A2" s="29"/>
      <c r="B2" s="29"/>
      <c r="C2" s="29"/>
      <c r="D2" s="29"/>
      <c r="E2" s="29"/>
      <c r="F2" s="29"/>
      <c r="G2" s="36"/>
      <c r="H2" s="36"/>
      <c r="I2" s="339"/>
      <c r="J2" s="363"/>
      <c r="K2" s="353"/>
      <c r="L2" s="353"/>
      <c r="M2" s="30"/>
      <c r="N2" s="36"/>
      <c r="O2" s="36"/>
    </row>
    <row r="3" spans="1:15" ht="12.75" customHeight="1" x14ac:dyDescent="0.3">
      <c r="A3" s="97" t="s">
        <v>1310</v>
      </c>
      <c r="B3" s="97"/>
      <c r="C3" s="97"/>
      <c r="D3" s="97"/>
      <c r="E3" s="97"/>
      <c r="F3" s="97"/>
      <c r="G3" s="98" t="s">
        <v>1008</v>
      </c>
      <c r="H3" s="98" t="s">
        <v>968</v>
      </c>
      <c r="I3" s="364" t="s">
        <v>754</v>
      </c>
      <c r="J3" s="365" t="s">
        <v>37</v>
      </c>
      <c r="K3" s="340" t="s">
        <v>753</v>
      </c>
      <c r="L3" s="340" t="s">
        <v>1358</v>
      </c>
      <c r="M3" s="97"/>
      <c r="N3" s="98" t="s">
        <v>1371</v>
      </c>
      <c r="O3" s="36"/>
    </row>
    <row r="4" spans="1:15" ht="12.75" customHeight="1" x14ac:dyDescent="0.3">
      <c r="A4" s="29"/>
      <c r="B4" s="29"/>
      <c r="C4" s="29"/>
      <c r="D4" s="29"/>
      <c r="E4" s="29"/>
      <c r="F4" s="29"/>
      <c r="G4" s="36"/>
      <c r="H4" s="37"/>
      <c r="I4" s="339"/>
      <c r="J4" s="363"/>
      <c r="K4" s="353"/>
      <c r="L4" s="353"/>
      <c r="M4" s="29"/>
      <c r="N4" s="36"/>
      <c r="O4" s="36"/>
    </row>
    <row r="5" spans="1:15" ht="12.75" customHeight="1" x14ac:dyDescent="0.3">
      <c r="A5" s="36" t="s">
        <v>1089</v>
      </c>
      <c r="B5" s="29"/>
      <c r="C5" s="29"/>
      <c r="D5" s="29"/>
      <c r="E5" s="29"/>
      <c r="F5" s="29"/>
      <c r="G5" s="37" t="s">
        <v>529</v>
      </c>
      <c r="H5" s="36" t="s">
        <v>4035</v>
      </c>
      <c r="I5" s="634"/>
      <c r="J5" s="635" t="str">
        <f>IF(ISBLANK(HLOOKUP(CaseName,CaseData,MATCH($G5,cases!$G$3:$G$2464,0),FALSE)),"",HLOOKUP(CaseName,CaseData,MATCH($G5,cases!$G$3:$G$2464,0),FALSE))</f>
        <v/>
      </c>
      <c r="K5" s="352">
        <f>L14*L21</f>
        <v>229570000000000</v>
      </c>
      <c r="L5" s="636">
        <f>IF(ISBLANK(I5),IF(ISNUMBER(J5)=FALSE,K5,J5),I5)</f>
        <v>229570000000000</v>
      </c>
      <c r="M5" s="36" t="s">
        <v>1496</v>
      </c>
      <c r="N5" s="36"/>
      <c r="O5" s="36"/>
    </row>
    <row r="6" spans="1:15" ht="12.75" customHeight="1" x14ac:dyDescent="0.3">
      <c r="A6" s="36" t="s">
        <v>282</v>
      </c>
      <c r="B6" s="29"/>
      <c r="C6" s="29"/>
      <c r="D6" s="29"/>
      <c r="E6" s="29"/>
      <c r="F6" s="29"/>
      <c r="G6" s="37" t="s">
        <v>283</v>
      </c>
      <c r="H6" s="36" t="s">
        <v>4035</v>
      </c>
      <c r="I6" s="634"/>
      <c r="J6" s="635" t="str">
        <f>IF(ISBLANK(HLOOKUP(CaseName,CaseData,MATCH($G6,cases!$G$3:$G$2464,0),FALSE)),"",HLOOKUP(CaseName,CaseData,MATCH($G6,cases!$G$3:$G$2464,0),FALSE))</f>
        <v/>
      </c>
      <c r="K6" s="352">
        <f>L14*L15*L22</f>
        <v>57142500000</v>
      </c>
      <c r="L6" s="636">
        <f>IF(ISBLANK(I6),IF(ISNUMBER(J6)=FALSE,K6,J6),I6)</f>
        <v>57142500000</v>
      </c>
      <c r="M6" s="36" t="s">
        <v>1496</v>
      </c>
      <c r="N6" s="36" t="s">
        <v>324</v>
      </c>
      <c r="O6" s="36"/>
    </row>
    <row r="7" spans="1:15" ht="12.75" customHeight="1" x14ac:dyDescent="0.3">
      <c r="A7" s="36" t="s">
        <v>708</v>
      </c>
      <c r="B7" s="29"/>
      <c r="C7" s="29"/>
      <c r="D7" s="29"/>
      <c r="E7" s="29"/>
      <c r="F7" s="29"/>
      <c r="G7" s="37" t="s">
        <v>530</v>
      </c>
      <c r="H7" s="36" t="s">
        <v>4035</v>
      </c>
      <c r="I7" s="634"/>
      <c r="J7" s="635" t="str">
        <f>IF(ISBLANK(HLOOKUP(CaseName,CaseData,MATCH($G7,cases!$G$3:$G$2464,0),FALSE)),"",HLOOKUP(CaseName,CaseData,MATCH($G7,cases!$G$3:$G$2464,0),FALSE))</f>
        <v/>
      </c>
      <c r="K7" s="352">
        <f>L14*L16*L23</f>
        <v>18857025000</v>
      </c>
      <c r="L7" s="636">
        <f t="shared" ref="L7:L42" si="0">IF(ISBLANK(I7),IF(ISNUMBER(J7)=FALSE,K7,J7),I7)</f>
        <v>18857025000</v>
      </c>
      <c r="M7" s="36" t="s">
        <v>1496</v>
      </c>
      <c r="N7" s="36"/>
      <c r="O7" s="36"/>
    </row>
    <row r="8" spans="1:15" ht="12.75" customHeight="1" x14ac:dyDescent="0.3">
      <c r="A8" s="36" t="s">
        <v>709</v>
      </c>
      <c r="B8" s="29"/>
      <c r="C8" s="29"/>
      <c r="D8" s="29"/>
      <c r="E8" s="29"/>
      <c r="F8" s="29"/>
      <c r="G8" s="37" t="s">
        <v>1240</v>
      </c>
      <c r="H8" s="36" t="s">
        <v>4035</v>
      </c>
      <c r="I8" s="634"/>
      <c r="J8" s="635" t="str">
        <f>IF(ISBLANK(HLOOKUP(CaseName,CaseData,MATCH($G8,cases!$G$3:$G$2464,0),FALSE)),"",HLOOKUP(CaseName,CaseData,MATCH($G8,cases!$G$3:$G$2464,0),FALSE))</f>
        <v/>
      </c>
      <c r="K8" s="352">
        <f>L14*L20*L24</f>
        <v>10000000000.000011</v>
      </c>
      <c r="L8" s="636">
        <f t="shared" si="0"/>
        <v>10000000000.000011</v>
      </c>
      <c r="M8" s="36" t="s">
        <v>1496</v>
      </c>
      <c r="N8" s="36"/>
      <c r="O8" s="36"/>
    </row>
    <row r="9" spans="1:15" ht="12.75" customHeight="1" x14ac:dyDescent="0.3">
      <c r="A9" s="36" t="s">
        <v>710</v>
      </c>
      <c r="B9" s="29"/>
      <c r="C9" s="29"/>
      <c r="D9" s="29"/>
      <c r="E9" s="29"/>
      <c r="F9" s="29"/>
      <c r="G9" s="37" t="s">
        <v>1241</v>
      </c>
      <c r="H9" s="36" t="s">
        <v>4035</v>
      </c>
      <c r="I9" s="634"/>
      <c r="J9" s="635" t="str">
        <f>IF(ISBLANK(HLOOKUP(CaseName,CaseData,MATCH($G9,cases!$G$3:$G$2464,0),FALSE)),"",HLOOKUP(CaseName,CaseData,MATCH($G9,cases!$G$3:$G$2464,0),FALSE))</f>
        <v/>
      </c>
      <c r="K9" s="352">
        <f>L14*L16*L25</f>
        <v>188570250</v>
      </c>
      <c r="L9" s="636">
        <f t="shared" si="0"/>
        <v>188570250</v>
      </c>
      <c r="M9" s="36" t="s">
        <v>1496</v>
      </c>
      <c r="N9" s="36"/>
      <c r="O9" s="36"/>
    </row>
    <row r="10" spans="1:15" ht="12.75" customHeight="1" x14ac:dyDescent="0.3">
      <c r="A10" s="36" t="s">
        <v>711</v>
      </c>
      <c r="B10" s="29"/>
      <c r="C10" s="29"/>
      <c r="D10" s="29"/>
      <c r="E10" s="29"/>
      <c r="F10" s="29"/>
      <c r="G10" s="37" t="s">
        <v>1242</v>
      </c>
      <c r="H10" s="36" t="s">
        <v>4035</v>
      </c>
      <c r="I10" s="634"/>
      <c r="J10" s="635" t="str">
        <f>IF(ISBLANK(HLOOKUP(CaseName,CaseData,MATCH($G10,cases!$G$3:$G$2464,0),FALSE)),"",HLOOKUP(CaseName,CaseData,MATCH($G10,cases!$G$3:$G$2464,0),FALSE))</f>
        <v/>
      </c>
      <c r="K10" s="352">
        <f>L14*L20*L26</f>
        <v>30000000.00000003</v>
      </c>
      <c r="L10" s="636">
        <f t="shared" si="0"/>
        <v>30000000.00000003</v>
      </c>
      <c r="M10" s="36" t="s">
        <v>1496</v>
      </c>
      <c r="N10" s="36"/>
      <c r="O10" s="36"/>
    </row>
    <row r="11" spans="1:15" ht="12.75" customHeight="1" x14ac:dyDescent="0.3">
      <c r="A11" s="36" t="s">
        <v>712</v>
      </c>
      <c r="B11" s="29"/>
      <c r="C11" s="29"/>
      <c r="D11" s="29"/>
      <c r="E11" s="29"/>
      <c r="F11" s="29"/>
      <c r="G11" s="37" t="s">
        <v>1243</v>
      </c>
      <c r="H11" s="36" t="s">
        <v>4035</v>
      </c>
      <c r="I11" s="634"/>
      <c r="J11" s="635" t="str">
        <f>IF(ISBLANK(HLOOKUP(CaseName,CaseData,MATCH($G11,cases!$G$3:$G$2464,0),FALSE)),"",HLOOKUP(CaseName,CaseData,MATCH($G11,cases!$G$3:$G$2464,0),FALSE))</f>
        <v/>
      </c>
      <c r="K11" s="352">
        <f>L14*L17*L27</f>
        <v>3085695000.0000005</v>
      </c>
      <c r="L11" s="636">
        <f t="shared" si="0"/>
        <v>3085695000.0000005</v>
      </c>
      <c r="M11" s="36" t="s">
        <v>1496</v>
      </c>
      <c r="N11" s="36"/>
      <c r="O11" s="36"/>
    </row>
    <row r="12" spans="1:15" ht="12.75" customHeight="1" x14ac:dyDescent="0.3">
      <c r="A12" s="36" t="s">
        <v>713</v>
      </c>
      <c r="B12" s="29"/>
      <c r="C12" s="29"/>
      <c r="D12" s="29"/>
      <c r="E12" s="29"/>
      <c r="F12" s="29"/>
      <c r="G12" s="37" t="s">
        <v>1244</v>
      </c>
      <c r="H12" s="36" t="s">
        <v>4035</v>
      </c>
      <c r="I12" s="634"/>
      <c r="J12" s="635" t="str">
        <f>IF(ISBLANK(HLOOKUP(CaseName,CaseData,MATCH($G12,cases!$G$3:$G$2464,0),FALSE)),"",HLOOKUP(CaseName,CaseData,MATCH($G12,cases!$G$3:$G$2464,0),FALSE))</f>
        <v/>
      </c>
      <c r="K12" s="352">
        <f>L14*L18*L28</f>
        <v>27428400000</v>
      </c>
      <c r="L12" s="636">
        <f t="shared" si="0"/>
        <v>27428400000</v>
      </c>
      <c r="M12" s="36" t="s">
        <v>1496</v>
      </c>
      <c r="N12" s="36"/>
      <c r="O12" s="36"/>
    </row>
    <row r="13" spans="1:15" ht="12.75" customHeight="1" x14ac:dyDescent="0.3">
      <c r="A13" s="36" t="s">
        <v>210</v>
      </c>
      <c r="B13" s="29"/>
      <c r="C13" s="29"/>
      <c r="D13" s="29"/>
      <c r="E13" s="29"/>
      <c r="F13" s="29"/>
      <c r="G13" s="37" t="s">
        <v>1245</v>
      </c>
      <c r="H13" s="36" t="s">
        <v>4035</v>
      </c>
      <c r="I13" s="634"/>
      <c r="J13" s="635" t="str">
        <f>IF(ISBLANK(HLOOKUP(CaseName,CaseData,MATCH($G13,cases!$G$3:$G$2464,0),FALSE)),"",HLOOKUP(CaseName,CaseData,MATCH($G13,cases!$G$3:$G$2464,0),FALSE))</f>
        <v/>
      </c>
      <c r="K13" s="352">
        <f>L14*L19*L29</f>
        <v>1142850000</v>
      </c>
      <c r="L13" s="636">
        <f t="shared" si="0"/>
        <v>1142850000</v>
      </c>
      <c r="M13" s="36" t="s">
        <v>1496</v>
      </c>
      <c r="N13" s="36"/>
      <c r="O13" s="36"/>
    </row>
    <row r="14" spans="1:15" ht="12.75" customHeight="1" x14ac:dyDescent="0.3">
      <c r="A14" s="36"/>
      <c r="B14" s="36" t="s">
        <v>1090</v>
      </c>
      <c r="C14" s="29"/>
      <c r="D14" s="29"/>
      <c r="E14" s="29"/>
      <c r="F14" s="29"/>
      <c r="G14" s="37" t="s">
        <v>667</v>
      </c>
      <c r="H14" s="36" t="s">
        <v>4036</v>
      </c>
      <c r="I14" s="634"/>
      <c r="J14" s="635" t="str">
        <f>IF(ISBLANK(HLOOKUP(CaseName,CaseData,MATCH($G14,cases!$G$3:$G$2464,0),FALSE)),"",HLOOKUP(CaseName,CaseData,MATCH($G14,cases!$G$3:$G$2464,0),FALSE))</f>
        <v/>
      </c>
      <c r="K14" s="352">
        <f>(AREAland.R+AREAsea.R)/1000000</f>
        <v>229570</v>
      </c>
      <c r="L14" s="636">
        <f>IF(ISBLANK(I14),IF(ISNUMBER(J14)=FALSE,K14*1000000,J14*1000000),I14*1000000)</f>
        <v>229570000000</v>
      </c>
      <c r="M14" s="36" t="s">
        <v>1492</v>
      </c>
      <c r="N14" s="36"/>
      <c r="O14" s="36"/>
    </row>
    <row r="15" spans="1:15" ht="12.75" customHeight="1" x14ac:dyDescent="0.3">
      <c r="A15" s="36"/>
      <c r="B15" s="36" t="s">
        <v>284</v>
      </c>
      <c r="C15" s="29"/>
      <c r="D15" s="29"/>
      <c r="E15" s="29"/>
      <c r="F15" s="29"/>
      <c r="G15" s="94" t="s">
        <v>285</v>
      </c>
      <c r="H15" s="36" t="s">
        <v>36</v>
      </c>
      <c r="I15" s="634"/>
      <c r="J15" s="635" t="str">
        <f>IF(ISBLANK(HLOOKUP(CaseName,CaseData,MATCH($G15,cases!$G$3:$G$2464,0),FALSE)),"",HLOOKUP(CaseName,CaseData,MATCH($G15,cases!$G$3:$G$2464,0),FALSE))</f>
        <v/>
      </c>
      <c r="K15" s="352">
        <f>AREAland.R*FRAClake.R/L14</f>
        <v>2.4891100753582783E-3</v>
      </c>
      <c r="L15" s="636">
        <f>IF(ISBLANK(I15),IF(ISNUMBER(J15)=FALSE,K15,J15),I15)</f>
        <v>2.4891100753582783E-3</v>
      </c>
      <c r="M15" s="29" t="s">
        <v>486</v>
      </c>
      <c r="N15" s="36" t="s">
        <v>324</v>
      </c>
      <c r="O15" s="36"/>
    </row>
    <row r="16" spans="1:15" ht="12.75" customHeight="1" x14ac:dyDescent="0.3">
      <c r="A16" s="36"/>
      <c r="B16" s="36" t="s">
        <v>1091</v>
      </c>
      <c r="C16" s="29"/>
      <c r="D16" s="29"/>
      <c r="E16" s="29"/>
      <c r="F16" s="29"/>
      <c r="G16" s="94" t="s">
        <v>1190</v>
      </c>
      <c r="H16" s="36" t="s">
        <v>36</v>
      </c>
      <c r="I16" s="634"/>
      <c r="J16" s="635" t="str">
        <f>IF(ISBLANK(HLOOKUP(CaseName,CaseData,MATCH($G16,cases!$G$3:$G$2464,0),FALSE)),"",HLOOKUP(CaseName,CaseData,MATCH($G16,cases!$G$3:$G$2464,0),FALSE))</f>
        <v/>
      </c>
      <c r="K16" s="352">
        <f>AREAland.R*FRACfresh.R/L14</f>
        <v>2.7380210828941064E-2</v>
      </c>
      <c r="L16" s="636">
        <f t="shared" si="0"/>
        <v>2.7380210828941064E-2</v>
      </c>
      <c r="M16" s="29" t="s">
        <v>486</v>
      </c>
      <c r="N16" s="36"/>
      <c r="O16" s="36"/>
    </row>
    <row r="17" spans="1:15" ht="12.75" customHeight="1" x14ac:dyDescent="0.3">
      <c r="A17" s="36"/>
      <c r="B17" s="36" t="s">
        <v>1093</v>
      </c>
      <c r="C17" s="29"/>
      <c r="D17" s="29"/>
      <c r="E17" s="29"/>
      <c r="F17" s="29"/>
      <c r="G17" s="94" t="s">
        <v>1192</v>
      </c>
      <c r="H17" s="36" t="s">
        <v>36</v>
      </c>
      <c r="I17" s="634"/>
      <c r="J17" s="635" t="str">
        <f>IF(ISBLANK(HLOOKUP(CaseName,CaseData,MATCH($G17,cases!$G$3:$G$2464,0),FALSE)),"",HLOOKUP(CaseName,CaseData,MATCH($G17,cases!$G$3:$G$2464,0),FALSE))</f>
        <v/>
      </c>
      <c r="K17" s="352">
        <f>AREAland.R*FRACnatsoil.R/L14</f>
        <v>0.26882388813869412</v>
      </c>
      <c r="L17" s="636">
        <f t="shared" si="0"/>
        <v>0.26882388813869412</v>
      </c>
      <c r="M17" s="29" t="s">
        <v>486</v>
      </c>
      <c r="N17" s="36"/>
      <c r="O17" s="36"/>
    </row>
    <row r="18" spans="1:15" ht="12.75" customHeight="1" x14ac:dyDescent="0.3">
      <c r="A18" s="36"/>
      <c r="B18" s="36" t="s">
        <v>886</v>
      </c>
      <c r="C18" s="29"/>
      <c r="D18" s="29"/>
      <c r="E18" s="29"/>
      <c r="F18" s="29"/>
      <c r="G18" s="94" t="s">
        <v>1193</v>
      </c>
      <c r="H18" s="36" t="s">
        <v>36</v>
      </c>
      <c r="I18" s="634"/>
      <c r="J18" s="635" t="str">
        <f>IF(ISBLANK(HLOOKUP(CaseName,CaseData,MATCH($G18,cases!$G$3:$G$2464,0),FALSE)),"",HLOOKUP(CaseName,CaseData,MATCH($G18,cases!$G$3:$G$2464,0),FALSE))</f>
        <v/>
      </c>
      <c r="K18" s="352">
        <f>AREAland.R*FRACagsoil.R/L14</f>
        <v>0.5973864180859868</v>
      </c>
      <c r="L18" s="636">
        <f t="shared" si="0"/>
        <v>0.5973864180859868</v>
      </c>
      <c r="M18" s="29" t="s">
        <v>486</v>
      </c>
      <c r="N18" s="36"/>
      <c r="O18" s="36"/>
    </row>
    <row r="19" spans="1:15" ht="12.75" customHeight="1" x14ac:dyDescent="0.3">
      <c r="A19" s="36"/>
      <c r="B19" s="36" t="s">
        <v>887</v>
      </c>
      <c r="C19" s="29"/>
      <c r="D19" s="29"/>
      <c r="E19" s="29"/>
      <c r="F19" s="29"/>
      <c r="G19" s="94" t="s">
        <v>1194</v>
      </c>
      <c r="H19" s="36" t="s">
        <v>36</v>
      </c>
      <c r="I19" s="634"/>
      <c r="J19" s="635" t="str">
        <f>IF(ISBLANK(HLOOKUP(CaseName,CaseData,MATCH($G19,cases!$G$3:$G$2464,0),FALSE)),"",HLOOKUP(CaseName,CaseData,MATCH($G19,cases!$G$3:$G$2464,0),FALSE))</f>
        <v/>
      </c>
      <c r="K19" s="352">
        <f>AREAland.R*FRACothersoil.R/L14</f>
        <v>9.9564403014331143E-2</v>
      </c>
      <c r="L19" s="636">
        <f t="shared" si="0"/>
        <v>9.9564403014331143E-2</v>
      </c>
      <c r="M19" s="29" t="s">
        <v>486</v>
      </c>
      <c r="N19" s="36"/>
      <c r="O19" s="36"/>
    </row>
    <row r="20" spans="1:15" ht="12.75" customHeight="1" x14ac:dyDescent="0.3">
      <c r="A20" s="36"/>
      <c r="B20" s="36" t="s">
        <v>1092</v>
      </c>
      <c r="C20" s="29"/>
      <c r="D20" s="29"/>
      <c r="E20" s="29"/>
      <c r="F20" s="29"/>
      <c r="G20" s="94" t="s">
        <v>1191</v>
      </c>
      <c r="H20" s="36" t="s">
        <v>36</v>
      </c>
      <c r="I20" s="637"/>
      <c r="J20" s="635" t="str">
        <f>IF(ISBLANK(HLOOKUP(CaseName,CaseData,MATCH($G20,cases!$G$3:$G$2464,0),FALSE)),"",HLOOKUP(CaseName,CaseData,MATCH($G20,cases!$G$3:$G$2464,0),FALSE))</f>
        <v/>
      </c>
      <c r="K20" s="352">
        <f>1-L15-L16-L17-L18-L19</f>
        <v>4.3559698566885963E-3</v>
      </c>
      <c r="L20" s="636">
        <f t="shared" si="0"/>
        <v>4.3559698566885963E-3</v>
      </c>
      <c r="M20" s="29" t="s">
        <v>486</v>
      </c>
      <c r="N20" s="36"/>
      <c r="O20" s="36"/>
    </row>
    <row r="21" spans="1:15" ht="12.75" customHeight="1" x14ac:dyDescent="0.3">
      <c r="A21" s="36"/>
      <c r="B21" s="29"/>
      <c r="C21" s="36" t="s">
        <v>767</v>
      </c>
      <c r="D21" s="95"/>
      <c r="E21" s="95"/>
      <c r="F21" s="29"/>
      <c r="G21" s="94" t="s">
        <v>1195</v>
      </c>
      <c r="H21" s="36" t="s">
        <v>719</v>
      </c>
      <c r="I21" s="637"/>
      <c r="J21" s="635" t="str">
        <f>IF(ISBLANK(HLOOKUP(CaseName,CaseData,MATCH($G21,cases!$G$3:$G$2464,0),FALSE)),"",HLOOKUP(CaseName,CaseData,MATCH($G21,cases!$G$3:$G$2464,0),FALSE))</f>
        <v/>
      </c>
      <c r="K21" s="352">
        <v>1000</v>
      </c>
      <c r="L21" s="636">
        <f t="shared" si="0"/>
        <v>1000</v>
      </c>
      <c r="M21" s="36" t="s">
        <v>720</v>
      </c>
      <c r="N21" s="36"/>
      <c r="O21" s="36"/>
    </row>
    <row r="22" spans="1:15" ht="12.75" customHeight="1" x14ac:dyDescent="0.3">
      <c r="A22" s="36"/>
      <c r="B22" s="29"/>
      <c r="C22" s="36" t="s">
        <v>286</v>
      </c>
      <c r="D22" s="95"/>
      <c r="E22" s="95"/>
      <c r="F22" s="29"/>
      <c r="G22" s="94" t="s">
        <v>287</v>
      </c>
      <c r="H22" s="36" t="s">
        <v>719</v>
      </c>
      <c r="I22" s="634"/>
      <c r="J22" s="635" t="str">
        <f>IF(ISBLANK(HLOOKUP(CaseName,CaseData,MATCH($G22,cases!$G$3:$G$2464,0),FALSE)),"",HLOOKUP(CaseName,CaseData,MATCH($G22,cases!$G$3:$G$2464,0),FALSE))</f>
        <v/>
      </c>
      <c r="K22" s="352">
        <f>DEPTHlake.R</f>
        <v>100</v>
      </c>
      <c r="L22" s="636">
        <f>IF(ISBLANK(I22),IF(ISNUMBER(J22)=FALSE,K22,J22),I22)</f>
        <v>100</v>
      </c>
      <c r="M22" s="36" t="s">
        <v>720</v>
      </c>
      <c r="N22" s="36" t="s">
        <v>324</v>
      </c>
      <c r="O22" s="36"/>
    </row>
    <row r="23" spans="1:15" ht="12.75" customHeight="1" x14ac:dyDescent="0.3">
      <c r="A23" s="36"/>
      <c r="B23" s="29"/>
      <c r="C23" s="36" t="s">
        <v>768</v>
      </c>
      <c r="D23" s="95"/>
      <c r="E23" s="95"/>
      <c r="F23" s="29"/>
      <c r="G23" s="94" t="s">
        <v>1196</v>
      </c>
      <c r="H23" s="36" t="s">
        <v>719</v>
      </c>
      <c r="I23" s="634"/>
      <c r="J23" s="635" t="str">
        <f>IF(ISBLANK(HLOOKUP(CaseName,CaseData,MATCH($G23,cases!$G$3:$G$2464,0),FALSE)),"",HLOOKUP(CaseName,CaseData,MATCH($G23,cases!$G$3:$G$2464,0),FALSE))</f>
        <v/>
      </c>
      <c r="K23" s="352">
        <f>DEPTHfreshwater.R</f>
        <v>3</v>
      </c>
      <c r="L23" s="636">
        <f t="shared" si="0"/>
        <v>3</v>
      </c>
      <c r="M23" s="36" t="s">
        <v>720</v>
      </c>
      <c r="N23" s="36"/>
      <c r="O23" s="36"/>
    </row>
    <row r="24" spans="1:15" ht="12.75" customHeight="1" x14ac:dyDescent="0.3">
      <c r="A24" s="36"/>
      <c r="B24" s="29"/>
      <c r="C24" s="36" t="s">
        <v>769</v>
      </c>
      <c r="D24" s="95"/>
      <c r="E24" s="95"/>
      <c r="F24" s="29"/>
      <c r="G24" s="94" t="s">
        <v>1197</v>
      </c>
      <c r="H24" s="36" t="s">
        <v>719</v>
      </c>
      <c r="I24" s="634"/>
      <c r="J24" s="635" t="str">
        <f>IF(ISBLANK(HLOOKUP(CaseName,CaseData,MATCH($G24,cases!$G$3:$G$2464,0),FALSE)),"",HLOOKUP(CaseName,CaseData,MATCH($G24,cases!$G$3:$G$2464,0),FALSE))</f>
        <v/>
      </c>
      <c r="K24" s="352">
        <v>10</v>
      </c>
      <c r="L24" s="636">
        <f t="shared" si="0"/>
        <v>10</v>
      </c>
      <c r="M24" s="36" t="s">
        <v>720</v>
      </c>
      <c r="N24" s="36"/>
      <c r="O24" s="36"/>
    </row>
    <row r="25" spans="1:15" ht="12.75" customHeight="1" x14ac:dyDescent="0.3">
      <c r="A25" s="36"/>
      <c r="B25" s="29"/>
      <c r="C25" s="36" t="s">
        <v>770</v>
      </c>
      <c r="D25" s="95"/>
      <c r="E25" s="95"/>
      <c r="F25" s="29"/>
      <c r="G25" s="94" t="s">
        <v>1198</v>
      </c>
      <c r="H25" s="36" t="s">
        <v>721</v>
      </c>
      <c r="I25" s="634"/>
      <c r="J25" s="635" t="str">
        <f>IF(ISBLANK(HLOOKUP(CaseName,CaseData,MATCH($G25,cases!$G$3:$G$2464,0),FALSE)),"",HLOOKUP(CaseName,CaseData,MATCH($G25,cases!$G$3:$G$2464,0),FALSE))</f>
        <v/>
      </c>
      <c r="K25" s="352">
        <v>3</v>
      </c>
      <c r="L25" s="636">
        <f>IF(ISBLANK(I25),IF(ISNUMBER(J25)=FALSE,K25/100,J25/100),I25/100)</f>
        <v>0.03</v>
      </c>
      <c r="M25" s="29" t="s">
        <v>720</v>
      </c>
      <c r="N25" s="36"/>
      <c r="O25" s="36"/>
    </row>
    <row r="26" spans="1:15" ht="12.75" customHeight="1" x14ac:dyDescent="0.3">
      <c r="A26" s="36"/>
      <c r="B26" s="29"/>
      <c r="C26" s="36" t="s">
        <v>576</v>
      </c>
      <c r="D26" s="95"/>
      <c r="E26" s="95"/>
      <c r="F26" s="29"/>
      <c r="G26" s="94" t="s">
        <v>1199</v>
      </c>
      <c r="H26" s="36" t="s">
        <v>721</v>
      </c>
      <c r="I26" s="634"/>
      <c r="J26" s="635" t="str">
        <f>IF(ISBLANK(HLOOKUP(CaseName,CaseData,MATCH($G26,cases!$G$3:$G$2464,0),FALSE)),"",HLOOKUP(CaseName,CaseData,MATCH($G26,cases!$G$3:$G$2464,0),FALSE))</f>
        <v/>
      </c>
      <c r="K26" s="352">
        <v>3</v>
      </c>
      <c r="L26" s="636">
        <f>IF(ISBLANK(I26),IF(ISNUMBER(J26)=FALSE,K26/100,J26/100),I26/100)</f>
        <v>0.03</v>
      </c>
      <c r="M26" s="29" t="s">
        <v>720</v>
      </c>
      <c r="N26" s="36"/>
      <c r="O26" s="36"/>
    </row>
    <row r="27" spans="1:15" ht="12.75" customHeight="1" x14ac:dyDescent="0.3">
      <c r="A27" s="36"/>
      <c r="B27" s="29"/>
      <c r="C27" s="36" t="s">
        <v>3964</v>
      </c>
      <c r="D27" s="95"/>
      <c r="E27" s="95"/>
      <c r="F27" s="29"/>
      <c r="G27" s="94" t="s">
        <v>1200</v>
      </c>
      <c r="H27" s="36" t="s">
        <v>719</v>
      </c>
      <c r="I27" s="634"/>
      <c r="J27" s="635" t="str">
        <f>IF(ISBLANK(HLOOKUP(CaseName,CaseData,MATCH($G27,cases!$G$3:$G$2464,0),FALSE)),"",HLOOKUP(CaseName,CaseData,MATCH($G27,cases!$G$3:$G$2464,0),FALSE))</f>
        <v/>
      </c>
      <c r="K27" s="345">
        <v>0.05</v>
      </c>
      <c r="L27" s="636">
        <f t="shared" si="0"/>
        <v>0.05</v>
      </c>
      <c r="M27" s="29" t="s">
        <v>720</v>
      </c>
      <c r="N27" s="36"/>
      <c r="O27" s="36"/>
    </row>
    <row r="28" spans="1:15" ht="12.75" customHeight="1" x14ac:dyDescent="0.3">
      <c r="A28" s="36"/>
      <c r="B28" s="29"/>
      <c r="C28" s="36" t="s">
        <v>3965</v>
      </c>
      <c r="D28" s="95"/>
      <c r="E28" s="95"/>
      <c r="F28" s="29"/>
      <c r="G28" s="94" t="s">
        <v>57</v>
      </c>
      <c r="H28" s="36" t="s">
        <v>719</v>
      </c>
      <c r="I28" s="634"/>
      <c r="J28" s="635" t="str">
        <f>IF(ISBLANK(HLOOKUP(CaseName,CaseData,MATCH($G28,cases!$G$3:$G$2464,0),FALSE)),"",HLOOKUP(CaseName,CaseData,MATCH($G28,cases!$G$3:$G$2464,0),FALSE))</f>
        <v/>
      </c>
      <c r="K28" s="345">
        <v>0.2</v>
      </c>
      <c r="L28" s="636">
        <f t="shared" si="0"/>
        <v>0.2</v>
      </c>
      <c r="M28" s="29" t="s">
        <v>720</v>
      </c>
      <c r="N28" s="36"/>
      <c r="O28" s="36"/>
    </row>
    <row r="29" spans="1:15" ht="12.75" customHeight="1" x14ac:dyDescent="0.3">
      <c r="A29" s="36"/>
      <c r="B29" s="29"/>
      <c r="C29" s="36" t="s">
        <v>3966</v>
      </c>
      <c r="D29" s="95"/>
      <c r="E29" s="95"/>
      <c r="F29" s="29"/>
      <c r="G29" s="94" t="s">
        <v>58</v>
      </c>
      <c r="H29" s="36" t="s">
        <v>719</v>
      </c>
      <c r="I29" s="634"/>
      <c r="J29" s="635" t="str">
        <f>IF(ISBLANK(HLOOKUP(CaseName,CaseData,MATCH($G29,cases!$G$3:$G$2464,0),FALSE)),"",HLOOKUP(CaseName,CaseData,MATCH($G29,cases!$G$3:$G$2464,0),FALSE))</f>
        <v/>
      </c>
      <c r="K29" s="345">
        <v>0.05</v>
      </c>
      <c r="L29" s="636">
        <f t="shared" si="0"/>
        <v>0.05</v>
      </c>
      <c r="M29" s="29" t="s">
        <v>720</v>
      </c>
      <c r="N29" s="36"/>
      <c r="O29" s="36"/>
    </row>
    <row r="30" spans="1:15" ht="12.75" customHeight="1" x14ac:dyDescent="0.3">
      <c r="A30" s="29"/>
      <c r="B30" s="29"/>
      <c r="C30" s="29" t="s">
        <v>216</v>
      </c>
      <c r="D30" s="29"/>
      <c r="E30" s="29"/>
      <c r="F30" s="29"/>
      <c r="G30" s="36" t="s">
        <v>3967</v>
      </c>
      <c r="H30" s="36" t="s">
        <v>722</v>
      </c>
      <c r="I30" s="638"/>
      <c r="J30" s="635" t="str">
        <f>IF(ISBLANK(HLOOKUP(CaseName,CaseData,MATCH($G30,cases!$G$3:$G$2464,0),FALSE)),"",HLOOKUP(CaseName,CaseData,MATCH($G30,cases!$G$3:$G$2464,0),FALSE))</f>
        <v/>
      </c>
      <c r="K30" s="352">
        <v>1.9999999999999999E-11</v>
      </c>
      <c r="L30" s="636">
        <f t="shared" si="0"/>
        <v>1.9999999999999999E-11</v>
      </c>
      <c r="M30" s="36" t="s">
        <v>486</v>
      </c>
      <c r="N30" s="36" t="s">
        <v>2184</v>
      </c>
      <c r="O30" s="36"/>
    </row>
    <row r="31" spans="1:15" ht="12.75" customHeight="1" x14ac:dyDescent="0.3">
      <c r="A31" s="29"/>
      <c r="B31" s="29"/>
      <c r="C31" s="29" t="s">
        <v>217</v>
      </c>
      <c r="D31" s="29"/>
      <c r="E31" s="29"/>
      <c r="F31" s="29"/>
      <c r="G31" s="36" t="s">
        <v>3968</v>
      </c>
      <c r="H31" s="36" t="s">
        <v>722</v>
      </c>
      <c r="I31" s="638"/>
      <c r="J31" s="635" t="str">
        <f>IF(ISBLANK(HLOOKUP(CaseName,CaseData,MATCH($G31,cases!$G$3:$G$2464,0),FALSE)),"",HLOOKUP(CaseName,CaseData,MATCH($G31,cases!$G$3:$G$2464,0),FALSE))</f>
        <v/>
      </c>
      <c r="K31" s="352">
        <v>1.9999999999999999E-11</v>
      </c>
      <c r="L31" s="636">
        <f t="shared" si="0"/>
        <v>1.9999999999999999E-11</v>
      </c>
      <c r="M31" s="36" t="s">
        <v>486</v>
      </c>
      <c r="N31" s="36" t="s">
        <v>2184</v>
      </c>
      <c r="O31" s="36"/>
    </row>
    <row r="32" spans="1:15" ht="12.75" customHeight="1" x14ac:dyDescent="0.3">
      <c r="A32" s="36"/>
      <c r="B32" s="29"/>
      <c r="C32" s="36" t="s">
        <v>536</v>
      </c>
      <c r="D32" s="95"/>
      <c r="E32" s="95"/>
      <c r="F32" s="29"/>
      <c r="G32" s="94" t="s">
        <v>892</v>
      </c>
      <c r="H32" s="36" t="s">
        <v>722</v>
      </c>
      <c r="I32" s="634"/>
      <c r="J32" s="635" t="str">
        <f>IF(ISBLANK(HLOOKUP(CaseName,CaseData,MATCH($G32,cases!$G$3:$G$2464,0),FALSE)),"",HLOOKUP(CaseName,CaseData,MATCH($G32,cases!$G$3:$G$2464,0),FALSE))</f>
        <v/>
      </c>
      <c r="K32" s="352">
        <v>0.2</v>
      </c>
      <c r="L32" s="636">
        <f t="shared" si="0"/>
        <v>0.2</v>
      </c>
      <c r="M32" s="36" t="s">
        <v>486</v>
      </c>
      <c r="N32" s="36"/>
      <c r="O32" s="36"/>
    </row>
    <row r="33" spans="1:15" ht="12.75" customHeight="1" x14ac:dyDescent="0.3">
      <c r="A33" s="36"/>
      <c r="B33" s="29"/>
      <c r="C33" s="36" t="s">
        <v>418</v>
      </c>
      <c r="D33" s="95"/>
      <c r="E33" s="95"/>
      <c r="F33" s="29"/>
      <c r="G33" s="94" t="s">
        <v>9</v>
      </c>
      <c r="H33" s="36" t="s">
        <v>722</v>
      </c>
      <c r="I33" s="634"/>
      <c r="J33" s="635" t="str">
        <f>IF(ISBLANK(HLOOKUP(CaseName,CaseData,MATCH($G33,cases!$G$3:$G$2464,0),FALSE)),"",HLOOKUP(CaseName,CaseData,MATCH($G33,cases!$G$3:$G$2464,0),FALSE))</f>
        <v/>
      </c>
      <c r="K33" s="352">
        <v>0.2</v>
      </c>
      <c r="L33" s="636">
        <f t="shared" si="0"/>
        <v>0.2</v>
      </c>
      <c r="M33" s="36" t="s">
        <v>486</v>
      </c>
      <c r="N33" s="36"/>
      <c r="O33" s="36"/>
    </row>
    <row r="34" spans="1:15" ht="12.75" customHeight="1" x14ac:dyDescent="0.3">
      <c r="A34" s="36"/>
      <c r="B34" s="29"/>
      <c r="C34" s="36" t="s">
        <v>794</v>
      </c>
      <c r="D34" s="95"/>
      <c r="E34" s="95"/>
      <c r="F34" s="29"/>
      <c r="G34" s="94" t="s">
        <v>889</v>
      </c>
      <c r="H34" s="36" t="s">
        <v>722</v>
      </c>
      <c r="I34" s="634"/>
      <c r="J34" s="635" t="str">
        <f>IF(ISBLANK(HLOOKUP(CaseName,CaseData,MATCH($G34,cases!$G$3:$G$2464,0),FALSE)),"",HLOOKUP(CaseName,CaseData,MATCH($G34,cases!$G$3:$G$2464,0),FALSE))</f>
        <v/>
      </c>
      <c r="K34" s="352">
        <f>1-L32-L33</f>
        <v>0.60000000000000009</v>
      </c>
      <c r="L34" s="636">
        <f t="shared" si="0"/>
        <v>0.60000000000000009</v>
      </c>
      <c r="M34" s="36" t="s">
        <v>486</v>
      </c>
      <c r="N34" s="36"/>
      <c r="O34" s="36"/>
    </row>
    <row r="35" spans="1:15" ht="12.75" customHeight="1" x14ac:dyDescent="0.3">
      <c r="A35" s="36"/>
      <c r="B35" s="29"/>
      <c r="C35" s="36" t="s">
        <v>795</v>
      </c>
      <c r="D35" s="95"/>
      <c r="E35" s="95"/>
      <c r="F35" s="29"/>
      <c r="G35" s="94" t="s">
        <v>7</v>
      </c>
      <c r="H35" s="36" t="s">
        <v>722</v>
      </c>
      <c r="I35" s="634"/>
      <c r="J35" s="635" t="str">
        <f>IF(ISBLANK(HLOOKUP(CaseName,CaseData,MATCH($G35,cases!$G$3:$G$2464,0),FALSE)),"",HLOOKUP(CaseName,CaseData,MATCH($G35,cases!$G$3:$G$2464,0),FALSE))</f>
        <v/>
      </c>
      <c r="K35" s="352">
        <v>0.2</v>
      </c>
      <c r="L35" s="636">
        <f t="shared" si="0"/>
        <v>0.2</v>
      </c>
      <c r="M35" s="36" t="s">
        <v>486</v>
      </c>
      <c r="N35" s="36"/>
      <c r="O35" s="36"/>
    </row>
    <row r="36" spans="1:15" ht="12.75" customHeight="1" x14ac:dyDescent="0.3">
      <c r="A36" s="36"/>
      <c r="B36" s="29"/>
      <c r="C36" s="36" t="s">
        <v>534</v>
      </c>
      <c r="D36" s="95"/>
      <c r="E36" s="95"/>
      <c r="F36" s="29"/>
      <c r="G36" s="94" t="s">
        <v>10</v>
      </c>
      <c r="H36" s="36" t="s">
        <v>722</v>
      </c>
      <c r="I36" s="634"/>
      <c r="J36" s="635" t="str">
        <f>IF(ISBLANK(HLOOKUP(CaseName,CaseData,MATCH($G36,cases!$G$3:$G$2464,0),FALSE)),"",HLOOKUP(CaseName,CaseData,MATCH($G36,cases!$G$3:$G$2464,0),FALSE))</f>
        <v/>
      </c>
      <c r="K36" s="352">
        <v>0.2</v>
      </c>
      <c r="L36" s="636">
        <f t="shared" si="0"/>
        <v>0.2</v>
      </c>
      <c r="M36" s="36" t="s">
        <v>486</v>
      </c>
      <c r="N36" s="36"/>
      <c r="O36" s="36"/>
    </row>
    <row r="37" spans="1:15" ht="12.75" customHeight="1" x14ac:dyDescent="0.3">
      <c r="A37" s="36"/>
      <c r="B37" s="29"/>
      <c r="C37" s="36" t="s">
        <v>535</v>
      </c>
      <c r="D37" s="95"/>
      <c r="E37" s="95"/>
      <c r="F37" s="29"/>
      <c r="G37" s="94" t="s">
        <v>890</v>
      </c>
      <c r="H37" s="36" t="s">
        <v>722</v>
      </c>
      <c r="I37" s="634"/>
      <c r="J37" s="635" t="str">
        <f>IF(ISBLANK(HLOOKUP(CaseName,CaseData,MATCH($G37,cases!$G$3:$G$2464,0),FALSE)),"",HLOOKUP(CaseName,CaseData,MATCH($G37,cases!$G$3:$G$2464,0),FALSE))</f>
        <v/>
      </c>
      <c r="K37" s="352">
        <f>1-L35-L36</f>
        <v>0.60000000000000009</v>
      </c>
      <c r="L37" s="636">
        <f t="shared" si="0"/>
        <v>0.60000000000000009</v>
      </c>
      <c r="M37" s="36" t="s">
        <v>486</v>
      </c>
      <c r="N37" s="36"/>
      <c r="O37" s="36"/>
    </row>
    <row r="38" spans="1:15" ht="12.75" customHeight="1" x14ac:dyDescent="0.3">
      <c r="A38" s="36"/>
      <c r="B38" s="29"/>
      <c r="C38" s="36" t="s">
        <v>1357</v>
      </c>
      <c r="D38" s="95"/>
      <c r="E38" s="95"/>
      <c r="F38" s="29"/>
      <c r="G38" s="94" t="s">
        <v>8</v>
      </c>
      <c r="H38" s="36" t="s">
        <v>722</v>
      </c>
      <c r="I38" s="634"/>
      <c r="J38" s="635" t="str">
        <f>IF(ISBLANK(HLOOKUP(CaseName,CaseData,MATCH($G38,cases!$G$3:$G$2464,0),FALSE)),"",HLOOKUP(CaseName,CaseData,MATCH($G38,cases!$G$3:$G$2464,0),FALSE))</f>
        <v/>
      </c>
      <c r="K38" s="352">
        <v>0.2</v>
      </c>
      <c r="L38" s="636">
        <f t="shared" si="0"/>
        <v>0.2</v>
      </c>
      <c r="M38" s="36" t="s">
        <v>486</v>
      </c>
      <c r="N38" s="36"/>
      <c r="O38" s="36"/>
    </row>
    <row r="39" spans="1:15" ht="12.75" customHeight="1" x14ac:dyDescent="0.3">
      <c r="A39" s="36"/>
      <c r="B39" s="29"/>
      <c r="C39" s="36" t="s">
        <v>537</v>
      </c>
      <c r="D39" s="95"/>
      <c r="E39" s="95"/>
      <c r="F39" s="29"/>
      <c r="G39" s="94" t="s">
        <v>11</v>
      </c>
      <c r="H39" s="36" t="s">
        <v>722</v>
      </c>
      <c r="I39" s="634"/>
      <c r="J39" s="635" t="str">
        <f>IF(ISBLANK(HLOOKUP(CaseName,CaseData,MATCH($G39,cases!$G$3:$G$2464,0),FALSE)),"",HLOOKUP(CaseName,CaseData,MATCH($G39,cases!$G$3:$G$2464,0),FALSE))</f>
        <v/>
      </c>
      <c r="K39" s="352">
        <v>0.2</v>
      </c>
      <c r="L39" s="636">
        <f t="shared" si="0"/>
        <v>0.2</v>
      </c>
      <c r="M39" s="36" t="s">
        <v>486</v>
      </c>
      <c r="N39" s="36"/>
      <c r="O39" s="36"/>
    </row>
    <row r="40" spans="1:15" ht="12.75" customHeight="1" x14ac:dyDescent="0.3">
      <c r="A40" s="36"/>
      <c r="B40" s="29"/>
      <c r="C40" s="36" t="s">
        <v>15</v>
      </c>
      <c r="D40" s="95"/>
      <c r="E40" s="95"/>
      <c r="F40" s="29"/>
      <c r="G40" s="94" t="s">
        <v>891</v>
      </c>
      <c r="H40" s="36" t="s">
        <v>722</v>
      </c>
      <c r="I40" s="634"/>
      <c r="J40" s="635" t="str">
        <f>IF(ISBLANK(HLOOKUP(CaseName,CaseData,MATCH($G40,cases!$G$3:$G$2464,0),FALSE)),"",HLOOKUP(CaseName,CaseData,MATCH($G40,cases!$G$3:$G$2464,0),FALSE))</f>
        <v/>
      </c>
      <c r="K40" s="352">
        <f>1-L38-L39</f>
        <v>0.60000000000000009</v>
      </c>
      <c r="L40" s="636">
        <f t="shared" si="0"/>
        <v>0.60000000000000009</v>
      </c>
      <c r="M40" s="36" t="s">
        <v>486</v>
      </c>
      <c r="N40" s="36"/>
      <c r="O40" s="36"/>
    </row>
    <row r="41" spans="1:15" ht="12.75" customHeight="1" x14ac:dyDescent="0.3">
      <c r="A41" s="36"/>
      <c r="B41" s="29"/>
      <c r="C41" s="36" t="s">
        <v>434</v>
      </c>
      <c r="D41" s="95"/>
      <c r="E41" s="95"/>
      <c r="F41" s="29"/>
      <c r="G41" s="94" t="s">
        <v>893</v>
      </c>
      <c r="H41" s="36" t="s">
        <v>722</v>
      </c>
      <c r="I41" s="634"/>
      <c r="J41" s="635" t="str">
        <f>IF(ISBLANK(HLOOKUP(CaseName,CaseData,MATCH($G41,cases!$G$3:$G$2464,0),FALSE)),"",HLOOKUP(CaseName,CaseData,MATCH($G41,cases!$G$3:$G$2464,0),FALSE))</f>
        <v/>
      </c>
      <c r="K41" s="352">
        <v>0.8</v>
      </c>
      <c r="L41" s="636">
        <f t="shared" si="0"/>
        <v>0.8</v>
      </c>
      <c r="M41" s="36" t="s">
        <v>486</v>
      </c>
      <c r="N41" s="36"/>
      <c r="O41" s="36"/>
    </row>
    <row r="42" spans="1:15" ht="12.75" customHeight="1" x14ac:dyDescent="0.3">
      <c r="A42" s="36"/>
      <c r="B42" s="29"/>
      <c r="C42" s="36" t="s">
        <v>888</v>
      </c>
      <c r="D42" s="95"/>
      <c r="E42" s="95"/>
      <c r="F42" s="29"/>
      <c r="G42" s="94" t="s">
        <v>894</v>
      </c>
      <c r="H42" s="36" t="s">
        <v>722</v>
      </c>
      <c r="I42" s="634"/>
      <c r="J42" s="635" t="str">
        <f>IF(ISBLANK(HLOOKUP(CaseName,CaseData,MATCH($G42,cases!$G$3:$G$2464,0),FALSE)),"",HLOOKUP(CaseName,CaseData,MATCH($G42,cases!$G$3:$G$2464,0),FALSE))</f>
        <v/>
      </c>
      <c r="K42" s="352">
        <f>1-L41</f>
        <v>0.19999999999999996</v>
      </c>
      <c r="L42" s="636">
        <f t="shared" si="0"/>
        <v>0.19999999999999996</v>
      </c>
      <c r="M42" s="36" t="s">
        <v>486</v>
      </c>
      <c r="N42" s="36"/>
      <c r="O42" s="36"/>
    </row>
    <row r="43" spans="1:15" ht="12.75" customHeight="1" x14ac:dyDescent="0.3">
      <c r="A43" s="36"/>
      <c r="B43" s="29"/>
      <c r="C43" s="29"/>
      <c r="D43" s="29"/>
      <c r="E43" s="29"/>
      <c r="F43" s="29"/>
      <c r="G43" s="94"/>
      <c r="H43" s="36"/>
      <c r="I43" s="339"/>
      <c r="J43" s="363"/>
      <c r="K43" s="353"/>
      <c r="L43" s="353"/>
      <c r="M43" s="29"/>
      <c r="N43" s="36"/>
      <c r="O43" s="36"/>
    </row>
    <row r="44" spans="1:15" ht="12.75" customHeight="1" x14ac:dyDescent="0.3">
      <c r="A44" s="36" t="s">
        <v>63</v>
      </c>
      <c r="B44" s="29"/>
      <c r="C44" s="29"/>
      <c r="D44" s="29"/>
      <c r="E44" s="29"/>
      <c r="F44" s="29"/>
      <c r="G44" s="36" t="s">
        <v>227</v>
      </c>
      <c r="H44" s="36" t="s">
        <v>4037</v>
      </c>
      <c r="I44" s="639"/>
      <c r="J44" s="635" t="str">
        <f>IF(ISBLANK(HLOOKUP(CaseName,CaseData,MATCH($G44,cases!$G$3:$G$2464,0),FALSE)),"",HLOOKUP(CaseName,CaseData,MATCH($G44,cases!$G$3:$G$2464,0),FALSE))</f>
        <v/>
      </c>
      <c r="K44" s="352">
        <f>1/L45</f>
        <v>9.4201427396491372E-6</v>
      </c>
      <c r="L44" s="636">
        <f>IF(ISBLANK(I44),IF(ISNUMBER(J44)=FALSE,K44,J44),I44)</f>
        <v>9.4201427396491372E-6</v>
      </c>
      <c r="M44" s="29" t="s">
        <v>1488</v>
      </c>
      <c r="N44" s="36"/>
      <c r="O44" s="36"/>
    </row>
    <row r="45" spans="1:15" ht="12.75" customHeight="1" x14ac:dyDescent="0.3">
      <c r="A45" s="36"/>
      <c r="B45" s="36" t="s">
        <v>704</v>
      </c>
      <c r="C45" s="36"/>
      <c r="D45" s="95"/>
      <c r="E45" s="29"/>
      <c r="F45" s="29"/>
      <c r="G45" s="37" t="s">
        <v>108</v>
      </c>
      <c r="H45" s="36" t="s">
        <v>723</v>
      </c>
      <c r="I45" s="634"/>
      <c r="J45" s="635" t="str">
        <f>IF(ISBLANK(HLOOKUP(CaseName,CaseData,MATCH($G45,cases!$G$3:$G$2464,0),FALSE)),"",HLOOKUP(CaseName,CaseData,MATCH($G45,cases!$G$3:$G$2464,0),FALSE))</f>
        <v/>
      </c>
      <c r="K45" s="352">
        <f>1.5*(0.5*SQRT(L14*PI()/4)/WINDspeed.R)/(3600*24)</f>
        <v>1.2286516663233875</v>
      </c>
      <c r="L45" s="636">
        <f>IF(ISBLANK(I45),IF(ISNUMBER(J45)=FALSE,K45*(3600*24),J45*(3600*24)),I45*(3600*24))</f>
        <v>106155.50397034068</v>
      </c>
      <c r="M45" s="36" t="s">
        <v>115</v>
      </c>
      <c r="N45" s="36"/>
      <c r="O45" s="36"/>
    </row>
    <row r="46" spans="1:15" ht="12.75" customHeight="1" x14ac:dyDescent="0.3">
      <c r="A46" s="36"/>
      <c r="B46" s="29"/>
      <c r="C46" s="29"/>
      <c r="D46" s="29"/>
      <c r="E46" s="29"/>
      <c r="F46" s="29"/>
      <c r="G46" s="94"/>
      <c r="H46" s="36"/>
      <c r="I46" s="339"/>
      <c r="J46" s="363"/>
      <c r="K46" s="353"/>
      <c r="L46" s="353"/>
      <c r="M46" s="29"/>
      <c r="N46" s="36"/>
      <c r="O46" s="36"/>
    </row>
    <row r="47" spans="1:15" ht="12.75" customHeight="1" x14ac:dyDescent="0.3">
      <c r="A47" s="36" t="s">
        <v>319</v>
      </c>
      <c r="B47" s="29"/>
      <c r="C47" s="29"/>
      <c r="D47" s="29"/>
      <c r="E47" s="29"/>
      <c r="F47" s="29"/>
      <c r="G47" s="36" t="s">
        <v>288</v>
      </c>
      <c r="H47" s="36" t="s">
        <v>4037</v>
      </c>
      <c r="I47" s="639"/>
      <c r="J47" s="635" t="str">
        <f>IF(ISBLANK(HLOOKUP(CaseName,CaseData,MATCH($G47,cases!$G$3:$G$2464,0),FALSE)),"",HLOOKUP(CaseName,CaseData,MATCH($G47,cases!$G$3:$G$2464,0),FALSE))</f>
        <v/>
      </c>
      <c r="K47" s="352">
        <f>L52/L6</f>
        <v>2.3972602739726025E-9</v>
      </c>
      <c r="L47" s="636">
        <f t="shared" ref="L47:L56" si="1">IF(ISBLANK(I47),IF(ISNUMBER(J47)=FALSE,K47,J47),I47)</f>
        <v>2.3972602739726025E-9</v>
      </c>
      <c r="M47" s="29" t="s">
        <v>1488</v>
      </c>
      <c r="N47" s="36"/>
      <c r="O47" s="36"/>
    </row>
    <row r="48" spans="1:15" ht="12.75" customHeight="1" x14ac:dyDescent="0.3">
      <c r="A48" s="36" t="s">
        <v>320</v>
      </c>
      <c r="B48" s="29"/>
      <c r="C48" s="29"/>
      <c r="D48" s="29"/>
      <c r="E48" s="29"/>
      <c r="F48" s="29"/>
      <c r="G48" s="36" t="s">
        <v>290</v>
      </c>
      <c r="H48" s="36" t="s">
        <v>4037</v>
      </c>
      <c r="I48" s="639"/>
      <c r="J48" s="635" t="str">
        <f>IF(ISBLANK(HLOOKUP(CaseName,CaseData,MATCH($G48,cases!$G$3:$G$2464,0),FALSE)),"",HLOOKUP(CaseName,CaseData,MATCH($G48,cases!$G$3:$G$2464,0),FALSE))</f>
        <v/>
      </c>
      <c r="K48" s="352">
        <f>L53/L6</f>
        <v>0</v>
      </c>
      <c r="L48" s="636">
        <f t="shared" si="1"/>
        <v>0</v>
      </c>
      <c r="M48" s="29" t="s">
        <v>1488</v>
      </c>
      <c r="N48" s="36"/>
      <c r="O48" s="36"/>
    </row>
    <row r="49" spans="1:15" ht="12.75" customHeight="1" x14ac:dyDescent="0.3">
      <c r="A49" s="36" t="s">
        <v>318</v>
      </c>
      <c r="B49" s="29"/>
      <c r="C49" s="29"/>
      <c r="D49" s="29"/>
      <c r="E49" s="29"/>
      <c r="F49" s="29"/>
      <c r="G49" s="36" t="s">
        <v>289</v>
      </c>
      <c r="H49" s="36" t="s">
        <v>4037</v>
      </c>
      <c r="I49" s="639"/>
      <c r="J49" s="635" t="str">
        <f>IF(ISBLANK(HLOOKUP(CaseName,CaseData,MATCH($G49,cases!$G$3:$G$2464,0),FALSE)),"",HLOOKUP(CaseName,CaseData,MATCH($G49,cases!$G$3:$G$2464,0),FALSE))</f>
        <v/>
      </c>
      <c r="K49" s="352">
        <f>L54/L7</f>
        <v>0</v>
      </c>
      <c r="L49" s="636">
        <f t="shared" si="1"/>
        <v>0</v>
      </c>
      <c r="M49" s="29" t="s">
        <v>1488</v>
      </c>
      <c r="N49" s="36"/>
      <c r="O49" s="36"/>
    </row>
    <row r="50" spans="1:15" ht="12.75" customHeight="1" x14ac:dyDescent="0.3">
      <c r="A50" s="36" t="s">
        <v>64</v>
      </c>
      <c r="B50" s="29"/>
      <c r="C50" s="29"/>
      <c r="D50" s="29"/>
      <c r="E50" s="29"/>
      <c r="F50" s="29"/>
      <c r="G50" s="36" t="s">
        <v>228</v>
      </c>
      <c r="H50" s="36" t="s">
        <v>4037</v>
      </c>
      <c r="I50" s="639"/>
      <c r="J50" s="635" t="str">
        <f>IF(ISBLANK(HLOOKUP(CaseName,CaseData,MATCH($G50,cases!$G$3:$G$2464,0),FALSE)),"",HLOOKUP(CaseName,CaseData,MATCH($G50,cases!$G$3:$G$2464,0),FALSE))</f>
        <v/>
      </c>
      <c r="K50" s="352">
        <f>L55/L7</f>
        <v>7.26442507264425E-8</v>
      </c>
      <c r="L50" s="636">
        <f t="shared" si="1"/>
        <v>7.26442507264425E-8</v>
      </c>
      <c r="M50" s="29" t="s">
        <v>1488</v>
      </c>
      <c r="N50" s="36"/>
      <c r="O50" s="36"/>
    </row>
    <row r="51" spans="1:15" ht="12.75" customHeight="1" x14ac:dyDescent="0.3">
      <c r="A51" s="36" t="s">
        <v>65</v>
      </c>
      <c r="B51" s="29"/>
      <c r="C51" s="29"/>
      <c r="D51" s="29"/>
      <c r="E51" s="29"/>
      <c r="F51" s="29"/>
      <c r="G51" s="36" t="s">
        <v>229</v>
      </c>
      <c r="H51" s="36" t="s">
        <v>4037</v>
      </c>
      <c r="I51" s="639"/>
      <c r="J51" s="635" t="str">
        <f>IF(ISBLANK(HLOOKUP(CaseName,CaseData,MATCH($G51,cases!$G$3:$G$2464,0),FALSE)),"",HLOOKUP(CaseName,CaseData,MATCH($G51,cases!$G$3:$G$2464,0),FALSE))</f>
        <v/>
      </c>
      <c r="K51" s="352">
        <f>L56/L8</f>
        <v>1.3698544520547928E-6</v>
      </c>
      <c r="L51" s="636">
        <f t="shared" si="1"/>
        <v>1.3698544520547928E-6</v>
      </c>
      <c r="M51" s="29" t="s">
        <v>1488</v>
      </c>
      <c r="N51" s="36"/>
      <c r="O51" s="36"/>
    </row>
    <row r="52" spans="1:15" ht="12.75" customHeight="1" x14ac:dyDescent="0.3">
      <c r="A52" s="36"/>
      <c r="B52" s="36" t="s">
        <v>314</v>
      </c>
      <c r="C52" s="29"/>
      <c r="D52" s="29"/>
      <c r="E52" s="95"/>
      <c r="F52" s="95"/>
      <c r="G52" s="94" t="s">
        <v>316</v>
      </c>
      <c r="H52" s="36" t="s">
        <v>4038</v>
      </c>
      <c r="I52" s="637"/>
      <c r="J52" s="635" t="str">
        <f>IF(ISBLANK(HLOOKUP(CaseName,CaseData,MATCH($G52,cases!$G$3:$G$2464,0),FALSE)),"",HLOOKUP(CaseName,CaseData,MATCH($G52,cases!$G$3:$G$2464,0),FALSE))</f>
        <v/>
      </c>
      <c r="K52" s="352">
        <f>0.1*K55</f>
        <v>136.98544520547944</v>
      </c>
      <c r="L52" s="636">
        <f>IF(ISBLANK(I52),IF(ISNUMBER(J52)=FALSE,K52,J52),I52)</f>
        <v>136.98544520547944</v>
      </c>
      <c r="M52" s="29" t="s">
        <v>4039</v>
      </c>
      <c r="N52" s="36" t="s">
        <v>324</v>
      </c>
      <c r="O52" s="36"/>
    </row>
    <row r="53" spans="1:15" ht="12.75" customHeight="1" x14ac:dyDescent="0.3">
      <c r="A53" s="36"/>
      <c r="B53" s="36" t="s">
        <v>317</v>
      </c>
      <c r="C53" s="29"/>
      <c r="D53" s="29"/>
      <c r="E53" s="95"/>
      <c r="F53" s="95"/>
      <c r="G53" s="94" t="s">
        <v>315</v>
      </c>
      <c r="H53" s="36" t="s">
        <v>4038</v>
      </c>
      <c r="I53" s="637"/>
      <c r="J53" s="635" t="str">
        <f>IF(ISBLANK(HLOOKUP(CaseName,CaseData,MATCH($G53,cases!$G$3:$G$2464,0),FALSE)),"",HLOOKUP(CaseName,CaseData,MATCH($G53,cases!$G$3:$G$2464,0),FALSE))</f>
        <v/>
      </c>
      <c r="K53" s="352">
        <v>0</v>
      </c>
      <c r="L53" s="636">
        <f>IF(ISBLANK(I53),IF(ISNUMBER(J53)=FALSE,K53,J53),I53)</f>
        <v>0</v>
      </c>
      <c r="M53" s="29" t="s">
        <v>4039</v>
      </c>
      <c r="N53" s="36" t="s">
        <v>324</v>
      </c>
      <c r="O53" s="36"/>
    </row>
    <row r="54" spans="1:15" ht="12.75" customHeight="1" x14ac:dyDescent="0.3">
      <c r="A54" s="36"/>
      <c r="B54" s="36" t="s">
        <v>321</v>
      </c>
      <c r="C54" s="29"/>
      <c r="D54" s="29"/>
      <c r="E54" s="95"/>
      <c r="F54" s="95"/>
      <c r="G54" s="94" t="s">
        <v>322</v>
      </c>
      <c r="H54" s="36" t="s">
        <v>4038</v>
      </c>
      <c r="I54" s="637"/>
      <c r="J54" s="635" t="str">
        <f>IF(ISBLANK(HLOOKUP(CaseName,CaseData,MATCH($G54,cases!$G$3:$G$2464,0),FALSE)),"",HLOOKUP(CaseName,CaseData,MATCH($G54,cases!$G$3:$G$2464,0),FALSE))</f>
        <v/>
      </c>
      <c r="K54" s="352">
        <v>0</v>
      </c>
      <c r="L54" s="636">
        <f>IF(ISBLANK(I54),IF(ISNUMBER(J54)=FALSE,K54,J54),I54)</f>
        <v>0</v>
      </c>
      <c r="M54" s="29" t="s">
        <v>4039</v>
      </c>
      <c r="N54" s="36" t="s">
        <v>324</v>
      </c>
      <c r="O54" s="36"/>
    </row>
    <row r="55" spans="1:15" ht="12.75" customHeight="1" x14ac:dyDescent="0.3">
      <c r="A55" s="36"/>
      <c r="B55" s="36" t="s">
        <v>1166</v>
      </c>
      <c r="C55" s="29"/>
      <c r="D55" s="29"/>
      <c r="E55" s="95"/>
      <c r="F55" s="95"/>
      <c r="G55" s="94" t="s">
        <v>118</v>
      </c>
      <c r="H55" s="36" t="s">
        <v>4038</v>
      </c>
      <c r="I55" s="637"/>
      <c r="J55" s="635" t="str">
        <f>IF(ISBLANK(HLOOKUP(CaseName,CaseData,MATCH($G55,cases!$G$3:$G$2464,0),FALSE)),"",HLOOKUP(CaseName,CaseData,MATCH($G55,cases!$G$3:$G$2464,0),FALSE))</f>
        <v/>
      </c>
      <c r="K55" s="352">
        <f>((L16+L17*L178+L18*L179+L19*L180)*RAINrate.R*L14+WATERflow.w1C.w1R)*(1-FRAC.w1R.w1C)</f>
        <v>1369.8544520547944</v>
      </c>
      <c r="L55" s="636">
        <f t="shared" si="1"/>
        <v>1369.8544520547944</v>
      </c>
      <c r="M55" s="29" t="s">
        <v>4039</v>
      </c>
      <c r="N55" s="36"/>
      <c r="O55" s="36"/>
    </row>
    <row r="56" spans="1:15" ht="12.75" customHeight="1" x14ac:dyDescent="0.3">
      <c r="A56" s="36"/>
      <c r="B56" s="36" t="s">
        <v>1167</v>
      </c>
      <c r="C56" s="36"/>
      <c r="D56" s="29"/>
      <c r="E56" s="95"/>
      <c r="F56" s="95"/>
      <c r="G56" s="94" t="s">
        <v>119</v>
      </c>
      <c r="H56" s="36" t="s">
        <v>4038</v>
      </c>
      <c r="I56" s="634"/>
      <c r="J56" s="635" t="str">
        <f>IF(ISBLANK(HLOOKUP(CaseName,CaseData,MATCH($G56,cases!$G$3:$G$2464,0),FALSE)),"",HLOOKUP(CaseName,CaseData,MATCH($G56,cases!$G$3:$G$2464,0),FALSE))</f>
        <v/>
      </c>
      <c r="K56" s="352">
        <f>L55+WATERflow.w2C.w2R</f>
        <v>13698.544520547945</v>
      </c>
      <c r="L56" s="636">
        <f t="shared" si="1"/>
        <v>13698.544520547945</v>
      </c>
      <c r="M56" s="29" t="s">
        <v>4039</v>
      </c>
      <c r="N56" s="36"/>
      <c r="O56" s="36"/>
    </row>
    <row r="57" spans="1:15" ht="12.75" customHeight="1" x14ac:dyDescent="0.3">
      <c r="A57" s="29"/>
      <c r="B57" s="29"/>
      <c r="C57" s="29"/>
      <c r="D57" s="29"/>
      <c r="E57" s="29"/>
      <c r="F57" s="29"/>
      <c r="G57" s="36"/>
      <c r="H57" s="36"/>
      <c r="I57" s="339"/>
      <c r="J57" s="363"/>
      <c r="K57" s="353"/>
      <c r="L57" s="353"/>
      <c r="M57" s="29"/>
      <c r="N57" s="36"/>
      <c r="O57" s="36"/>
    </row>
    <row r="58" spans="1:15" ht="12.75" customHeight="1" x14ac:dyDescent="0.3">
      <c r="A58" s="98" t="s">
        <v>2229</v>
      </c>
      <c r="B58" s="97"/>
      <c r="C58" s="97"/>
      <c r="D58" s="97"/>
      <c r="E58" s="97"/>
      <c r="F58" s="97"/>
      <c r="G58" s="98" t="s">
        <v>1008</v>
      </c>
      <c r="H58" s="98" t="s">
        <v>968</v>
      </c>
      <c r="I58" s="364" t="s">
        <v>754</v>
      </c>
      <c r="J58" s="640" t="s">
        <v>37</v>
      </c>
      <c r="K58" s="340" t="s">
        <v>753</v>
      </c>
      <c r="L58" s="340" t="s">
        <v>1358</v>
      </c>
      <c r="M58" s="97"/>
      <c r="N58" s="98" t="s">
        <v>1371</v>
      </c>
      <c r="O58" s="36"/>
    </row>
    <row r="59" spans="1:15" ht="12.75" customHeight="1" x14ac:dyDescent="0.3">
      <c r="A59" s="36"/>
      <c r="B59" s="36"/>
      <c r="C59" s="36"/>
      <c r="D59" s="36"/>
      <c r="E59" s="36"/>
      <c r="F59" s="36"/>
      <c r="G59" s="36"/>
      <c r="H59" s="36"/>
      <c r="I59" s="339"/>
      <c r="J59" s="363"/>
      <c r="K59" s="353"/>
      <c r="L59" s="353"/>
      <c r="M59" s="29"/>
      <c r="N59" s="36"/>
      <c r="O59" s="36"/>
    </row>
    <row r="60" spans="1:15" ht="12.75" customHeight="1" x14ac:dyDescent="0.3">
      <c r="A60" s="29"/>
      <c r="B60" s="29" t="s">
        <v>3969</v>
      </c>
      <c r="C60" s="29"/>
      <c r="D60" s="29"/>
      <c r="E60" s="29"/>
      <c r="F60" s="29"/>
      <c r="G60" s="174" t="s">
        <v>3970</v>
      </c>
      <c r="H60" s="29" t="s">
        <v>36</v>
      </c>
      <c r="I60" s="638"/>
      <c r="J60" s="635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0.97607289323959479</v>
      </c>
      <c r="L60" s="636">
        <f t="shared" ref="L60:L65" si="2">IF(ISBLANK(I60),IF(ISNUMBER(J60)=FALSE,K60,J60),I60)</f>
        <v>0.97607289323959479</v>
      </c>
      <c r="M60" s="36" t="s">
        <v>486</v>
      </c>
      <c r="N60" s="36"/>
      <c r="O60" s="36"/>
    </row>
    <row r="61" spans="1:15" ht="12.75" customHeight="1" x14ac:dyDescent="0.3">
      <c r="A61" s="29"/>
      <c r="B61" s="29" t="s">
        <v>615</v>
      </c>
      <c r="C61" s="29"/>
      <c r="D61" s="29"/>
      <c r="E61" s="29"/>
      <c r="F61" s="29"/>
      <c r="G61" s="29" t="s">
        <v>609</v>
      </c>
      <c r="H61" s="29" t="s">
        <v>36</v>
      </c>
      <c r="I61" s="634"/>
      <c r="J61" s="635" t="str">
        <f>IF(ISBLANK(HLOOKUP(CaseName,CaseData,MATCH($G61,cases!$G$3:$G$2464,0),FALSE)),"",HLOOKUP(CaseName,CaseData,MATCH($G61,cases!$G$3:$G$2464,0),FALSE))</f>
        <v/>
      </c>
      <c r="K61" s="426">
        <f>L31*L64/(1+L31*L64+L30*L65)</f>
        <v>3.9711135849005027E-4</v>
      </c>
      <c r="L61" s="636">
        <f t="shared" si="2"/>
        <v>3.9711135849005027E-4</v>
      </c>
      <c r="M61" s="36" t="s">
        <v>486</v>
      </c>
      <c r="N61" s="36" t="s">
        <v>2185</v>
      </c>
      <c r="O61" s="36"/>
    </row>
    <row r="62" spans="1:15" ht="12.75" customHeight="1" x14ac:dyDescent="0.3">
      <c r="A62" s="29"/>
      <c r="B62" s="29" t="s">
        <v>616</v>
      </c>
      <c r="C62" s="29"/>
      <c r="D62" s="29"/>
      <c r="E62" s="29"/>
      <c r="F62" s="29"/>
      <c r="G62" s="29" t="s">
        <v>610</v>
      </c>
      <c r="H62" s="29" t="s">
        <v>36</v>
      </c>
      <c r="I62" s="638"/>
      <c r="J62" s="635" t="str">
        <f>IF(ISBLANK(HLOOKUP(CaseName,CaseData,MATCH($G62,cases!$G$3:$G$2464,0),FALSE)),"",HLOOKUP(CaseName,CaseData,MATCH($G62,cases!$G$3:$G$2464,0),FALSE))</f>
        <v/>
      </c>
      <c r="K62" s="366">
        <f>L30*L65/(1+L31*L64+L30*L65)</f>
        <v>2.3529995401915089E-2</v>
      </c>
      <c r="L62" s="636">
        <f t="shared" si="2"/>
        <v>2.3529995401915089E-2</v>
      </c>
      <c r="M62" s="36" t="s">
        <v>486</v>
      </c>
      <c r="N62" s="36" t="s">
        <v>2185</v>
      </c>
      <c r="O62" s="36"/>
    </row>
    <row r="63" spans="1:15" ht="12.75" customHeight="1" x14ac:dyDescent="0.35">
      <c r="A63" s="29"/>
      <c r="B63" s="29"/>
      <c r="C63" s="29" t="s">
        <v>3971</v>
      </c>
      <c r="D63" s="29"/>
      <c r="E63" s="29"/>
      <c r="F63" s="29"/>
      <c r="G63" s="174" t="s">
        <v>3972</v>
      </c>
      <c r="H63" s="29" t="s">
        <v>4040</v>
      </c>
      <c r="I63" s="634"/>
      <c r="J63" s="635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4.9158665603902462E-8</v>
      </c>
      <c r="L63" s="636">
        <f t="shared" si="2"/>
        <v>4.9158665603902462E-8</v>
      </c>
      <c r="M63" s="36" t="s">
        <v>486</v>
      </c>
      <c r="N63" s="36"/>
      <c r="O63" s="36"/>
    </row>
    <row r="64" spans="1:15" ht="12.75" customHeight="1" x14ac:dyDescent="0.35">
      <c r="A64" s="29"/>
      <c r="B64" s="29"/>
      <c r="C64" s="29" t="s">
        <v>612</v>
      </c>
      <c r="D64" s="29"/>
      <c r="E64" s="29"/>
      <c r="F64" s="29"/>
      <c r="G64" s="29" t="s">
        <v>611</v>
      </c>
      <c r="H64" s="29" t="s">
        <v>4041</v>
      </c>
      <c r="I64" s="634"/>
      <c r="J64" s="635" t="str">
        <f>IF(ISBLANK(HLOOKUP(CaseName,CaseData,MATCH($G64,cases!$G$3:$G$2464,0),FALSE)),"",HLOOKUP(CaseName,CaseData,MATCH($G64,cases!$G$3:$G$2464,0),FALSE))</f>
        <v/>
      </c>
      <c r="K64" s="426">
        <f>1/(L63*FRorig.aerw)</f>
        <v>20342300.315913603</v>
      </c>
      <c r="L64" s="636">
        <f t="shared" si="2"/>
        <v>20342300.315913603</v>
      </c>
      <c r="M64" s="36" t="s">
        <v>486</v>
      </c>
      <c r="N64" s="36"/>
      <c r="O64" s="36"/>
    </row>
    <row r="65" spans="1:15" ht="12.75" customHeight="1" x14ac:dyDescent="0.35">
      <c r="A65" s="29"/>
      <c r="B65" s="29"/>
      <c r="C65" s="29" t="s">
        <v>613</v>
      </c>
      <c r="D65" s="29"/>
      <c r="E65" s="29"/>
      <c r="F65" s="29"/>
      <c r="G65" s="29" t="s">
        <v>614</v>
      </c>
      <c r="H65" s="29" t="s">
        <v>4042</v>
      </c>
      <c r="I65" s="634"/>
      <c r="J65" s="635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1205340070.6487617</v>
      </c>
      <c r="L65" s="636">
        <f t="shared" si="2"/>
        <v>1205340070.6487617</v>
      </c>
      <c r="M65" s="36" t="s">
        <v>486</v>
      </c>
      <c r="N65" s="36" t="s">
        <v>924</v>
      </c>
      <c r="O65" s="36"/>
    </row>
    <row r="66" spans="1:15" ht="12.75" customHeight="1" x14ac:dyDescent="0.3">
      <c r="A66" s="36"/>
      <c r="B66" s="36" t="s">
        <v>291</v>
      </c>
      <c r="C66" s="95"/>
      <c r="D66" s="29"/>
      <c r="E66" s="29"/>
      <c r="F66" s="29"/>
      <c r="G66" s="94" t="s">
        <v>292</v>
      </c>
      <c r="H66" s="36" t="s">
        <v>36</v>
      </c>
      <c r="I66" s="638"/>
      <c r="J66" s="635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0.99968498850414056</v>
      </c>
      <c r="L66" s="636">
        <f>IF(ISBLANK(I66),IF(ISNUMBER(J66)=FALSE,K66,J66),I66)</f>
        <v>0.99968498850414056</v>
      </c>
      <c r="M66" s="36" t="s">
        <v>486</v>
      </c>
      <c r="N66" s="36"/>
      <c r="O66" s="36"/>
    </row>
    <row r="67" spans="1:15" ht="12.75" customHeight="1" x14ac:dyDescent="0.3">
      <c r="A67" s="36"/>
      <c r="B67" s="29"/>
      <c r="C67" s="36" t="s">
        <v>706</v>
      </c>
      <c r="D67" s="29"/>
      <c r="E67" s="29"/>
      <c r="F67" s="29"/>
      <c r="G67" s="94" t="s">
        <v>293</v>
      </c>
      <c r="H67" s="36" t="s">
        <v>4043</v>
      </c>
      <c r="I67" s="634"/>
      <c r="J67" s="635" t="str">
        <f>IF(ISBLANK(HLOOKUP(CaseName,CaseData,MATCH($G67,cases!$G$3:$G$2464,0),FALSE)),"",HLOOKUP(CaseName,CaseData,MATCH($G67,cases!$G$3:$G$2464,0),FALSE))</f>
        <v/>
      </c>
      <c r="K67" s="641">
        <f>(FRorig.w1*Ksw+(1-FRorig.w1)*Ksw.alt)*(1000/RHOsolid/CORG)*L68</f>
        <v>102.20032562438601</v>
      </c>
      <c r="L67" s="636">
        <f>IF(ISBLANK(I67),IF(ISNUMBER(J67)=FALSE,K67,J67),I67)</f>
        <v>102.20032562438601</v>
      </c>
      <c r="M67" s="36" t="s">
        <v>1498</v>
      </c>
      <c r="N67" s="36"/>
      <c r="O67" s="36"/>
    </row>
    <row r="68" spans="1:15" ht="12.75" customHeight="1" x14ac:dyDescent="0.3">
      <c r="A68" s="36"/>
      <c r="B68" s="29"/>
      <c r="C68" s="36" t="s">
        <v>1098</v>
      </c>
      <c r="D68" s="29"/>
      <c r="E68" s="29"/>
      <c r="F68" s="29"/>
      <c r="G68" s="94" t="s">
        <v>294</v>
      </c>
      <c r="H68" s="36" t="s">
        <v>36</v>
      </c>
      <c r="I68" s="634"/>
      <c r="J68" s="635" t="str">
        <f>IF(ISBLANK(HLOOKUP(CaseName,CaseData,MATCH($G68,cases!$G$3:$G$2464,0),FALSE)),"",HLOOKUP(CaseName,CaseData,MATCH($G68,cases!$G$3:$G$2464,0),FALSE))</f>
        <v/>
      </c>
      <c r="K68" s="641">
        <v>0.1</v>
      </c>
      <c r="L68" s="636">
        <f>IF(ISBLANK(I68),IF(ISNUMBER(J68)=FALSE,K68,J68),I68)</f>
        <v>0.1</v>
      </c>
      <c r="M68" s="36" t="s">
        <v>486</v>
      </c>
      <c r="N68" s="36"/>
      <c r="O68" s="36"/>
    </row>
    <row r="69" spans="1:15" ht="12.75" customHeight="1" x14ac:dyDescent="0.3">
      <c r="A69" s="36"/>
      <c r="B69" s="29"/>
      <c r="C69" s="36" t="s">
        <v>707</v>
      </c>
      <c r="D69" s="29"/>
      <c r="E69" s="29"/>
      <c r="F69" s="29"/>
      <c r="G69" s="94" t="s">
        <v>295</v>
      </c>
      <c r="H69" s="36" t="s">
        <v>4044</v>
      </c>
      <c r="I69" s="634"/>
      <c r="J69" s="635" t="str">
        <f>IF(ISBLANK(HLOOKUP(CaseName,CaseData,MATCH($G69,cases!$G$3:$G$2464,0),FALSE)),"",HLOOKUP(CaseName,CaseData,MATCH($G69,cases!$G$3:$G$2464,0),FALSE))</f>
        <v/>
      </c>
      <c r="K69" s="641">
        <v>0.5</v>
      </c>
      <c r="L69" s="636">
        <f>IF(ISBLANK(I69),IF(ISNUMBER(J69)=FALSE,K69/1000,J69/1000),I69/1000)</f>
        <v>5.0000000000000001E-4</v>
      </c>
      <c r="M69" s="36" t="s">
        <v>1497</v>
      </c>
      <c r="N69" s="36" t="s">
        <v>324</v>
      </c>
      <c r="O69" s="36"/>
    </row>
    <row r="70" spans="1:15" ht="12.75" customHeight="1" x14ac:dyDescent="0.3">
      <c r="A70" s="36"/>
      <c r="B70" s="29"/>
      <c r="C70" s="36" t="s">
        <v>549</v>
      </c>
      <c r="D70" s="29"/>
      <c r="E70" s="29"/>
      <c r="F70" s="29"/>
      <c r="G70" s="94" t="s">
        <v>296</v>
      </c>
      <c r="H70" s="36" t="s">
        <v>1039</v>
      </c>
      <c r="I70" s="634"/>
      <c r="J70" s="635" t="str">
        <f>IF(ISBLANK(HLOOKUP(CaseName,CaseData,MATCH($G70,cases!$G$3:$G$2464,0),FALSE)),"",HLOOKUP(CaseName,CaseData,MATCH($G70,cases!$G$3:$G$2464,0),FALSE))</f>
        <v/>
      </c>
      <c r="K70" s="641">
        <f>0.08*D</f>
        <v>264.01059655875667</v>
      </c>
      <c r="L70" s="636">
        <f>IF(ISBLANK(I70),IF(ISNUMBER(J70)=FALSE,K70,J70),I70)</f>
        <v>264.01059655875667</v>
      </c>
      <c r="M70" s="36" t="s">
        <v>1498</v>
      </c>
      <c r="N70" s="36"/>
      <c r="O70" s="36"/>
    </row>
    <row r="71" spans="1:15" ht="12.75" customHeight="1" x14ac:dyDescent="0.3">
      <c r="A71" s="36"/>
      <c r="B71" s="29"/>
      <c r="C71" s="36" t="s">
        <v>551</v>
      </c>
      <c r="D71" s="29"/>
      <c r="E71" s="29"/>
      <c r="F71" s="29"/>
      <c r="G71" s="94" t="s">
        <v>297</v>
      </c>
      <c r="H71" s="36" t="s">
        <v>1038</v>
      </c>
      <c r="I71" s="634"/>
      <c r="J71" s="635" t="str">
        <f>IF(ISBLANK(HLOOKUP(CaseName,CaseData,MATCH($G71,cases!$G$3:$G$2464,0),FALSE)),"",HLOOKUP(CaseName,CaseData,MATCH($G71,cases!$G$3:$G$2464,0),FALSE))</f>
        <v/>
      </c>
      <c r="K71" s="641">
        <v>1</v>
      </c>
      <c r="L71" s="636">
        <f>IF(ISBLANK(I71),IF(ISNUMBER(J71)=FALSE,K71/1000,J71/1000),I71/1000)</f>
        <v>1E-3</v>
      </c>
      <c r="M71" s="36" t="s">
        <v>1497</v>
      </c>
      <c r="N71" s="36"/>
      <c r="O71" s="36"/>
    </row>
    <row r="72" spans="1:15" ht="12.75" customHeight="1" x14ac:dyDescent="0.3">
      <c r="A72" s="36"/>
      <c r="B72" s="36" t="s">
        <v>3973</v>
      </c>
      <c r="C72" s="95"/>
      <c r="D72" s="29"/>
      <c r="E72" s="29"/>
      <c r="F72" s="29"/>
      <c r="G72" s="94" t="s">
        <v>538</v>
      </c>
      <c r="H72" s="36" t="s">
        <v>36</v>
      </c>
      <c r="I72" s="638"/>
      <c r="J72" s="635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0.99820620799108495</v>
      </c>
      <c r="L72" s="636">
        <f t="shared" ref="L72:L104" si="3">IF(ISBLANK(I72),IF(ISNUMBER(J72)=FALSE,K72,J72),I72)</f>
        <v>0.99820620799108495</v>
      </c>
      <c r="M72" s="36" t="s">
        <v>486</v>
      </c>
      <c r="N72" s="36"/>
      <c r="O72" s="36"/>
    </row>
    <row r="73" spans="1:15" ht="12.75" customHeight="1" x14ac:dyDescent="0.3">
      <c r="A73" s="36"/>
      <c r="B73" s="29"/>
      <c r="C73" s="36" t="s">
        <v>706</v>
      </c>
      <c r="D73" s="29"/>
      <c r="E73" s="29"/>
      <c r="F73" s="29"/>
      <c r="G73" s="94" t="s">
        <v>182</v>
      </c>
      <c r="H73" s="36" t="s">
        <v>4043</v>
      </c>
      <c r="I73" s="634"/>
      <c r="J73" s="635" t="str">
        <f>IF(ISBLANK(HLOOKUP(CaseName,CaseData,MATCH($G73,cases!$G$3:$G$2464,0),FALSE)),"",HLOOKUP(CaseName,CaseData,MATCH($G73,cases!$G$3:$G$2464,0),FALSE))</f>
        <v/>
      </c>
      <c r="K73" s="641">
        <f>(FRorig.w1*Ksw+(1-FRorig.w1)*Ksw.alt)*(1000/RHOsolid/CORG)*L74</f>
        <v>102.20032562438601</v>
      </c>
      <c r="L73" s="636">
        <f t="shared" si="3"/>
        <v>102.20032562438601</v>
      </c>
      <c r="M73" s="36" t="s">
        <v>1498</v>
      </c>
      <c r="N73" s="36"/>
      <c r="O73" s="36"/>
    </row>
    <row r="74" spans="1:15" ht="12.75" customHeight="1" x14ac:dyDescent="0.3">
      <c r="A74" s="36"/>
      <c r="B74" s="29"/>
      <c r="C74" s="36" t="s">
        <v>1098</v>
      </c>
      <c r="D74" s="29"/>
      <c r="E74" s="29"/>
      <c r="F74" s="29"/>
      <c r="G74" s="94" t="s">
        <v>1456</v>
      </c>
      <c r="H74" s="36" t="s">
        <v>36</v>
      </c>
      <c r="I74" s="634"/>
      <c r="J74" s="635" t="str">
        <f>IF(ISBLANK(HLOOKUP(CaseName,CaseData,MATCH($G74,cases!$G$3:$G$2464,0),FALSE)),"",HLOOKUP(CaseName,CaseData,MATCH($G74,cases!$G$3:$G$2464,0),FALSE))</f>
        <v/>
      </c>
      <c r="K74" s="641">
        <v>0.1</v>
      </c>
      <c r="L74" s="636">
        <f t="shared" si="3"/>
        <v>0.1</v>
      </c>
      <c r="M74" s="36" t="s">
        <v>486</v>
      </c>
      <c r="N74" s="36"/>
      <c r="O74" s="36"/>
    </row>
    <row r="75" spans="1:15" ht="12.75" customHeight="1" x14ac:dyDescent="0.3">
      <c r="A75" s="36"/>
      <c r="B75" s="29"/>
      <c r="C75" s="36" t="s">
        <v>707</v>
      </c>
      <c r="D75" s="29"/>
      <c r="E75" s="29"/>
      <c r="F75" s="29"/>
      <c r="G75" s="94" t="s">
        <v>213</v>
      </c>
      <c r="H75" s="36" t="s">
        <v>4044</v>
      </c>
      <c r="I75" s="634"/>
      <c r="J75" s="635" t="str">
        <f>IF(ISBLANK(HLOOKUP(CaseName,CaseData,MATCH($G75,cases!$G$3:$G$2464,0),FALSE)),"",HLOOKUP(CaseName,CaseData,MATCH($G75,cases!$G$3:$G$2464,0),FALSE))</f>
        <v/>
      </c>
      <c r="K75" s="641">
        <v>15</v>
      </c>
      <c r="L75" s="636">
        <f>IF(ISBLANK(I75),IF(ISNUMBER(J75)=FALSE,K75/1000,J75/1000),I75/1000)</f>
        <v>1.4999999999999999E-2</v>
      </c>
      <c r="M75" s="36" t="s">
        <v>1497</v>
      </c>
      <c r="N75" s="36"/>
      <c r="O75" s="36"/>
    </row>
    <row r="76" spans="1:15" ht="12.75" customHeight="1" x14ac:dyDescent="0.3">
      <c r="A76" s="36"/>
      <c r="B76" s="29"/>
      <c r="C76" s="36" t="s">
        <v>549</v>
      </c>
      <c r="D76" s="29"/>
      <c r="E76" s="29"/>
      <c r="F76" s="29"/>
      <c r="G76" s="94" t="s">
        <v>550</v>
      </c>
      <c r="H76" s="36" t="s">
        <v>1039</v>
      </c>
      <c r="I76" s="634"/>
      <c r="J76" s="635" t="str">
        <f>IF(ISBLANK(HLOOKUP(CaseName,CaseData,MATCH($G76,cases!$G$3:$G$2464,0),FALSE)),"",HLOOKUP(CaseName,CaseData,MATCH($G76,cases!$G$3:$G$2464,0),FALSE))</f>
        <v/>
      </c>
      <c r="K76" s="641">
        <f>0.08*D</f>
        <v>264.01059655875667</v>
      </c>
      <c r="L76" s="636">
        <f t="shared" si="3"/>
        <v>264.01059655875667</v>
      </c>
      <c r="M76" s="36" t="s">
        <v>1498</v>
      </c>
      <c r="N76" s="36"/>
      <c r="O76" s="36"/>
    </row>
    <row r="77" spans="1:15" ht="12.75" customHeight="1" x14ac:dyDescent="0.3">
      <c r="A77" s="36"/>
      <c r="B77" s="29"/>
      <c r="C77" s="36" t="s">
        <v>551</v>
      </c>
      <c r="D77" s="29"/>
      <c r="E77" s="29"/>
      <c r="F77" s="29"/>
      <c r="G77" s="94" t="s">
        <v>552</v>
      </c>
      <c r="H77" s="36" t="s">
        <v>1038</v>
      </c>
      <c r="I77" s="634"/>
      <c r="J77" s="635" t="str">
        <f>IF(ISBLANK(HLOOKUP(CaseName,CaseData,MATCH($G77,cases!$G$3:$G$2464,0),FALSE)),"",HLOOKUP(CaseName,CaseData,MATCH($G77,cases!$G$3:$G$2464,0),FALSE))</f>
        <v/>
      </c>
      <c r="K77" s="641">
        <v>1</v>
      </c>
      <c r="L77" s="636">
        <f>IF(ISBLANK(I77),IF(ISNUMBER(J77)=FALSE,K77/1000,J77/1000),I77/1000)</f>
        <v>1E-3</v>
      </c>
      <c r="M77" s="36" t="s">
        <v>1497</v>
      </c>
      <c r="N77" s="36"/>
      <c r="O77" s="36"/>
    </row>
    <row r="78" spans="1:15" ht="12.75" customHeight="1" x14ac:dyDescent="0.3">
      <c r="A78" s="36"/>
      <c r="B78" s="36" t="s">
        <v>3974</v>
      </c>
      <c r="C78" s="95"/>
      <c r="D78" s="29"/>
      <c r="E78" s="29"/>
      <c r="F78" s="29"/>
      <c r="G78" s="94" t="s">
        <v>539</v>
      </c>
      <c r="H78" s="36" t="s">
        <v>36</v>
      </c>
      <c r="I78" s="638"/>
      <c r="J78" s="635" t="str">
        <f>IF(ISBLANK(HLOOKUP(CaseName,CaseData,MATCH($G78,cases!$G$3:$G$2464,0),FALSE)),"",HLOOKUP(CaseName,CaseData,MATCH($G78,cases!$G$3:$G$2464,0),FALSE))</f>
        <v/>
      </c>
      <c r="K78" s="641">
        <f>1/(1+L79*L81/1000+L82*L83/1000)</f>
        <v>0.99923939228777903</v>
      </c>
      <c r="L78" s="636">
        <f t="shared" si="3"/>
        <v>0.99923939228777903</v>
      </c>
      <c r="M78" s="36" t="s">
        <v>486</v>
      </c>
      <c r="N78" s="36"/>
      <c r="O78" s="36"/>
    </row>
    <row r="79" spans="1:15" ht="12.75" customHeight="1" x14ac:dyDescent="0.3">
      <c r="A79" s="36"/>
      <c r="B79" s="29"/>
      <c r="C79" s="36" t="s">
        <v>706</v>
      </c>
      <c r="D79" s="29"/>
      <c r="E79" s="29"/>
      <c r="F79" s="29"/>
      <c r="G79" s="94" t="s">
        <v>184</v>
      </c>
      <c r="H79" s="36" t="s">
        <v>4043</v>
      </c>
      <c r="I79" s="634"/>
      <c r="J79" s="635" t="str">
        <f>IF(ISBLANK(HLOOKUP(CaseName,CaseData,MATCH($G79,cases!$G$3:$G$2464,0),FALSE)),"",HLOOKUP(CaseName,CaseData,MATCH($G79,cases!$G$3:$G$2464,0),FALSE))</f>
        <v/>
      </c>
      <c r="K79" s="641">
        <f>(FRorig.w2*Ksw+(1-FRorig.w2)*Ksw.alt)*(1000/RHOsolid/CORG)*L80</f>
        <v>99.435216023782488</v>
      </c>
      <c r="L79" s="636">
        <f t="shared" si="3"/>
        <v>99.435216023782488</v>
      </c>
      <c r="M79" s="36" t="s">
        <v>1498</v>
      </c>
      <c r="N79" s="36"/>
      <c r="O79" s="36"/>
    </row>
    <row r="80" spans="1:15" ht="12.75" customHeight="1" x14ac:dyDescent="0.3">
      <c r="A80" s="36"/>
      <c r="B80" s="29"/>
      <c r="C80" s="36" t="s">
        <v>1098</v>
      </c>
      <c r="D80" s="29"/>
      <c r="E80" s="29"/>
      <c r="F80" s="29"/>
      <c r="G80" s="94" t="s">
        <v>1457</v>
      </c>
      <c r="H80" s="36" t="s">
        <v>36</v>
      </c>
      <c r="I80" s="634"/>
      <c r="J80" s="635" t="str">
        <f>IF(ISBLANK(HLOOKUP(CaseName,CaseData,MATCH($G80,cases!$G$3:$G$2464,0),FALSE)),"",HLOOKUP(CaseName,CaseData,MATCH($G80,cases!$G$3:$G$2464,0),FALSE))</f>
        <v/>
      </c>
      <c r="K80" s="641">
        <v>0.1</v>
      </c>
      <c r="L80" s="636">
        <f t="shared" si="3"/>
        <v>0.1</v>
      </c>
      <c r="M80" s="36" t="s">
        <v>486</v>
      </c>
      <c r="N80" s="36"/>
      <c r="O80" s="36"/>
    </row>
    <row r="81" spans="1:15" ht="12.75" customHeight="1" x14ac:dyDescent="0.3">
      <c r="A81" s="36"/>
      <c r="B81" s="29"/>
      <c r="C81" s="36" t="s">
        <v>1504</v>
      </c>
      <c r="D81" s="29"/>
      <c r="E81" s="29"/>
      <c r="F81" s="29"/>
      <c r="G81" s="94" t="s">
        <v>214</v>
      </c>
      <c r="H81" s="36" t="s">
        <v>4044</v>
      </c>
      <c r="I81" s="634"/>
      <c r="J81" s="635" t="str">
        <f>IF(ISBLANK(HLOOKUP(CaseName,CaseData,MATCH($G81,cases!$G$3:$G$2464,0),FALSE)),"",HLOOKUP(CaseName,CaseData,MATCH($G81,cases!$G$3:$G$2464,0),FALSE))</f>
        <v/>
      </c>
      <c r="K81" s="641">
        <v>5</v>
      </c>
      <c r="L81" s="636">
        <f>IF(ISBLANK(I81),IF(ISNUMBER(J81)=FALSE,K81/1000,J81/1000),I81/1000)</f>
        <v>5.0000000000000001E-3</v>
      </c>
      <c r="M81" s="36" t="s">
        <v>1497</v>
      </c>
      <c r="N81" s="36"/>
      <c r="O81" s="36"/>
    </row>
    <row r="82" spans="1:15" ht="12.75" customHeight="1" x14ac:dyDescent="0.3">
      <c r="A82" s="36"/>
      <c r="B82" s="29"/>
      <c r="C82" s="36" t="s">
        <v>549</v>
      </c>
      <c r="D82" s="29"/>
      <c r="E82" s="29"/>
      <c r="F82" s="29"/>
      <c r="G82" s="94" t="s">
        <v>553</v>
      </c>
      <c r="H82" s="36" t="s">
        <v>1039</v>
      </c>
      <c r="I82" s="634"/>
      <c r="J82" s="635" t="str">
        <f>IF(ISBLANK(HLOOKUP(CaseName,CaseData,MATCH($G82,cases!$G$3:$G$2464,0),FALSE)),"",HLOOKUP(CaseName,CaseData,MATCH($G82,cases!$G$3:$G$2464,0),FALSE))</f>
        <v/>
      </c>
      <c r="K82" s="641">
        <f>0.08*D</f>
        <v>264.01059655875667</v>
      </c>
      <c r="L82" s="636">
        <f t="shared" si="3"/>
        <v>264.01059655875667</v>
      </c>
      <c r="M82" s="36" t="s">
        <v>1498</v>
      </c>
      <c r="N82" s="36"/>
      <c r="O82" s="36"/>
    </row>
    <row r="83" spans="1:15" ht="12.75" customHeight="1" x14ac:dyDescent="0.3">
      <c r="A83" s="36"/>
      <c r="B83" s="29"/>
      <c r="C83" s="36" t="s">
        <v>551</v>
      </c>
      <c r="D83" s="29"/>
      <c r="E83" s="29"/>
      <c r="F83" s="29"/>
      <c r="G83" s="94" t="s">
        <v>554</v>
      </c>
      <c r="H83" s="36" t="s">
        <v>1038</v>
      </c>
      <c r="I83" s="634"/>
      <c r="J83" s="635" t="str">
        <f>IF(ISBLANK(HLOOKUP(CaseName,CaseData,MATCH($G83,cases!$G$3:$G$2464,0),FALSE)),"",HLOOKUP(CaseName,CaseData,MATCH($G83,cases!$G$3:$G$2464,0),FALSE))</f>
        <v/>
      </c>
      <c r="K83" s="641">
        <v>1</v>
      </c>
      <c r="L83" s="636">
        <f>IF(ISBLANK(I83),IF(ISNUMBER(J83)=FALSE,K83/1000,J83/1000),I83/1000)</f>
        <v>1E-3</v>
      </c>
      <c r="M83" s="36" t="s">
        <v>1497</v>
      </c>
      <c r="N83" s="36"/>
      <c r="O83" s="36"/>
    </row>
    <row r="84" spans="1:15" ht="12.75" customHeight="1" x14ac:dyDescent="0.3">
      <c r="A84" s="36"/>
      <c r="B84" s="36" t="s">
        <v>732</v>
      </c>
      <c r="C84" s="95"/>
      <c r="D84" s="29"/>
      <c r="E84" s="29"/>
      <c r="F84" s="29"/>
      <c r="G84" s="94" t="s">
        <v>466</v>
      </c>
      <c r="H84" s="36" t="s">
        <v>36</v>
      </c>
      <c r="I84" s="634"/>
      <c r="J84" s="635" t="str">
        <f>IF(ISBLANK(HLOOKUP(CaseName,CaseData,MATCH($G84,cases!$G$3:$G$2464,0),FALSE)),"",HLOOKUP(CaseName,CaseData,MATCH($G84,cases!$G$3:$G$2464,0),FALSE))</f>
        <v/>
      </c>
      <c r="K84" s="641">
        <f>L41+L42*L85*RHOsolid/1000</f>
        <v>26.409494856359572</v>
      </c>
      <c r="L84" s="636">
        <f t="shared" si="3"/>
        <v>26.409494856359572</v>
      </c>
      <c r="M84" s="36" t="s">
        <v>486</v>
      </c>
      <c r="N84" s="36"/>
      <c r="O84" s="36"/>
    </row>
    <row r="85" spans="1:15" ht="12.75" customHeight="1" x14ac:dyDescent="0.3">
      <c r="A85" s="36"/>
      <c r="B85" s="29"/>
      <c r="C85" s="36" t="s">
        <v>1433</v>
      </c>
      <c r="D85" s="29"/>
      <c r="E85" s="29"/>
      <c r="F85" s="29"/>
      <c r="G85" s="94" t="s">
        <v>173</v>
      </c>
      <c r="H85" s="36" t="s">
        <v>4043</v>
      </c>
      <c r="I85" s="634"/>
      <c r="J85" s="635" t="str">
        <f>IF(ISBLANK(HLOOKUP(CaseName,CaseData,MATCH($G85,cases!$G$3:$G$2464,0),FALSE)),"",HLOOKUP(CaseName,CaseData,MATCH($G85,cases!$G$3:$G$2464,0),FALSE))</f>
        <v/>
      </c>
      <c r="K85" s="641">
        <f>(FRorig.sd1*Ksw+(1-FRorig.sd1)*Ksw.alt)*(1000/RHOsolid/CORG)*L86</f>
        <v>51.21898971271915</v>
      </c>
      <c r="L85" s="636">
        <f t="shared" si="3"/>
        <v>51.21898971271915</v>
      </c>
      <c r="M85" s="36" t="s">
        <v>1498</v>
      </c>
      <c r="N85" s="36"/>
      <c r="O85" s="36"/>
    </row>
    <row r="86" spans="1:15" ht="12.75" customHeight="1" x14ac:dyDescent="0.3">
      <c r="A86" s="36"/>
      <c r="B86" s="29"/>
      <c r="C86" s="36" t="s">
        <v>1276</v>
      </c>
      <c r="D86" s="29"/>
      <c r="E86" s="29"/>
      <c r="F86" s="29"/>
      <c r="G86" s="94" t="s">
        <v>1066</v>
      </c>
      <c r="H86" s="36" t="s">
        <v>36</v>
      </c>
      <c r="I86" s="634"/>
      <c r="J86" s="635" t="str">
        <f>IF(ISBLANK(HLOOKUP(CaseName,CaseData,MATCH($G86,cases!$G$3:$G$2464,0),FALSE)),"",HLOOKUP(CaseName,CaseData,MATCH($G86,cases!$G$3:$G$2464,0),FALSE))</f>
        <v/>
      </c>
      <c r="K86" s="641">
        <v>0.05</v>
      </c>
      <c r="L86" s="636">
        <f t="shared" si="3"/>
        <v>0.05</v>
      </c>
      <c r="M86" s="29" t="s">
        <v>486</v>
      </c>
      <c r="N86" s="36"/>
      <c r="O86" s="36"/>
    </row>
    <row r="87" spans="1:15" ht="12.75" customHeight="1" x14ac:dyDescent="0.3">
      <c r="A87" s="36"/>
      <c r="B87" s="36" t="s">
        <v>1434</v>
      </c>
      <c r="C87" s="95"/>
      <c r="D87" s="29"/>
      <c r="E87" s="29"/>
      <c r="F87" s="29"/>
      <c r="G87" s="94" t="s">
        <v>1067</v>
      </c>
      <c r="H87" s="36" t="s">
        <v>36</v>
      </c>
      <c r="I87" s="634"/>
      <c r="J87" s="635" t="str">
        <f>IF(ISBLANK(HLOOKUP(CaseName,CaseData,MATCH($G87,cases!$G$3:$G$2464,0),FALSE)),"",HLOOKUP(CaseName,CaseData,MATCH($G87,cases!$G$3:$G$2464,0),FALSE))</f>
        <v/>
      </c>
      <c r="K87" s="641">
        <f>L41+L42*L88*RHOsolid/1000</f>
        <v>26.231033926700718</v>
      </c>
      <c r="L87" s="636">
        <f t="shared" si="3"/>
        <v>26.231033926700718</v>
      </c>
      <c r="M87" s="29" t="s">
        <v>486</v>
      </c>
      <c r="N87" s="36"/>
      <c r="O87" s="36"/>
    </row>
    <row r="88" spans="1:15" ht="12.75" customHeight="1" x14ac:dyDescent="0.3">
      <c r="A88" s="36"/>
      <c r="B88" s="29"/>
      <c r="C88" s="36" t="s">
        <v>1435</v>
      </c>
      <c r="D88" s="29"/>
      <c r="E88" s="29"/>
      <c r="F88" s="29"/>
      <c r="G88" s="94" t="s">
        <v>175</v>
      </c>
      <c r="H88" s="36" t="s">
        <v>4043</v>
      </c>
      <c r="I88" s="634"/>
      <c r="J88" s="635" t="str">
        <f>IF(ISBLANK(HLOOKUP(CaseName,CaseData,MATCH($G88,cases!$G$3:$G$2464,0),FALSE)),"",HLOOKUP(CaseName,CaseData,MATCH($G88,cases!$G$3:$G$2464,0),FALSE))</f>
        <v/>
      </c>
      <c r="K88" s="641">
        <f>(FRorig.sd2*Ksw+(1-FRorig.sd2)*Ksw.alt)*(1000/RHOsolid/CORG)*L89</f>
        <v>50.862067853401449</v>
      </c>
      <c r="L88" s="636">
        <f t="shared" si="3"/>
        <v>50.862067853401449</v>
      </c>
      <c r="M88" s="36" t="s">
        <v>1498</v>
      </c>
      <c r="N88" s="36"/>
      <c r="O88" s="36"/>
    </row>
    <row r="89" spans="1:15" ht="12.75" customHeight="1" x14ac:dyDescent="0.3">
      <c r="A89" s="36"/>
      <c r="B89" s="29"/>
      <c r="C89" s="36" t="s">
        <v>1275</v>
      </c>
      <c r="D89" s="29"/>
      <c r="E89" s="29"/>
      <c r="F89" s="29"/>
      <c r="G89" s="94" t="s">
        <v>1068</v>
      </c>
      <c r="H89" s="36" t="s">
        <v>36</v>
      </c>
      <c r="I89" s="634"/>
      <c r="J89" s="635" t="str">
        <f>IF(ISBLANK(HLOOKUP(CaseName,CaseData,MATCH($G89,cases!$G$3:$G$2464,0),FALSE)),"",HLOOKUP(CaseName,CaseData,MATCH($G89,cases!$G$3:$G$2464,0),FALSE))</f>
        <v/>
      </c>
      <c r="K89" s="641">
        <v>0.05</v>
      </c>
      <c r="L89" s="636">
        <f t="shared" si="3"/>
        <v>0.05</v>
      </c>
      <c r="M89" s="29" t="s">
        <v>486</v>
      </c>
      <c r="N89" s="36"/>
      <c r="O89" s="36"/>
    </row>
    <row r="90" spans="1:15" ht="12.75" customHeight="1" x14ac:dyDescent="0.3">
      <c r="A90" s="36"/>
      <c r="B90" s="36" t="s">
        <v>1436</v>
      </c>
      <c r="C90" s="95"/>
      <c r="D90" s="29"/>
      <c r="E90" s="29"/>
      <c r="F90" s="29"/>
      <c r="G90" s="94" t="s">
        <v>1069</v>
      </c>
      <c r="H90" s="36" t="s">
        <v>36</v>
      </c>
      <c r="I90" s="634"/>
      <c r="J90" s="635" t="str">
        <f>IF(ISBLANK(HLOOKUP(CaseName,CaseData,MATCH($G90,cases!$G$3:$G$2464,0),FALSE)),"",HLOOKUP(CaseName,CaseData,MATCH($G90,cases!$G$3:$G$2464,0),FALSE))</f>
        <v/>
      </c>
      <c r="K90" s="641">
        <f>L32*(L63*FRorig.s1w)+L33+L34*L93*RHOsolid/1000</f>
        <v>30.955150979220729</v>
      </c>
      <c r="L90" s="636">
        <f t="shared" si="3"/>
        <v>30.955150979220729</v>
      </c>
      <c r="M90" s="29" t="s">
        <v>486</v>
      </c>
      <c r="N90" s="36"/>
      <c r="O90" s="36"/>
    </row>
    <row r="91" spans="1:15" ht="12.75" customHeight="1" x14ac:dyDescent="0.3">
      <c r="A91" s="36"/>
      <c r="B91" s="36" t="s">
        <v>515</v>
      </c>
      <c r="C91" s="95"/>
      <c r="D91" s="29"/>
      <c r="E91" s="29"/>
      <c r="F91" s="29"/>
      <c r="G91" s="94" t="s">
        <v>1025</v>
      </c>
      <c r="H91" s="36" t="s">
        <v>36</v>
      </c>
      <c r="I91" s="634"/>
      <c r="J91" s="635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6.4609602496933077E-3</v>
      </c>
      <c r="L91" s="636">
        <f t="shared" si="3"/>
        <v>6.4609602496933077E-3</v>
      </c>
      <c r="M91" s="29"/>
      <c r="N91" s="36"/>
      <c r="O91" s="36"/>
    </row>
    <row r="92" spans="1:15" ht="12.75" customHeight="1" x14ac:dyDescent="0.3">
      <c r="A92" s="36"/>
      <c r="B92" s="36" t="s">
        <v>987</v>
      </c>
      <c r="C92" s="95"/>
      <c r="D92" s="29"/>
      <c r="E92" s="29"/>
      <c r="F92" s="29"/>
      <c r="G92" s="94" t="s">
        <v>1029</v>
      </c>
      <c r="H92" s="36" t="s">
        <v>36</v>
      </c>
      <c r="I92" s="634"/>
      <c r="J92" s="635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0.99353903943270516</v>
      </c>
      <c r="L92" s="636">
        <f t="shared" si="3"/>
        <v>0.99353903943270516</v>
      </c>
      <c r="M92" s="29"/>
      <c r="N92" s="36"/>
      <c r="O92" s="36"/>
    </row>
    <row r="93" spans="1:15" ht="12.75" customHeight="1" x14ac:dyDescent="0.3">
      <c r="A93" s="36"/>
      <c r="B93" s="29"/>
      <c r="C93" s="36" t="s">
        <v>1328</v>
      </c>
      <c r="D93" s="29"/>
      <c r="E93" s="29"/>
      <c r="F93" s="29"/>
      <c r="G93" s="94" t="s">
        <v>126</v>
      </c>
      <c r="H93" s="36" t="s">
        <v>4043</v>
      </c>
      <c r="I93" s="634"/>
      <c r="J93" s="635" t="str">
        <f>IF(ISBLANK(HLOOKUP(CaseName,CaseData,MATCH($G93,cases!$G$3:$G$2464,0),FALSE)),"",HLOOKUP(CaseName,CaseData,MATCH($G93,cases!$G$3:$G$2464,0),FALSE))</f>
        <v/>
      </c>
      <c r="K93" s="641">
        <f>(FRorig.s1*Ksw+(1-FRorig.s1)*Ksw.alt)*(1000/RHOsolid/CORG)*L94</f>
        <v>20.503433979592884</v>
      </c>
      <c r="L93" s="636">
        <f t="shared" si="3"/>
        <v>20.503433979592884</v>
      </c>
      <c r="M93" s="36" t="s">
        <v>1498</v>
      </c>
      <c r="N93" s="36"/>
      <c r="O93" s="36"/>
    </row>
    <row r="94" spans="1:15" ht="12.75" customHeight="1" x14ac:dyDescent="0.3">
      <c r="A94" s="36"/>
      <c r="B94" s="29"/>
      <c r="C94" s="36" t="s">
        <v>1274</v>
      </c>
      <c r="D94" s="29"/>
      <c r="E94" s="29"/>
      <c r="F94" s="29"/>
      <c r="G94" s="94" t="s">
        <v>1070</v>
      </c>
      <c r="H94" s="36" t="s">
        <v>36</v>
      </c>
      <c r="I94" s="634"/>
      <c r="J94" s="635" t="str">
        <f>IF(ISBLANK(HLOOKUP(CaseName,CaseData,MATCH($G94,cases!$G$3:$G$2464,0),FALSE)),"",HLOOKUP(CaseName,CaseData,MATCH($G94,cases!$G$3:$G$2464,0),FALSE))</f>
        <v/>
      </c>
      <c r="K94" s="641">
        <v>0.02</v>
      </c>
      <c r="L94" s="636">
        <f t="shared" si="3"/>
        <v>0.02</v>
      </c>
      <c r="M94" s="29" t="s">
        <v>486</v>
      </c>
      <c r="N94" s="36"/>
      <c r="O94" s="36"/>
    </row>
    <row r="95" spans="1:15" ht="12.75" customHeight="1" x14ac:dyDescent="0.3">
      <c r="A95" s="36"/>
      <c r="B95" s="36" t="s">
        <v>781</v>
      </c>
      <c r="C95" s="95"/>
      <c r="D95" s="29"/>
      <c r="E95" s="29"/>
      <c r="F95" s="29"/>
      <c r="G95" s="94" t="s">
        <v>1071</v>
      </c>
      <c r="H95" s="36" t="s">
        <v>36</v>
      </c>
      <c r="I95" s="634"/>
      <c r="J95" s="635" t="str">
        <f>IF(ISBLANK(HLOOKUP(CaseName,CaseData,MATCH($G95,cases!$G$3:$G$2464,0),FALSE)),"",HLOOKUP(CaseName,CaseData,MATCH($G95,cases!$G$3:$G$2464,0),FALSE))</f>
        <v/>
      </c>
      <c r="K95" s="641">
        <f>L35*(L63*FRorig.s2w)+L36+L37*L98*RHOsolid/1000</f>
        <v>30.931393837430026</v>
      </c>
      <c r="L95" s="636">
        <f t="shared" si="3"/>
        <v>30.931393837430026</v>
      </c>
      <c r="M95" s="29" t="s">
        <v>486</v>
      </c>
      <c r="N95" s="36"/>
      <c r="O95" s="36"/>
    </row>
    <row r="96" spans="1:15" ht="12.75" customHeight="1" x14ac:dyDescent="0.3">
      <c r="A96" s="36"/>
      <c r="B96" s="36" t="s">
        <v>516</v>
      </c>
      <c r="C96" s="95"/>
      <c r="D96" s="29"/>
      <c r="E96" s="29"/>
      <c r="F96" s="29"/>
      <c r="G96" s="94" t="s">
        <v>1026</v>
      </c>
      <c r="H96" s="36" t="s">
        <v>36</v>
      </c>
      <c r="I96" s="634"/>
      <c r="J96" s="635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6.4659226496925713E-3</v>
      </c>
      <c r="L96" s="636">
        <f t="shared" si="3"/>
        <v>6.4659226496925713E-3</v>
      </c>
      <c r="M96" s="29" t="s">
        <v>486</v>
      </c>
      <c r="N96" s="36"/>
      <c r="O96" s="36"/>
    </row>
    <row r="97" spans="1:15" ht="12.75" customHeight="1" x14ac:dyDescent="0.3">
      <c r="A97" s="36"/>
      <c r="B97" s="36" t="s">
        <v>1102</v>
      </c>
      <c r="C97" s="95"/>
      <c r="D97" s="29"/>
      <c r="E97" s="29"/>
      <c r="F97" s="29"/>
      <c r="G97" s="94" t="s">
        <v>1030</v>
      </c>
      <c r="H97" s="36" t="s">
        <v>36</v>
      </c>
      <c r="I97" s="634"/>
      <c r="J97" s="635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0.99353407703352459</v>
      </c>
      <c r="L97" s="636">
        <f t="shared" si="3"/>
        <v>0.99353407703352459</v>
      </c>
      <c r="M97" s="5" t="s">
        <v>486</v>
      </c>
      <c r="N97" s="36"/>
      <c r="O97" s="36"/>
    </row>
    <row r="98" spans="1:15" ht="12.75" customHeight="1" x14ac:dyDescent="0.3">
      <c r="A98" s="36"/>
      <c r="B98" s="29"/>
      <c r="C98" s="36" t="s">
        <v>1233</v>
      </c>
      <c r="D98" s="29"/>
      <c r="E98" s="29"/>
      <c r="F98" s="29"/>
      <c r="G98" s="94" t="s">
        <v>168</v>
      </c>
      <c r="H98" s="36" t="s">
        <v>4043</v>
      </c>
      <c r="I98" s="634"/>
      <c r="J98" s="635" t="str">
        <f>IF(ISBLANK(HLOOKUP(CaseName,CaseData,MATCH($G98,cases!$G$3:$G$2464,0),FALSE)),"",HLOOKUP(CaseName,CaseData,MATCH($G98,cases!$G$3:$G$2464,0),FALSE))</f>
        <v/>
      </c>
      <c r="K98" s="641">
        <f>(FRorig.s2*Ksw+(1-FRorig.s2)*Ksw.alt)*(1000/RHOsolid/CORG)*L99</f>
        <v>20.487595885087657</v>
      </c>
      <c r="L98" s="636">
        <f t="shared" si="3"/>
        <v>20.487595885087657</v>
      </c>
      <c r="M98" s="36" t="s">
        <v>1498</v>
      </c>
      <c r="N98" s="36"/>
      <c r="O98" s="36"/>
    </row>
    <row r="99" spans="1:15" ht="12.75" customHeight="1" x14ac:dyDescent="0.3">
      <c r="A99" s="36"/>
      <c r="B99" s="29"/>
      <c r="C99" s="36" t="s">
        <v>1273</v>
      </c>
      <c r="D99" s="29"/>
      <c r="E99" s="29"/>
      <c r="F99" s="29"/>
      <c r="G99" s="94" t="s">
        <v>1072</v>
      </c>
      <c r="H99" s="36" t="s">
        <v>36</v>
      </c>
      <c r="I99" s="634"/>
      <c r="J99" s="635" t="str">
        <f>IF(ISBLANK(HLOOKUP(CaseName,CaseData,MATCH($G99,cases!$G$3:$G$2464,0),FALSE)),"",HLOOKUP(CaseName,CaseData,MATCH($G99,cases!$G$3:$G$2464,0),FALSE))</f>
        <v/>
      </c>
      <c r="K99" s="641">
        <v>0.02</v>
      </c>
      <c r="L99" s="636">
        <f t="shared" si="3"/>
        <v>0.02</v>
      </c>
      <c r="M99" s="29" t="s">
        <v>486</v>
      </c>
      <c r="N99" s="36"/>
      <c r="O99" s="36"/>
    </row>
    <row r="100" spans="1:15" ht="12.75" customHeight="1" x14ac:dyDescent="0.3">
      <c r="A100" s="36"/>
      <c r="B100" s="36" t="s">
        <v>785</v>
      </c>
      <c r="C100" s="95"/>
      <c r="D100" s="29"/>
      <c r="E100" s="29"/>
      <c r="F100" s="29"/>
      <c r="G100" s="94" t="s">
        <v>1073</v>
      </c>
      <c r="H100" s="36" t="s">
        <v>36</v>
      </c>
      <c r="I100" s="634"/>
      <c r="J100" s="635" t="str">
        <f>IF(ISBLANK(HLOOKUP(CaseName,CaseData,MATCH($G100,cases!$G$3:$G$2464,0),FALSE)),"",HLOOKUP(CaseName,CaseData,MATCH($G100,cases!$G$3:$G$2464,0),FALSE))</f>
        <v/>
      </c>
      <c r="K100" s="641">
        <f>L38*(L63*FRorig.s3w)+L39+L40*L103*RHOsolid/1000</f>
        <v>30.931393837430026</v>
      </c>
      <c r="L100" s="636">
        <f t="shared" si="3"/>
        <v>30.931393837430026</v>
      </c>
      <c r="M100" s="29" t="s">
        <v>486</v>
      </c>
      <c r="N100" s="36"/>
      <c r="O100" s="36"/>
    </row>
    <row r="101" spans="1:15" ht="12.75" customHeight="1" x14ac:dyDescent="0.3">
      <c r="A101" s="36"/>
      <c r="B101" s="36" t="s">
        <v>517</v>
      </c>
      <c r="C101" s="95"/>
      <c r="D101" s="29"/>
      <c r="E101" s="29"/>
      <c r="F101" s="29"/>
      <c r="G101" s="94" t="s">
        <v>1027</v>
      </c>
      <c r="H101" s="36" t="s">
        <v>36</v>
      </c>
      <c r="I101" s="634"/>
      <c r="J101" s="635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6.4659226496925713E-3</v>
      </c>
      <c r="L101" s="636">
        <f t="shared" si="3"/>
        <v>6.4659226496925713E-3</v>
      </c>
      <c r="M101" s="29" t="s">
        <v>486</v>
      </c>
      <c r="N101" s="36"/>
      <c r="O101" s="36"/>
    </row>
    <row r="102" spans="1:15" ht="12.75" customHeight="1" x14ac:dyDescent="0.3">
      <c r="A102" s="36"/>
      <c r="B102" s="36" t="s">
        <v>933</v>
      </c>
      <c r="C102" s="95"/>
      <c r="D102" s="29"/>
      <c r="E102" s="29"/>
      <c r="F102" s="29"/>
      <c r="G102" s="94" t="s">
        <v>1107</v>
      </c>
      <c r="H102" s="36" t="s">
        <v>36</v>
      </c>
      <c r="I102" s="634"/>
      <c r="J102" s="635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0.99353407703352459</v>
      </c>
      <c r="L102" s="636">
        <f t="shared" si="3"/>
        <v>0.99353407703352459</v>
      </c>
      <c r="M102" s="5" t="s">
        <v>486</v>
      </c>
      <c r="N102" s="36"/>
      <c r="O102" s="36"/>
    </row>
    <row r="103" spans="1:15" ht="12.75" customHeight="1" x14ac:dyDescent="0.3">
      <c r="A103" s="36"/>
      <c r="B103" s="29"/>
      <c r="C103" s="36" t="s">
        <v>1065</v>
      </c>
      <c r="D103" s="29"/>
      <c r="E103" s="29"/>
      <c r="F103" s="29"/>
      <c r="G103" s="94" t="s">
        <v>170</v>
      </c>
      <c r="H103" s="36" t="s">
        <v>4043</v>
      </c>
      <c r="I103" s="634"/>
      <c r="J103" s="635" t="str">
        <f>IF(ISBLANK(HLOOKUP(CaseName,CaseData,MATCH($G103,cases!$G$3:$G$2464,0),FALSE)),"",HLOOKUP(CaseName,CaseData,MATCH($G103,cases!$G$3:$G$2464,0),FALSE))</f>
        <v/>
      </c>
      <c r="K103" s="641">
        <f>(FRorig.s3*Ksw+(1-FRorig.s3)*Ksw.alt)*(1000/RHOsolid/CORG)*L104</f>
        <v>20.487595885087657</v>
      </c>
      <c r="L103" s="636">
        <f t="shared" si="3"/>
        <v>20.487595885087657</v>
      </c>
      <c r="M103" s="36" t="s">
        <v>1498</v>
      </c>
      <c r="N103" s="36"/>
      <c r="O103" s="36"/>
    </row>
    <row r="104" spans="1:15" ht="12.75" customHeight="1" x14ac:dyDescent="0.3">
      <c r="A104" s="36"/>
      <c r="B104" s="29"/>
      <c r="C104" s="36" t="s">
        <v>1405</v>
      </c>
      <c r="D104" s="29"/>
      <c r="E104" s="29"/>
      <c r="F104" s="29"/>
      <c r="G104" s="94" t="s">
        <v>1074</v>
      </c>
      <c r="H104" s="36" t="s">
        <v>36</v>
      </c>
      <c r="I104" s="634"/>
      <c r="J104" s="635" t="str">
        <f>IF(ISBLANK(HLOOKUP(CaseName,CaseData,MATCH($G104,cases!$G$3:$G$2464,0),FALSE)),"",HLOOKUP(CaseName,CaseData,MATCH($G104,cases!$G$3:$G$2464,0),FALSE))</f>
        <v/>
      </c>
      <c r="K104" s="641">
        <v>0.02</v>
      </c>
      <c r="L104" s="636">
        <f t="shared" si="3"/>
        <v>0.02</v>
      </c>
      <c r="M104" s="29" t="s">
        <v>486</v>
      </c>
      <c r="N104" s="36"/>
      <c r="O104" s="36"/>
    </row>
    <row r="105" spans="1:15" ht="12.75" customHeight="1" x14ac:dyDescent="0.3">
      <c r="A105" s="36"/>
      <c r="B105" s="29"/>
      <c r="C105" s="29"/>
      <c r="D105" s="36"/>
      <c r="E105" s="29"/>
      <c r="F105" s="29"/>
      <c r="G105" s="94"/>
      <c r="H105" s="36"/>
      <c r="I105" s="339"/>
      <c r="J105" s="363"/>
      <c r="K105" s="353"/>
      <c r="L105" s="353"/>
      <c r="M105" s="29"/>
      <c r="N105" s="36"/>
      <c r="O105" s="36"/>
    </row>
    <row r="106" spans="1:15" ht="12.75" customHeight="1" x14ac:dyDescent="0.3">
      <c r="A106" s="98" t="s">
        <v>1311</v>
      </c>
      <c r="B106" s="97"/>
      <c r="C106" s="97"/>
      <c r="D106" s="97"/>
      <c r="E106" s="97"/>
      <c r="F106" s="97"/>
      <c r="G106" s="98" t="s">
        <v>1008</v>
      </c>
      <c r="H106" s="98" t="s">
        <v>968</v>
      </c>
      <c r="I106" s="364" t="s">
        <v>754</v>
      </c>
      <c r="J106" s="640" t="s">
        <v>37</v>
      </c>
      <c r="K106" s="340" t="s">
        <v>753</v>
      </c>
      <c r="L106" s="340" t="s">
        <v>1358</v>
      </c>
      <c r="M106" s="97"/>
      <c r="N106" s="98" t="s">
        <v>1371</v>
      </c>
      <c r="O106" s="36"/>
    </row>
    <row r="107" spans="1:15" ht="12.75" customHeight="1" x14ac:dyDescent="0.3">
      <c r="A107" s="29"/>
      <c r="B107" s="29"/>
      <c r="C107" s="29"/>
      <c r="D107" s="29"/>
      <c r="E107" s="29"/>
      <c r="F107" s="29"/>
      <c r="G107" s="36"/>
      <c r="H107" s="36"/>
      <c r="I107" s="339"/>
      <c r="J107" s="363"/>
      <c r="K107" s="353"/>
      <c r="L107" s="353"/>
      <c r="M107" s="29"/>
      <c r="N107" s="36"/>
      <c r="O107" s="36"/>
    </row>
    <row r="108" spans="1:15" ht="12.75" customHeight="1" x14ac:dyDescent="0.3">
      <c r="A108" s="36" t="s">
        <v>298</v>
      </c>
      <c r="B108" s="29"/>
      <c r="C108" s="29"/>
      <c r="D108" s="29"/>
      <c r="E108" s="29"/>
      <c r="F108" s="29"/>
      <c r="G108" s="36" t="s">
        <v>299</v>
      </c>
      <c r="H108" s="36" t="s">
        <v>4037</v>
      </c>
      <c r="I108" s="637"/>
      <c r="J108" s="635" t="str">
        <f>IF(ISBLANK(HLOOKUP(CaseName,CaseData,MATCH($G108,cases!$G$3:$G$2464,0),FALSE)),"",HLOOKUP(CaseName,CaseData,MATCH($G108,cases!$G$3:$G$2464,0),FALSE))</f>
        <v/>
      </c>
      <c r="K108" s="352">
        <f>(L120+L131/L21)*L15</f>
        <v>2.374072651935071E-8</v>
      </c>
      <c r="L108" s="636">
        <f>IF(ISBLANK(I108),IF(ISNUMBER(J108)=FALSE,K108,J108),I108)</f>
        <v>2.374072651935071E-8</v>
      </c>
      <c r="M108" s="29" t="s">
        <v>1488</v>
      </c>
      <c r="N108" s="325"/>
      <c r="O108" s="36"/>
    </row>
    <row r="109" spans="1:15" ht="12.75" customHeight="1" x14ac:dyDescent="0.3">
      <c r="A109" s="36" t="s">
        <v>66</v>
      </c>
      <c r="B109" s="29"/>
      <c r="C109" s="29"/>
      <c r="D109" s="29"/>
      <c r="E109" s="29"/>
      <c r="F109" s="29"/>
      <c r="G109" s="36" t="s">
        <v>230</v>
      </c>
      <c r="H109" s="36" t="s">
        <v>4037</v>
      </c>
      <c r="I109" s="637"/>
      <c r="J109" s="635" t="str">
        <f>IF(ISBLANK(HLOOKUP(CaseName,CaseData,MATCH($G109,cases!$G$3:$G$2464,0),FALSE)),"",HLOOKUP(CaseName,CaseData,MATCH($G109,cases!$G$3:$G$2464,0),FALSE))</f>
        <v/>
      </c>
      <c r="K109" s="352">
        <f>(L120+L131/L21)*L16</f>
        <v>2.6114799171285784E-7</v>
      </c>
      <c r="L109" s="636">
        <f t="shared" ref="L109:L137" si="4">IF(ISBLANK(I109),IF(ISNUMBER(J109)=FALSE,K109,J109),I109)</f>
        <v>2.6114799171285784E-7</v>
      </c>
      <c r="M109" s="29" t="s">
        <v>1488</v>
      </c>
      <c r="N109" s="325"/>
      <c r="O109" s="36"/>
    </row>
    <row r="110" spans="1:15" ht="12.75" customHeight="1" x14ac:dyDescent="0.3">
      <c r="A110" s="36" t="s">
        <v>67</v>
      </c>
      <c r="B110" s="29"/>
      <c r="C110" s="29"/>
      <c r="D110" s="29"/>
      <c r="E110" s="29"/>
      <c r="F110" s="29"/>
      <c r="G110" s="36" t="s">
        <v>231</v>
      </c>
      <c r="H110" s="36" t="s">
        <v>4037</v>
      </c>
      <c r="I110" s="637"/>
      <c r="J110" s="635" t="str">
        <f>IF(ISBLANK(HLOOKUP(CaseName,CaseData,MATCH($G110,cases!$G$3:$G$2464,0),FALSE)),"",HLOOKUP(CaseName,CaseData,MATCH($G110,cases!$G$3:$G$2464,0),FALSE))</f>
        <v/>
      </c>
      <c r="K110" s="352">
        <f>(L120+L131/L21)*L20</f>
        <v>4.1546531074683008E-8</v>
      </c>
      <c r="L110" s="636">
        <f t="shared" si="4"/>
        <v>4.1546531074683008E-8</v>
      </c>
      <c r="M110" s="29" t="s">
        <v>1488</v>
      </c>
      <c r="N110" s="325"/>
      <c r="O110" s="36"/>
    </row>
    <row r="111" spans="1:15" ht="12.75" customHeight="1" x14ac:dyDescent="0.3">
      <c r="A111" s="36" t="s">
        <v>68</v>
      </c>
      <c r="B111" s="29"/>
      <c r="C111" s="29"/>
      <c r="D111" s="29"/>
      <c r="E111" s="29"/>
      <c r="F111" s="29"/>
      <c r="G111" s="36" t="s">
        <v>232</v>
      </c>
      <c r="H111" s="36" t="s">
        <v>4037</v>
      </c>
      <c r="I111" s="637"/>
      <c r="J111" s="635" t="str">
        <f>IF(ISBLANK(HLOOKUP(CaseName,CaseData,MATCH($G111,cases!$G$3:$G$2464,0),FALSE)),"",HLOOKUP(CaseName,CaseData,MATCH($G111,cases!$G$3:$G$2464,0),FALSE))</f>
        <v/>
      </c>
      <c r="K111" s="352">
        <f>(L120+L132/L21)*L17</f>
        <v>1.8244019594217839E-6</v>
      </c>
      <c r="L111" s="636">
        <f t="shared" si="4"/>
        <v>1.8244019594217839E-6</v>
      </c>
      <c r="M111" s="29" t="s">
        <v>1488</v>
      </c>
      <c r="N111" s="325"/>
      <c r="O111" s="36"/>
    </row>
    <row r="112" spans="1:15" ht="12.75" customHeight="1" x14ac:dyDescent="0.3">
      <c r="A112" s="36" t="s">
        <v>69</v>
      </c>
      <c r="B112" s="29"/>
      <c r="C112" s="29"/>
      <c r="D112" s="29"/>
      <c r="E112" s="29"/>
      <c r="F112" s="29"/>
      <c r="G112" s="36" t="s">
        <v>233</v>
      </c>
      <c r="H112" s="36" t="s">
        <v>4037</v>
      </c>
      <c r="I112" s="637"/>
      <c r="J112" s="635" t="str">
        <f>IF(ISBLANK(HLOOKUP(CaseName,CaseData,MATCH($G112,cases!$G$3:$G$2464,0),FALSE)),"",HLOOKUP(CaseName,CaseData,MATCH($G112,cases!$G$3:$G$2464,0),FALSE))</f>
        <v/>
      </c>
      <c r="K112" s="352">
        <f>(L120+L132/L21)*L18</f>
        <v>4.054226576492852E-6</v>
      </c>
      <c r="L112" s="636">
        <f t="shared" si="4"/>
        <v>4.054226576492852E-6</v>
      </c>
      <c r="M112" s="29" t="s">
        <v>1488</v>
      </c>
      <c r="N112" s="325"/>
      <c r="O112" s="36"/>
    </row>
    <row r="113" spans="1:15" ht="12.75" customHeight="1" x14ac:dyDescent="0.3">
      <c r="A113" s="36" t="s">
        <v>70</v>
      </c>
      <c r="B113" s="29"/>
      <c r="C113" s="29"/>
      <c r="D113" s="29"/>
      <c r="E113" s="29"/>
      <c r="F113" s="29"/>
      <c r="G113" s="36" t="s">
        <v>234</v>
      </c>
      <c r="H113" s="36" t="s">
        <v>4037</v>
      </c>
      <c r="I113" s="637"/>
      <c r="J113" s="635" t="str">
        <f>IF(ISBLANK(HLOOKUP(CaseName,CaseData,MATCH($G113,cases!$G$3:$G$2464,0),FALSE)),"",HLOOKUP(CaseName,CaseData,MATCH($G113,cases!$G$3:$G$2464,0),FALSE))</f>
        <v/>
      </c>
      <c r="K113" s="352">
        <f>(L120+L132/L21)*L19</f>
        <v>6.7570442941547551E-7</v>
      </c>
      <c r="L113" s="636">
        <f t="shared" si="4"/>
        <v>6.7570442941547551E-7</v>
      </c>
      <c r="M113" s="29" t="s">
        <v>1488</v>
      </c>
      <c r="N113" s="325"/>
      <c r="O113" s="36"/>
    </row>
    <row r="114" spans="1:15" ht="12.75" customHeight="1" x14ac:dyDescent="0.3">
      <c r="A114" s="36" t="s">
        <v>71</v>
      </c>
      <c r="B114" s="29"/>
      <c r="C114" s="29"/>
      <c r="D114" s="29"/>
      <c r="E114" s="29"/>
      <c r="F114" s="29"/>
      <c r="G114" s="36" t="s">
        <v>300</v>
      </c>
      <c r="H114" s="36" t="s">
        <v>4037</v>
      </c>
      <c r="I114" s="637"/>
      <c r="J114" s="635" t="str">
        <f>IF(ISBLANK(HLOOKUP(CaseName,CaseData,MATCH($G114,cases!$G$3:$G$2464,0),FALSE)),"",HLOOKUP(CaseName,CaseData,MATCH($G114,cases!$G$3:$G$2464,0),FALSE))</f>
        <v/>
      </c>
      <c r="K114" s="352">
        <f>L133/L22</f>
        <v>1.893474429147487E-12</v>
      </c>
      <c r="L114" s="636">
        <f>IF(ISBLANK(I114),IF(ISNUMBER(J114)=FALSE,K114,J114),I114)</f>
        <v>1.893474429147487E-12</v>
      </c>
      <c r="M114" s="29" t="s">
        <v>1488</v>
      </c>
      <c r="N114" s="325"/>
      <c r="O114" s="36"/>
    </row>
    <row r="115" spans="1:15" ht="12.75" customHeight="1" x14ac:dyDescent="0.3">
      <c r="A115" s="36" t="s">
        <v>71</v>
      </c>
      <c r="B115" s="29"/>
      <c r="C115" s="29"/>
      <c r="D115" s="29"/>
      <c r="E115" s="29"/>
      <c r="F115" s="29"/>
      <c r="G115" s="36" t="s">
        <v>235</v>
      </c>
      <c r="H115" s="36" t="s">
        <v>4037</v>
      </c>
      <c r="I115" s="637"/>
      <c r="J115" s="635" t="str">
        <f>IF(ISBLANK(HLOOKUP(CaseName,CaseData,MATCH($G115,cases!$G$3:$G$2464,0),FALSE)),"",HLOOKUP(CaseName,CaseData,MATCH($G115,cases!$G$3:$G$2464,0),FALSE))</f>
        <v/>
      </c>
      <c r="K115" s="352">
        <f>L134/L23</f>
        <v>6.3022450457971401E-11</v>
      </c>
      <c r="L115" s="636">
        <f t="shared" si="4"/>
        <v>6.3022450457971401E-11</v>
      </c>
      <c r="M115" s="29" t="s">
        <v>1488</v>
      </c>
      <c r="N115" s="325"/>
      <c r="O115" s="36"/>
    </row>
    <row r="116" spans="1:15" ht="12.75" customHeight="1" x14ac:dyDescent="0.3">
      <c r="A116" s="36" t="s">
        <v>72</v>
      </c>
      <c r="B116" s="29"/>
      <c r="C116" s="29"/>
      <c r="D116" s="29"/>
      <c r="E116" s="29"/>
      <c r="F116" s="29"/>
      <c r="G116" s="36" t="s">
        <v>236</v>
      </c>
      <c r="H116" s="36" t="s">
        <v>4037</v>
      </c>
      <c r="I116" s="637"/>
      <c r="J116" s="635" t="str">
        <f>IF(ISBLANK(HLOOKUP(CaseName,CaseData,MATCH($G116,cases!$G$3:$G$2464,0),FALSE)),"",HLOOKUP(CaseName,CaseData,MATCH($G116,cases!$G$3:$G$2464,0),FALSE))</f>
        <v/>
      </c>
      <c r="K116" s="352">
        <f>L135/L24</f>
        <v>1.83680665698391E-11</v>
      </c>
      <c r="L116" s="636">
        <f t="shared" si="4"/>
        <v>1.83680665698391E-11</v>
      </c>
      <c r="M116" s="29" t="s">
        <v>1488</v>
      </c>
      <c r="N116" s="325"/>
      <c r="O116" s="36"/>
    </row>
    <row r="117" spans="1:15" ht="12.75" customHeight="1" x14ac:dyDescent="0.3">
      <c r="A117" s="36" t="s">
        <v>73</v>
      </c>
      <c r="B117" s="29"/>
      <c r="C117" s="29"/>
      <c r="D117" s="29"/>
      <c r="E117" s="29"/>
      <c r="F117" s="29"/>
      <c r="G117" s="36" t="s">
        <v>237</v>
      </c>
      <c r="H117" s="36" t="s">
        <v>4037</v>
      </c>
      <c r="I117" s="637"/>
      <c r="J117" s="635" t="str">
        <f>IF(ISBLANK(HLOOKUP(CaseName,CaseData,MATCH($G117,cases!$G$3:$G$2464,0),FALSE)),"",HLOOKUP(CaseName,CaseData,MATCH($G117,cases!$G$3:$G$2464,0),FALSE))</f>
        <v/>
      </c>
      <c r="K117" s="352">
        <f>L138/L27</f>
        <v>4.2270403804875319E-11</v>
      </c>
      <c r="L117" s="636">
        <f t="shared" si="4"/>
        <v>4.2270403804875319E-11</v>
      </c>
      <c r="M117" s="29" t="s">
        <v>1488</v>
      </c>
      <c r="N117" s="325"/>
      <c r="O117" s="36"/>
    </row>
    <row r="118" spans="1:15" ht="12.75" customHeight="1" x14ac:dyDescent="0.3">
      <c r="A118" s="36" t="s">
        <v>74</v>
      </c>
      <c r="B118" s="29"/>
      <c r="C118" s="29"/>
      <c r="D118" s="29"/>
      <c r="E118" s="29"/>
      <c r="F118" s="29"/>
      <c r="G118" s="36" t="s">
        <v>238</v>
      </c>
      <c r="H118" s="36" t="s">
        <v>4037</v>
      </c>
      <c r="I118" s="637"/>
      <c r="J118" s="635" t="str">
        <f>IF(ISBLANK(HLOOKUP(CaseName,CaseData,MATCH($G118,cases!$G$3:$G$2464,0),FALSE)),"",HLOOKUP(CaseName,CaseData,MATCH($G118,cases!$G$3:$G$2464,0),FALSE))</f>
        <v/>
      </c>
      <c r="K118" s="352">
        <f>L139/L28</f>
        <v>1.9185761529896352E-11</v>
      </c>
      <c r="L118" s="636">
        <f t="shared" si="4"/>
        <v>1.9185761529896352E-11</v>
      </c>
      <c r="M118" s="29" t="s">
        <v>1488</v>
      </c>
      <c r="N118" s="325"/>
      <c r="O118" s="36"/>
    </row>
    <row r="119" spans="1:15" ht="12.75" customHeight="1" x14ac:dyDescent="0.3">
      <c r="A119" s="36" t="s">
        <v>75</v>
      </c>
      <c r="B119" s="29"/>
      <c r="C119" s="29"/>
      <c r="D119" s="29"/>
      <c r="E119" s="29"/>
      <c r="F119" s="29"/>
      <c r="G119" s="36" t="s">
        <v>239</v>
      </c>
      <c r="H119" s="36" t="s">
        <v>4037</v>
      </c>
      <c r="I119" s="637"/>
      <c r="J119" s="635" t="str">
        <f>IF(ISBLANK(HLOOKUP(CaseName,CaseData,MATCH($G119,cases!$G$3:$G$2464,0),FALSE)),"",HLOOKUP(CaseName,CaseData,MATCH($G119,cases!$G$3:$G$2464,0),FALSE))</f>
        <v/>
      </c>
      <c r="K119" s="352">
        <f>L140/L29</f>
        <v>4.2161483400515841E-11</v>
      </c>
      <c r="L119" s="636">
        <f t="shared" si="4"/>
        <v>4.2161483400515841E-11</v>
      </c>
      <c r="M119" s="29" t="s">
        <v>1488</v>
      </c>
      <c r="N119" s="325"/>
      <c r="O119" s="36"/>
    </row>
    <row r="120" spans="1:15" ht="12.75" customHeight="1" x14ac:dyDescent="0.3">
      <c r="A120" s="36"/>
      <c r="B120" s="36" t="s">
        <v>3975</v>
      </c>
      <c r="C120" s="29"/>
      <c r="D120" s="29"/>
      <c r="E120" s="29"/>
      <c r="F120" s="29"/>
      <c r="G120" s="37" t="s">
        <v>2263</v>
      </c>
      <c r="H120" s="36" t="s">
        <v>4037</v>
      </c>
      <c r="I120" s="637"/>
      <c r="J120" s="635" t="str">
        <f>IF(ISBLANK(HLOOKUP(CaseName,CaseData,MATCH($G120,cases!$G$3:$G$2464,0),FALSE)),"",HLOOKUP(CaseName,CaseData,MATCH($G120,cases!$G$3:$G$2464,0),FALSE))</f>
        <v/>
      </c>
      <c r="K120" s="641">
        <f>L121-SUM((L131*(L15+L16+L20)+L132*(L17+L18+L19))/L21,L197,L44)</f>
        <v>5.7643095100117848E-6</v>
      </c>
      <c r="L120" s="636">
        <f t="shared" si="4"/>
        <v>5.7643095100117848E-6</v>
      </c>
      <c r="M120" s="29" t="s">
        <v>1488</v>
      </c>
      <c r="N120" s="325"/>
      <c r="O120" s="36"/>
    </row>
    <row r="121" spans="1:15" ht="12.75" customHeight="1" x14ac:dyDescent="0.3">
      <c r="A121" s="36"/>
      <c r="B121" s="36"/>
      <c r="C121" s="29" t="s">
        <v>3976</v>
      </c>
      <c r="D121" s="29"/>
      <c r="E121" s="29"/>
      <c r="F121" s="29"/>
      <c r="G121" s="37" t="s">
        <v>2262</v>
      </c>
      <c r="H121" s="36" t="s">
        <v>4037</v>
      </c>
      <c r="I121" s="637"/>
      <c r="J121" s="635" t="str">
        <f>IF(ISBLANK(HLOOKUP(CaseName,CaseData,MATCH($G121,cases!$G$3:$G$2464,0),FALSE)),"",HLOOKUP(CaseName,CaseData,MATCH($G121,cases!$G$3:$G$2464,0),FALSE))</f>
        <v/>
      </c>
      <c r="K121" s="641">
        <f>((1/L122)*L124/(L124+L125)+(1/L123)*L125/(L124+L125)-((1/L123-1/L122)^2/(L124+L125))*(1-EXP(-L122*L124))*(1-EXP(-L123*L125))/(1-EXP(-L122*L124-L123*L125)))^-1</f>
        <v>2.5346526134205699E-5</v>
      </c>
      <c r="L121" s="636">
        <f t="shared" si="4"/>
        <v>2.5346526134205699E-5</v>
      </c>
      <c r="M121" s="29" t="s">
        <v>1488</v>
      </c>
      <c r="N121" s="325"/>
      <c r="O121" s="36"/>
    </row>
    <row r="122" spans="1:15" ht="12.75" customHeight="1" x14ac:dyDescent="0.3">
      <c r="A122" s="36"/>
      <c r="B122" s="36"/>
      <c r="C122" s="36"/>
      <c r="D122" s="36" t="s">
        <v>3977</v>
      </c>
      <c r="E122" s="29"/>
      <c r="F122" s="29"/>
      <c r="G122" s="37" t="s">
        <v>927</v>
      </c>
      <c r="H122" s="36" t="s">
        <v>4037</v>
      </c>
      <c r="I122" s="637"/>
      <c r="J122" s="635" t="str">
        <f>IF(ISBLANK(HLOOKUP(CaseName,CaseData,MATCH($G122,cases!$G$3:$G$2464,0),FALSE)),"",HLOOKUP(CaseName,CaseData,MATCH($G122,cases!$G$3:$G$2464,0),FALSE))</f>
        <v/>
      </c>
      <c r="K122" s="641">
        <f>L126/L21  + SUM((L131*(L15+L16+L20)+L132*(L17+L18+L19))/L21,L197,L44)</f>
        <v>1.9606143730954318E-5</v>
      </c>
      <c r="L122" s="636">
        <f t="shared" si="4"/>
        <v>1.9606143730954318E-5</v>
      </c>
      <c r="M122" s="29" t="s">
        <v>1488</v>
      </c>
      <c r="N122" s="325"/>
      <c r="O122" s="36"/>
    </row>
    <row r="123" spans="1:15" ht="12.75" customHeight="1" x14ac:dyDescent="0.3">
      <c r="A123" s="36"/>
      <c r="B123" s="36"/>
      <c r="C123" s="36"/>
      <c r="D123" s="36" t="s">
        <v>3978</v>
      </c>
      <c r="E123" s="29"/>
      <c r="F123" s="29"/>
      <c r="G123" s="37" t="s">
        <v>928</v>
      </c>
      <c r="H123" s="36" t="s">
        <v>4037</v>
      </c>
      <c r="I123" s="637"/>
      <c r="J123" s="635" t="str">
        <f>IF(ISBLANK(HLOOKUP(CaseName,CaseData,MATCH($G123,cases!$G$3:$G$2464,0),FALSE)),"",HLOOKUP(CaseName,CaseData,MATCH($G123,cases!$G$3:$G$2464,0),FALSE))</f>
        <v/>
      </c>
      <c r="K123" s="641">
        <f>(L127+L128)/L21 + SUM((L131*(L15+L16+L20)+L132*(L17+L18+L19))/L21,L197,L44)</f>
        <v>7.366842356627169E-3</v>
      </c>
      <c r="L123" s="636">
        <f t="shared" si="4"/>
        <v>7.366842356627169E-3</v>
      </c>
      <c r="M123" s="29" t="s">
        <v>1488</v>
      </c>
      <c r="N123" s="325"/>
      <c r="O123" s="36"/>
    </row>
    <row r="124" spans="1:15" ht="12.75" customHeight="1" x14ac:dyDescent="0.3">
      <c r="A124" s="36"/>
      <c r="B124" s="36"/>
      <c r="C124" s="36"/>
      <c r="D124" s="29" t="s">
        <v>929</v>
      </c>
      <c r="E124" s="29"/>
      <c r="F124" s="29"/>
      <c r="G124" s="29" t="s">
        <v>930</v>
      </c>
      <c r="H124" s="29" t="s">
        <v>2192</v>
      </c>
      <c r="I124" s="637"/>
      <c r="J124" s="635" t="str">
        <f>IF(ISBLANK(HLOOKUP(CaseName,CaseData,MATCH($G124,cases!$G$3:$G$2464,0),FALSE)),"",HLOOKUP(CaseName,CaseData,MATCH($G124,cases!$G$3:$G$2464,0),FALSE))</f>
        <v/>
      </c>
      <c r="K124" s="352">
        <f>3.3*24</f>
        <v>79.199999999999989</v>
      </c>
      <c r="L124" s="636">
        <f>IF(ISBLANK(I124),IF(ISNUMBER(J124)=FALSE,K124*3600,J124*3600),I124*3600)</f>
        <v>285119.99999999994</v>
      </c>
      <c r="M124" s="29" t="s">
        <v>115</v>
      </c>
      <c r="N124" s="325"/>
      <c r="O124" s="36"/>
    </row>
    <row r="125" spans="1:15" ht="12.75" customHeight="1" x14ac:dyDescent="0.3">
      <c r="A125" s="36"/>
      <c r="B125" s="36"/>
      <c r="C125" s="36"/>
      <c r="D125" s="29" t="s">
        <v>931</v>
      </c>
      <c r="E125" s="29"/>
      <c r="F125" s="29"/>
      <c r="G125" s="29" t="s">
        <v>932</v>
      </c>
      <c r="H125" s="29" t="s">
        <v>2192</v>
      </c>
      <c r="I125" s="637"/>
      <c r="J125" s="635" t="str">
        <f>IF(ISBLANK(HLOOKUP(CaseName,CaseData,MATCH($G125,cases!$G$3:$G$2464,0),FALSE)),"",HLOOKUP(CaseName,CaseData,MATCH($G125,cases!$G$3:$G$2464,0),FALSE))</f>
        <v/>
      </c>
      <c r="K125" s="352">
        <f>3.3*24*(0.06/(1-0.06))</f>
        <v>5.0553191489361691</v>
      </c>
      <c r="L125" s="636">
        <f>IF(ISBLANK(I125),IF(ISNUMBER(J125)=FALSE,K125*3600,J125*3600),I125*3600)</f>
        <v>18199.148936170208</v>
      </c>
      <c r="M125" s="29" t="s">
        <v>115</v>
      </c>
      <c r="N125" s="325"/>
      <c r="O125" s="36"/>
    </row>
    <row r="126" spans="1:15" ht="12.75" customHeight="1" x14ac:dyDescent="0.3">
      <c r="A126" s="36"/>
      <c r="B126" s="36"/>
      <c r="C126" s="36" t="s">
        <v>493</v>
      </c>
      <c r="D126" s="29"/>
      <c r="E126" s="29"/>
      <c r="F126" s="29"/>
      <c r="G126" s="94" t="s">
        <v>120</v>
      </c>
      <c r="H126" s="95" t="s">
        <v>4045</v>
      </c>
      <c r="I126" s="637"/>
      <c r="J126" s="635" t="str">
        <f>IF(ISBLANK(HLOOKUP(CaseName,CaseData,MATCH($G126,cases!$G$3:$G$2464,0),FALSE)),"",HLOOKUP(CaseName,CaseData,MATCH($G126,cases!$G$3:$G$2464,0),FALSE))</f>
        <v/>
      </c>
      <c r="K126" s="641">
        <f>L129*(L61+L62)</f>
        <v>2.3927106760405139E-5</v>
      </c>
      <c r="L126" s="636">
        <f t="shared" si="4"/>
        <v>2.3927106760405139E-5</v>
      </c>
      <c r="M126" s="29" t="s">
        <v>1490</v>
      </c>
      <c r="N126" s="325"/>
      <c r="O126" s="36"/>
    </row>
    <row r="127" spans="1:15" ht="12.75" customHeight="1" x14ac:dyDescent="0.3">
      <c r="A127" s="36"/>
      <c r="B127" s="36"/>
      <c r="C127" s="36" t="s">
        <v>745</v>
      </c>
      <c r="D127" s="29"/>
      <c r="E127" s="29"/>
      <c r="F127" s="29"/>
      <c r="G127" s="37" t="s">
        <v>586</v>
      </c>
      <c r="H127" s="95" t="s">
        <v>4045</v>
      </c>
      <c r="I127" s="637"/>
      <c r="J127" s="635" t="str">
        <f>IF(ISBLANK(HLOOKUP(CaseName,CaseData,MATCH($G127,cases!$G$3:$G$2464,0),FALSE)),"",HLOOKUP(CaseName,CaseData,MATCH($G127,cases!$G$3:$G$2464,0),FALSE))</f>
        <v/>
      </c>
      <c r="K127" s="641">
        <f>L62*(L124+L125)/L125*L130*RAINrate.R</f>
        <v>1.7409729390052177E-3</v>
      </c>
      <c r="L127" s="636">
        <f t="shared" si="4"/>
        <v>1.7409729390052177E-3</v>
      </c>
      <c r="M127" s="29" t="s">
        <v>1490</v>
      </c>
      <c r="N127" s="325"/>
      <c r="O127" s="36"/>
    </row>
    <row r="128" spans="1:15" ht="12.75" customHeight="1" x14ac:dyDescent="0.3">
      <c r="A128" s="36"/>
      <c r="B128" s="36"/>
      <c r="C128" s="36" t="s">
        <v>746</v>
      </c>
      <c r="D128" s="29"/>
      <c r="E128" s="29"/>
      <c r="F128" s="29"/>
      <c r="G128" s="37" t="s">
        <v>587</v>
      </c>
      <c r="H128" s="95" t="s">
        <v>4045</v>
      </c>
      <c r="I128" s="637"/>
      <c r="J128" s="635" t="str">
        <f>IF(ISBLANK(HLOOKUP(CaseName,CaseData,MATCH($G128,cases!$G$3:$G$2464,0),FALSE)),"",HLOOKUP(CaseName,CaseData,MATCH($G128,cases!$G$3:$G$2464,0),FALSE))</f>
        <v/>
      </c>
      <c r="K128" s="641">
        <f>L60*(L124+L125)/L125*RAINrate.R/(L63*FRorig.aerw)</f>
        <v>7.3455191670639692</v>
      </c>
      <c r="L128" s="636">
        <f t="shared" si="4"/>
        <v>7.3455191670639692</v>
      </c>
      <c r="M128" s="29" t="s">
        <v>1490</v>
      </c>
      <c r="N128" s="325"/>
      <c r="O128" s="36"/>
    </row>
    <row r="129" spans="1:15" ht="12.75" customHeight="1" x14ac:dyDescent="0.3">
      <c r="A129" s="36"/>
      <c r="B129" s="36"/>
      <c r="C129" s="29"/>
      <c r="D129" s="95" t="s">
        <v>747</v>
      </c>
      <c r="E129" s="95"/>
      <c r="F129" s="95"/>
      <c r="G129" s="94" t="s">
        <v>121</v>
      </c>
      <c r="H129" s="95" t="s">
        <v>4045</v>
      </c>
      <c r="I129" s="637"/>
      <c r="J129" s="635" t="str">
        <f>IF(ISBLANK(HLOOKUP(CaseName,CaseData,MATCH($G129,cases!$G$3:$G$2464,0),FALSE)),"",HLOOKUP(CaseName,CaseData,MATCH($G129,cases!$G$3:$G$2464,0),FALSE))</f>
        <v/>
      </c>
      <c r="K129" s="641">
        <v>1E-3</v>
      </c>
      <c r="L129" s="636">
        <f t="shared" si="4"/>
        <v>1E-3</v>
      </c>
      <c r="M129" s="29" t="s">
        <v>1490</v>
      </c>
      <c r="N129" s="325"/>
      <c r="O129" s="36"/>
    </row>
    <row r="130" spans="1:15" ht="12.75" customHeight="1" x14ac:dyDescent="0.3">
      <c r="A130" s="36"/>
      <c r="B130" s="36"/>
      <c r="C130" s="29"/>
      <c r="D130" s="36" t="s">
        <v>444</v>
      </c>
      <c r="E130" s="29"/>
      <c r="F130" s="29"/>
      <c r="G130" s="94" t="s">
        <v>123</v>
      </c>
      <c r="H130" s="36" t="s">
        <v>36</v>
      </c>
      <c r="I130" s="637"/>
      <c r="J130" s="635" t="str">
        <f>IF(ISBLANK(HLOOKUP(CaseName,CaseData,MATCH($G130,cases!$G$3:$G$2464,0),FALSE)),"",HLOOKUP(CaseName,CaseData,MATCH($G130,cases!$G$3:$G$2464,0),FALSE))</f>
        <v/>
      </c>
      <c r="K130" s="641">
        <v>200000</v>
      </c>
      <c r="L130" s="636">
        <f t="shared" si="4"/>
        <v>200000</v>
      </c>
      <c r="M130" s="36" t="s">
        <v>486</v>
      </c>
      <c r="N130" s="325"/>
      <c r="O130" s="36"/>
    </row>
    <row r="131" spans="1:15" ht="12.75" customHeight="1" x14ac:dyDescent="0.3">
      <c r="A131" s="36"/>
      <c r="B131" s="36" t="s">
        <v>2218</v>
      </c>
      <c r="C131" s="29"/>
      <c r="D131" s="29"/>
      <c r="E131" s="95"/>
      <c r="F131" s="95"/>
      <c r="G131" s="37" t="s">
        <v>2220</v>
      </c>
      <c r="H131" s="36" t="s">
        <v>4046</v>
      </c>
      <c r="I131" s="637"/>
      <c r="J131" s="635" t="str">
        <f>IF(ISBLANK(HLOOKUP(CaseName,CaseData,MATCH($G131,cases!$G$3:$G$2464,0),FALSE)),"",HLOOKUP(CaseName,CaseData,MATCH($G131,cases!$G$3:$G$2464,0),FALSE))</f>
        <v/>
      </c>
      <c r="K131" s="641">
        <f>L60*(L136*L137/(L136*(L63*FRorig.w1)+L137))</f>
        <v>3.7735276288031836E-3</v>
      </c>
      <c r="L131" s="636">
        <f t="shared" ref="L131:L134" si="5">IF(ISBLANK(I131),IF(ISNUMBER(J131)=FALSE,K131,J131),I131)</f>
        <v>3.7735276288031836E-3</v>
      </c>
      <c r="M131" s="36" t="s">
        <v>4047</v>
      </c>
      <c r="N131" s="325"/>
      <c r="O131" s="36"/>
    </row>
    <row r="132" spans="1:15" ht="12.75" customHeight="1" x14ac:dyDescent="0.3">
      <c r="A132" s="36"/>
      <c r="B132" s="36" t="s">
        <v>2219</v>
      </c>
      <c r="C132" s="29"/>
      <c r="D132" s="29"/>
      <c r="E132" s="95"/>
      <c r="F132" s="95"/>
      <c r="G132" s="37" t="s">
        <v>2224</v>
      </c>
      <c r="H132" s="36" t="s">
        <v>4046</v>
      </c>
      <c r="I132" s="634"/>
      <c r="J132" s="635" t="str">
        <f>IF(ISBLANK(HLOOKUP(CaseName,CaseData,MATCH($G132,cases!$G$3:$G$2464,0),FALSE)),"",HLOOKUP(CaseName,CaseData,MATCH($G132,cases!$G$3:$G$2464,0),FALSE))</f>
        <v/>
      </c>
      <c r="K132" s="641">
        <f>L60*(L141*L142)/(L141*((L63*FRorig.s1w)/L90)+L142)</f>
        <v>1.0222970376939818E-3</v>
      </c>
      <c r="L132" s="636">
        <f t="shared" si="5"/>
        <v>1.0222970376939818E-3</v>
      </c>
      <c r="M132" s="36" t="s">
        <v>4047</v>
      </c>
      <c r="N132" s="325"/>
      <c r="O132" s="36"/>
    </row>
    <row r="133" spans="1:15" ht="12.75" customHeight="1" x14ac:dyDescent="0.3">
      <c r="A133" s="36"/>
      <c r="B133" s="36" t="s">
        <v>2212</v>
      </c>
      <c r="C133" s="29"/>
      <c r="D133" s="29"/>
      <c r="E133" s="95"/>
      <c r="F133" s="95"/>
      <c r="G133" s="37" t="s">
        <v>2221</v>
      </c>
      <c r="H133" s="36" t="s">
        <v>4046</v>
      </c>
      <c r="I133" s="634"/>
      <c r="J133" s="635" t="str">
        <f>IF(ISBLANK(HLOOKUP(CaseName,CaseData,MATCH($G133,cases!$G$3:$G$2464,0),FALSE)),"",HLOOKUP(CaseName,CaseData,MATCH($G133,cases!$G$3:$G$2464,0),FALSE))</f>
        <v/>
      </c>
      <c r="K133" s="641">
        <f>(L136*L137/(L136*(L63*FRorig.w1)+L137))*(L63*FRorig.w1)*L66</f>
        <v>1.893474429147487E-10</v>
      </c>
      <c r="L133" s="636">
        <f t="shared" si="5"/>
        <v>1.893474429147487E-10</v>
      </c>
      <c r="M133" s="36" t="s">
        <v>4047</v>
      </c>
      <c r="N133" s="325"/>
      <c r="O133" s="36"/>
    </row>
    <row r="134" spans="1:15" ht="12.75" customHeight="1" x14ac:dyDescent="0.3">
      <c r="A134" s="36"/>
      <c r="B134" s="36" t="s">
        <v>2213</v>
      </c>
      <c r="C134" s="29"/>
      <c r="D134" s="29"/>
      <c r="E134" s="95"/>
      <c r="F134" s="95"/>
      <c r="G134" s="37" t="s">
        <v>2222</v>
      </c>
      <c r="H134" s="36" t="s">
        <v>4046</v>
      </c>
      <c r="I134" s="634"/>
      <c r="J134" s="635" t="str">
        <f>IF(ISBLANK(HLOOKUP(CaseName,CaseData,MATCH($G134,cases!$G$3:$G$2464,0),FALSE)),"",HLOOKUP(CaseName,CaseData,MATCH($G134,cases!$G$3:$G$2464,0),FALSE))</f>
        <v/>
      </c>
      <c r="K134" s="641">
        <f>(L136*L137/(L136*(L63*FRorig.w1)+L137))*(L63*FRorig.w1)*L72</f>
        <v>1.890673513739142E-10</v>
      </c>
      <c r="L134" s="636">
        <f t="shared" si="5"/>
        <v>1.890673513739142E-10</v>
      </c>
      <c r="M134" s="36" t="s">
        <v>4047</v>
      </c>
      <c r="N134" s="325"/>
      <c r="O134" s="36"/>
    </row>
    <row r="135" spans="1:15" ht="12.75" customHeight="1" x14ac:dyDescent="0.3">
      <c r="A135" s="36"/>
      <c r="B135" s="36" t="s">
        <v>2214</v>
      </c>
      <c r="C135" s="29"/>
      <c r="D135" s="29"/>
      <c r="E135" s="29"/>
      <c r="F135" s="29"/>
      <c r="G135" s="37" t="s">
        <v>2223</v>
      </c>
      <c r="H135" s="36" t="s">
        <v>4046</v>
      </c>
      <c r="I135" s="634"/>
      <c r="J135" s="635" t="str">
        <f>IF(ISBLANK(HLOOKUP(CaseName,CaseData,MATCH($G135,cases!$G$3:$G$2464,0),FALSE)),"",HLOOKUP(CaseName,CaseData,MATCH($G135,cases!$G$3:$G$2464,0),FALSE))</f>
        <v/>
      </c>
      <c r="K135" s="641">
        <f>(L136*L137/(L136*(L63*FRorig.w2)+L137))*(L63*FRorig.w2)*L78</f>
        <v>1.8368066569839099E-10</v>
      </c>
      <c r="L135" s="636">
        <f t="shared" si="4"/>
        <v>1.8368066569839099E-10</v>
      </c>
      <c r="M135" s="36" t="s">
        <v>4047</v>
      </c>
      <c r="N135" s="325"/>
      <c r="O135" s="36"/>
    </row>
    <row r="136" spans="1:15" ht="12.75" customHeight="1" x14ac:dyDescent="0.3">
      <c r="A136" s="36"/>
      <c r="B136" s="36"/>
      <c r="C136" s="29" t="s">
        <v>1077</v>
      </c>
      <c r="D136" s="29"/>
      <c r="E136" s="95"/>
      <c r="F136" s="95"/>
      <c r="G136" s="29" t="s">
        <v>3979</v>
      </c>
      <c r="H136" s="95" t="s">
        <v>4045</v>
      </c>
      <c r="I136" s="634"/>
      <c r="J136" s="635" t="str">
        <f>IF(ISBLANK(HLOOKUP(CaseName,CaseData,MATCH($G136,cases!$G$3:$G$2464,0),FALSE)),"",HLOOKUP(CaseName,CaseData,MATCH($G136,cases!$G$3:$G$2464,0),FALSE))</f>
        <v/>
      </c>
      <c r="K136" s="641">
        <f>0.01*(0.3+0.2*WINDspeed.R)*((0.018/Molweight)^(0.67*0.5))</f>
        <v>3.8661873187415758E-3</v>
      </c>
      <c r="L136" s="636">
        <f t="shared" si="4"/>
        <v>3.8661873187415758E-3</v>
      </c>
      <c r="M136" s="29" t="s">
        <v>1490</v>
      </c>
      <c r="N136" s="325"/>
      <c r="O136" s="36"/>
    </row>
    <row r="137" spans="1:15" ht="12.75" customHeight="1" x14ac:dyDescent="0.3">
      <c r="A137" s="36"/>
      <c r="B137" s="36"/>
      <c r="C137" s="29" t="s">
        <v>1048</v>
      </c>
      <c r="D137" s="29"/>
      <c r="E137" s="95"/>
      <c r="F137" s="95"/>
      <c r="G137" s="29" t="s">
        <v>3980</v>
      </c>
      <c r="H137" s="95" t="s">
        <v>4045</v>
      </c>
      <c r="I137" s="634"/>
      <c r="J137" s="635" t="str">
        <f>IF(ISBLANK(HLOOKUP(CaseName,CaseData,MATCH($G137,cases!$G$3:$G$2464,0),FALSE)),"",HLOOKUP(CaseName,CaseData,MATCH($G137,cases!$G$3:$G$2464,0),FALSE))</f>
        <v/>
      </c>
      <c r="K137" s="641">
        <f>0.01*(0.0004+0.00004*WINDspeed.R^2)*((0.032/Molweight)^(0.5*0.5))</f>
        <v>4.6712434275245704E-6</v>
      </c>
      <c r="L137" s="636">
        <f t="shared" si="4"/>
        <v>4.6712434275245704E-6</v>
      </c>
      <c r="M137" s="29" t="s">
        <v>1490</v>
      </c>
      <c r="N137" s="325"/>
      <c r="O137" s="36"/>
    </row>
    <row r="138" spans="1:15" ht="12.75" customHeight="1" x14ac:dyDescent="0.3">
      <c r="A138" s="36"/>
      <c r="B138" s="36" t="s">
        <v>2215</v>
      </c>
      <c r="C138" s="29"/>
      <c r="D138" s="29"/>
      <c r="E138" s="95"/>
      <c r="F138" s="95"/>
      <c r="G138" s="37" t="s">
        <v>2225</v>
      </c>
      <c r="H138" s="36" t="s">
        <v>4046</v>
      </c>
      <c r="I138" s="634"/>
      <c r="J138" s="635" t="str">
        <f>IF(ISBLANK(HLOOKUP(CaseName,CaseData,MATCH($G138,cases!$G$3:$G$2464,0),FALSE)),"",HLOOKUP(CaseName,CaseData,MATCH($G138,cases!$G$3:$G$2464,0),FALSE))</f>
        <v/>
      </c>
      <c r="K138" s="641">
        <f>(L141*L142)/(L141+L142/((L63*FRorig.s1w)/L90))*L143</f>
        <v>2.1135201902437659E-12</v>
      </c>
      <c r="L138" s="636">
        <f t="shared" ref="L138:L145" si="6">IF(ISBLANK(I138),IF(ISNUMBER(J138)=FALSE,K138,J138),I138)</f>
        <v>2.1135201902437659E-12</v>
      </c>
      <c r="M138" s="36" t="s">
        <v>4047</v>
      </c>
      <c r="N138" s="325"/>
      <c r="O138" s="36"/>
    </row>
    <row r="139" spans="1:15" ht="12.75" customHeight="1" x14ac:dyDescent="0.3">
      <c r="A139" s="36"/>
      <c r="B139" s="36" t="s">
        <v>2216</v>
      </c>
      <c r="C139" s="29"/>
      <c r="D139" s="29"/>
      <c r="E139" s="95"/>
      <c r="F139" s="95"/>
      <c r="G139" s="37" t="s">
        <v>2226</v>
      </c>
      <c r="H139" s="36" t="s">
        <v>4046</v>
      </c>
      <c r="I139" s="634"/>
      <c r="J139" s="635" t="str">
        <f>IF(ISBLANK(HLOOKUP(CaseName,CaseData,MATCH($G139,cases!$G$3:$G$2464,0),FALSE)),"",HLOOKUP(CaseName,CaseData,MATCH($G139,cases!$G$3:$G$2464,0),FALSE))</f>
        <v/>
      </c>
      <c r="K139" s="641">
        <f>(L141*L142)/(L141+L142/((L63*FRorig.s2w)/L95))*L144</f>
        <v>3.8371523059792708E-12</v>
      </c>
      <c r="L139" s="636">
        <f t="shared" si="6"/>
        <v>3.8371523059792708E-12</v>
      </c>
      <c r="M139" s="36" t="s">
        <v>4047</v>
      </c>
      <c r="N139" s="325"/>
      <c r="O139" s="36"/>
    </row>
    <row r="140" spans="1:15" ht="12.75" customHeight="1" x14ac:dyDescent="0.3">
      <c r="A140" s="36"/>
      <c r="B140" s="36" t="s">
        <v>2217</v>
      </c>
      <c r="C140" s="29"/>
      <c r="D140" s="29"/>
      <c r="E140" s="95"/>
      <c r="F140" s="95"/>
      <c r="G140" s="37" t="s">
        <v>2227</v>
      </c>
      <c r="H140" s="36" t="s">
        <v>4046</v>
      </c>
      <c r="I140" s="634"/>
      <c r="J140" s="635" t="str">
        <f>IF(ISBLANK(HLOOKUP(CaseName,CaseData,MATCH($G140,cases!$G$3:$G$2464,0),FALSE)),"",HLOOKUP(CaseName,CaseData,MATCH($G140,cases!$G$3:$G$2464,0),FALSE))</f>
        <v/>
      </c>
      <c r="K140" s="641">
        <f>(L141*L142)/(L141+L142/((L63*FRorig.s3w)/L100))*L145</f>
        <v>2.1080741700257921E-12</v>
      </c>
      <c r="L140" s="636">
        <f t="shared" si="6"/>
        <v>2.1080741700257921E-12</v>
      </c>
      <c r="M140" s="36" t="s">
        <v>4047</v>
      </c>
      <c r="N140" s="325"/>
      <c r="O140" s="36"/>
    </row>
    <row r="141" spans="1:15" ht="12.75" customHeight="1" x14ac:dyDescent="0.3">
      <c r="A141" s="36"/>
      <c r="B141" s="36"/>
      <c r="C141" s="29" t="s">
        <v>1049</v>
      </c>
      <c r="D141" s="29"/>
      <c r="E141" s="29"/>
      <c r="F141" s="95"/>
      <c r="G141" s="29" t="s">
        <v>3981</v>
      </c>
      <c r="H141" s="95" t="s">
        <v>4045</v>
      </c>
      <c r="I141" s="634"/>
      <c r="J141" s="635" t="str">
        <f>IF(ISBLANK(HLOOKUP(CaseName,CaseData,MATCH($G141,cases!$G$3:$G$2464,0),FALSE)),"",HLOOKUP(CaseName,CaseData,MATCH($G141,cases!$G$3:$G$2464,0),FALSE))</f>
        <v/>
      </c>
      <c r="K141" s="641">
        <f>0.43/(24*3600)/0.00475</f>
        <v>1.0477582846003899E-3</v>
      </c>
      <c r="L141" s="636">
        <f t="shared" si="6"/>
        <v>1.0477582846003899E-3</v>
      </c>
      <c r="M141" s="29" t="s">
        <v>1490</v>
      </c>
      <c r="N141" s="325"/>
      <c r="O141" s="36"/>
    </row>
    <row r="142" spans="1:15" ht="12.75" customHeight="1" x14ac:dyDescent="0.3">
      <c r="A142" s="36"/>
      <c r="B142" s="36"/>
      <c r="C142" s="29" t="s">
        <v>872</v>
      </c>
      <c r="D142" s="29"/>
      <c r="E142" s="95"/>
      <c r="F142" s="95"/>
      <c r="G142" s="29" t="s">
        <v>3982</v>
      </c>
      <c r="H142" s="95" t="s">
        <v>4045</v>
      </c>
      <c r="I142" s="634"/>
      <c r="J142" s="635" t="str">
        <f>IF(ISBLANK(HLOOKUP(CaseName,CaseData,MATCH($G142,cases!$G$3:$G$2464,0),FALSE)),"",HLOOKUP(CaseName,CaseData,MATCH($G142,cases!$G$3:$G$2464,0),FALSE))</f>
        <v/>
      </c>
      <c r="K142" s="641">
        <f>0.1*L209</f>
        <v>4.3455503205058606E-9</v>
      </c>
      <c r="L142" s="636">
        <f t="shared" si="6"/>
        <v>4.3455503205058606E-9</v>
      </c>
      <c r="M142" s="29" t="s">
        <v>1490</v>
      </c>
      <c r="N142" s="325"/>
      <c r="O142" s="36"/>
    </row>
    <row r="143" spans="1:15" ht="12.75" customHeight="1" x14ac:dyDescent="0.3">
      <c r="A143" s="36"/>
      <c r="B143" s="36"/>
      <c r="C143" s="29" t="s">
        <v>2228</v>
      </c>
      <c r="D143" s="29"/>
      <c r="E143" s="95"/>
      <c r="F143" s="95"/>
      <c r="G143" s="37" t="s">
        <v>1464</v>
      </c>
      <c r="H143" s="29" t="s">
        <v>36</v>
      </c>
      <c r="I143" s="639"/>
      <c r="J143" s="635" t="str">
        <f>IF(ISBLANK(HLOOKUP(CaseName,CaseData,MATCH($G143,cases!$G$3:$G$2464,0),FALSE)),"",HLOOKUP(CaseName,CaseData,MATCH($G143,cases!$G$3:$G$2464,0),FALSE))</f>
        <v/>
      </c>
      <c r="K143" s="641">
        <f>(EXP((-1/0.1)*0)*(1/0.1)*L27/(1-EXP((-1/0.1)*L27)))</f>
        <v>1.2707470412683992</v>
      </c>
      <c r="L143" s="636">
        <f t="shared" si="6"/>
        <v>1.2707470412683992</v>
      </c>
      <c r="M143" s="29" t="s">
        <v>486</v>
      </c>
      <c r="N143" s="325"/>
      <c r="O143" s="36"/>
    </row>
    <row r="144" spans="1:15" ht="12.75" customHeight="1" x14ac:dyDescent="0.3">
      <c r="A144" s="36"/>
      <c r="B144" s="36"/>
      <c r="C144" s="29" t="s">
        <v>2228</v>
      </c>
      <c r="D144" s="29"/>
      <c r="E144" s="95"/>
      <c r="F144" s="95"/>
      <c r="G144" s="37" t="s">
        <v>1465</v>
      </c>
      <c r="H144" s="29" t="s">
        <v>36</v>
      </c>
      <c r="I144" s="639"/>
      <c r="J144" s="635" t="str">
        <f>IF(ISBLANK(HLOOKUP(CaseName,CaseData,MATCH($G144,cases!$G$3:$G$2464,0),FALSE)),"",HLOOKUP(CaseName,CaseData,MATCH($G144,cases!$G$3:$G$2464,0),FALSE))</f>
        <v/>
      </c>
      <c r="K144" s="641">
        <f>(EXP((-1/0.1)*0)*(1/0.1)*L28/(1-EXP((-1/0.1)*L28)))</f>
        <v>2.3130352854993315</v>
      </c>
      <c r="L144" s="636">
        <f t="shared" si="6"/>
        <v>2.3130352854993315</v>
      </c>
      <c r="M144" s="29" t="s">
        <v>486</v>
      </c>
      <c r="N144" s="325"/>
      <c r="O144" s="36"/>
    </row>
    <row r="145" spans="1:15" ht="12.75" customHeight="1" x14ac:dyDescent="0.3">
      <c r="A145" s="36"/>
      <c r="B145" s="36"/>
      <c r="C145" s="29" t="s">
        <v>2228</v>
      </c>
      <c r="D145" s="29"/>
      <c r="E145" s="95"/>
      <c r="F145" s="95"/>
      <c r="G145" s="37" t="s">
        <v>1466</v>
      </c>
      <c r="H145" s="29" t="s">
        <v>36</v>
      </c>
      <c r="I145" s="639"/>
      <c r="J145" s="635" t="str">
        <f>IF(ISBLANK(HLOOKUP(CaseName,CaseData,MATCH($G145,cases!$G$3:$G$2464,0),FALSE)),"",HLOOKUP(CaseName,CaseData,MATCH($G145,cases!$G$3:$G$2464,0),FALSE))</f>
        <v/>
      </c>
      <c r="K145" s="641">
        <f>(EXP((-1/0.1)*0)*(1/0.1)*L29/(1-EXP((-1/0.1)*L29)))</f>
        <v>1.2707470412683992</v>
      </c>
      <c r="L145" s="636">
        <f t="shared" si="6"/>
        <v>1.2707470412683992</v>
      </c>
      <c r="M145" s="29" t="s">
        <v>486</v>
      </c>
      <c r="N145" s="325"/>
      <c r="O145" s="36"/>
    </row>
    <row r="146" spans="1:15" ht="12.75" customHeight="1" x14ac:dyDescent="0.3">
      <c r="A146" s="36"/>
      <c r="B146" s="29"/>
      <c r="C146" s="29"/>
      <c r="D146" s="29"/>
      <c r="E146" s="29"/>
      <c r="F146" s="29"/>
      <c r="G146" s="94"/>
      <c r="H146" s="36"/>
      <c r="I146" s="339"/>
      <c r="J146" s="363"/>
      <c r="K146" s="353"/>
      <c r="L146" s="353"/>
      <c r="M146" s="29"/>
      <c r="N146" s="36"/>
      <c r="O146" s="36"/>
    </row>
    <row r="147" spans="1:15" ht="12.75" customHeight="1" x14ac:dyDescent="0.3">
      <c r="A147" s="36" t="s">
        <v>76</v>
      </c>
      <c r="B147" s="29"/>
      <c r="C147" s="29"/>
      <c r="D147" s="29"/>
      <c r="E147" s="29"/>
      <c r="F147" s="29"/>
      <c r="G147" s="37" t="s">
        <v>240</v>
      </c>
      <c r="H147" s="36" t="s">
        <v>4037</v>
      </c>
      <c r="I147" s="639"/>
      <c r="J147" s="635" t="str">
        <f>IF(ISBLANK(HLOOKUP(CaseName,CaseData,MATCH($G147,cases!$G$3:$G$2464,0),FALSE)),"",HLOOKUP(CaseName,CaseData,MATCH($G147,cases!$G$3:$G$2464,0),FALSE))</f>
        <v/>
      </c>
      <c r="K147" s="352">
        <f>(L151+L162)/L23</f>
        <v>2.6453105432102753E-8</v>
      </c>
      <c r="L147" s="636">
        <f t="shared" ref="L147:L167" si="7">IF(ISBLANK(I147),IF(ISNUMBER(J147)=FALSE,K147,J147),I147)</f>
        <v>2.6453105432102753E-8</v>
      </c>
      <c r="M147" s="29" t="s">
        <v>1488</v>
      </c>
      <c r="N147" s="642"/>
      <c r="O147" s="36"/>
    </row>
    <row r="148" spans="1:15" ht="12.75" customHeight="1" x14ac:dyDescent="0.3">
      <c r="A148" s="36" t="s">
        <v>77</v>
      </c>
      <c r="B148" s="29"/>
      <c r="C148" s="29"/>
      <c r="D148" s="29"/>
      <c r="E148" s="29"/>
      <c r="F148" s="29"/>
      <c r="G148" s="37" t="s">
        <v>242</v>
      </c>
      <c r="H148" s="36" t="s">
        <v>4037</v>
      </c>
      <c r="I148" s="639"/>
      <c r="J148" s="635" t="str">
        <f>IF(ISBLANK(HLOOKUP(CaseName,CaseData,MATCH($G148,cases!$G$3:$G$2464,0),FALSE)),"",HLOOKUP(CaseName,CaseData,MATCH($G148,cases!$G$3:$G$2464,0),FALSE))</f>
        <v/>
      </c>
      <c r="K148" s="352">
        <f>(L153+L164)/L24</f>
        <v>4.9492355023972612E-9</v>
      </c>
      <c r="L148" s="636">
        <f t="shared" si="7"/>
        <v>4.9492355023972612E-9</v>
      </c>
      <c r="M148" s="29" t="s">
        <v>1488</v>
      </c>
      <c r="N148" s="36"/>
      <c r="O148" s="36"/>
    </row>
    <row r="149" spans="1:15" ht="12.75" customHeight="1" x14ac:dyDescent="0.3">
      <c r="A149" s="36" t="s">
        <v>78</v>
      </c>
      <c r="B149" s="29"/>
      <c r="C149" s="29"/>
      <c r="D149" s="29"/>
      <c r="E149" s="29"/>
      <c r="F149" s="29"/>
      <c r="G149" s="37" t="s">
        <v>241</v>
      </c>
      <c r="H149" s="36" t="s">
        <v>4037</v>
      </c>
      <c r="I149" s="639"/>
      <c r="J149" s="635" t="str">
        <f>IF(ISBLANK(HLOOKUP(CaseName,CaseData,MATCH($G149,cases!$G$3:$G$2464,0),FALSE)),"",HLOOKUP(CaseName,CaseData,MATCH($G149,cases!$G$3:$G$2464,0),FALSE))</f>
        <v/>
      </c>
      <c r="K149" s="352">
        <f>(L152+L163)/L25</f>
        <v>6.0755804044606696E-8</v>
      </c>
      <c r="L149" s="636">
        <f t="shared" si="7"/>
        <v>6.0755804044606696E-8</v>
      </c>
      <c r="M149" s="29" t="s">
        <v>1488</v>
      </c>
      <c r="N149" s="36"/>
      <c r="O149" s="36"/>
    </row>
    <row r="150" spans="1:15" ht="12.75" customHeight="1" x14ac:dyDescent="0.3">
      <c r="A150" s="36" t="s">
        <v>79</v>
      </c>
      <c r="B150" s="29"/>
      <c r="C150" s="29"/>
      <c r="D150" s="29"/>
      <c r="E150" s="29"/>
      <c r="F150" s="29"/>
      <c r="G150" s="37" t="s">
        <v>243</v>
      </c>
      <c r="H150" s="36" t="s">
        <v>4037</v>
      </c>
      <c r="I150" s="639"/>
      <c r="J150" s="635" t="str">
        <f>IF(ISBLANK(HLOOKUP(CaseName,CaseData,MATCH($G150,cases!$G$3:$G$2464,0),FALSE)),"",HLOOKUP(CaseName,CaseData,MATCH($G150,cases!$G$3:$G$2464,0),FALSE))</f>
        <v/>
      </c>
      <c r="K150" s="352">
        <f>(L154+L165)/L26</f>
        <v>4.2483903201830168E-8</v>
      </c>
      <c r="L150" s="636">
        <f t="shared" si="7"/>
        <v>4.2483903201830168E-8</v>
      </c>
      <c r="M150" s="29" t="s">
        <v>1488</v>
      </c>
      <c r="N150" s="36"/>
      <c r="O150" s="36"/>
    </row>
    <row r="151" spans="1:15" ht="12.75" customHeight="1" x14ac:dyDescent="0.3">
      <c r="A151" s="36"/>
      <c r="B151" s="36" t="s">
        <v>2230</v>
      </c>
      <c r="C151" s="29"/>
      <c r="D151" s="29"/>
      <c r="E151" s="29"/>
      <c r="F151" s="29"/>
      <c r="G151" s="37" t="s">
        <v>2254</v>
      </c>
      <c r="H151" s="36" t="s">
        <v>4046</v>
      </c>
      <c r="I151" s="634"/>
      <c r="J151" s="635" t="str">
        <f>IF(ISBLANK(HLOOKUP(CaseName,CaseData,MATCH($G151,cases!$G$3:$G$2464,0),FALSE)),"",HLOOKUP(CaseName,CaseData,MATCH($G151,cases!$G$3:$G$2464,0),FALSE))</f>
        <v/>
      </c>
      <c r="K151" s="352">
        <f>L157*(1-L72)</f>
        <v>5.1903703961662373E-8</v>
      </c>
      <c r="L151" s="636">
        <f t="shared" si="7"/>
        <v>5.1903703961662373E-8</v>
      </c>
      <c r="M151" s="36" t="s">
        <v>4047</v>
      </c>
      <c r="N151" s="325"/>
      <c r="O151" s="36"/>
    </row>
    <row r="152" spans="1:15" ht="12.75" customHeight="1" x14ac:dyDescent="0.3">
      <c r="A152" s="36"/>
      <c r="B152" s="36" t="s">
        <v>2231</v>
      </c>
      <c r="C152" s="29"/>
      <c r="D152" s="29"/>
      <c r="E152" s="29"/>
      <c r="F152" s="29"/>
      <c r="G152" s="37" t="s">
        <v>2255</v>
      </c>
      <c r="H152" s="36" t="s">
        <v>4046</v>
      </c>
      <c r="I152" s="634"/>
      <c r="J152" s="635" t="str">
        <f>IF(ISBLANK(HLOOKUP(CaseName,CaseData,MATCH($G152,cases!$G$3:$G$2464,0),FALSE)),"",HLOOKUP(CaseName,CaseData,MATCH($G152,cases!$G$3:$G$2464,0),FALSE))</f>
        <v/>
      </c>
      <c r="K152" s="352">
        <f>L155-L158</f>
        <v>7.8119450786402858E-10</v>
      </c>
      <c r="L152" s="636">
        <f t="shared" si="7"/>
        <v>7.8119450786402858E-10</v>
      </c>
      <c r="M152" s="36" t="s">
        <v>4047</v>
      </c>
      <c r="N152" s="325"/>
      <c r="O152" s="36"/>
    </row>
    <row r="153" spans="1:15" ht="12.75" customHeight="1" x14ac:dyDescent="0.3">
      <c r="A153" s="36"/>
      <c r="B153" s="36" t="s">
        <v>2232</v>
      </c>
      <c r="C153" s="29"/>
      <c r="D153" s="29"/>
      <c r="E153" s="29"/>
      <c r="F153" s="29"/>
      <c r="G153" s="37" t="s">
        <v>2256</v>
      </c>
      <c r="H153" s="36" t="s">
        <v>4046</v>
      </c>
      <c r="I153" s="634"/>
      <c r="J153" s="635" t="str">
        <f>IF(ISBLANK(HLOOKUP(CaseName,CaseData,MATCH($G153,cases!$G$3:$G$2464,0),FALSE)),"",HLOOKUP(CaseName,CaseData,MATCH($G153,cases!$G$3:$G$2464,0),FALSE))</f>
        <v/>
      </c>
      <c r="K153" s="352">
        <f>L157*(1-L78)</f>
        <v>2.20083250063939E-8</v>
      </c>
      <c r="L153" s="636">
        <f t="shared" si="7"/>
        <v>2.20083250063939E-8</v>
      </c>
      <c r="M153" s="36" t="s">
        <v>4047</v>
      </c>
      <c r="N153" s="325"/>
      <c r="O153" s="36"/>
    </row>
    <row r="154" spans="1:15" ht="12.75" customHeight="1" x14ac:dyDescent="0.3">
      <c r="A154" s="36"/>
      <c r="B154" s="36" t="s">
        <v>2233</v>
      </c>
      <c r="C154" s="29"/>
      <c r="D154" s="29"/>
      <c r="E154" s="29"/>
      <c r="F154" s="29"/>
      <c r="G154" s="37" t="s">
        <v>2257</v>
      </c>
      <c r="H154" s="36" t="s">
        <v>4046</v>
      </c>
      <c r="I154" s="634"/>
      <c r="J154" s="635" t="str">
        <f>IF(ISBLANK(HLOOKUP(CaseName,CaseData,MATCH($G154,cases!$G$3:$G$2464,0),FALSE)),"",HLOOKUP(CaseName,CaseData,MATCH($G154,cases!$G$3:$G$2464,0),FALSE))</f>
        <v/>
      </c>
      <c r="K154" s="352">
        <f>L156-L159</f>
        <v>2.2595185185185189E-10</v>
      </c>
      <c r="L154" s="636">
        <f t="shared" si="7"/>
        <v>2.2595185185185189E-10</v>
      </c>
      <c r="M154" s="36" t="s">
        <v>4047</v>
      </c>
      <c r="N154" s="36"/>
      <c r="O154" s="36"/>
    </row>
    <row r="155" spans="1:15" ht="12.75" customHeight="1" x14ac:dyDescent="0.3">
      <c r="A155" s="36"/>
      <c r="B155" s="36"/>
      <c r="C155" s="36" t="s">
        <v>1228</v>
      </c>
      <c r="D155" s="29"/>
      <c r="E155" s="29"/>
      <c r="F155" s="29"/>
      <c r="G155" s="94" t="s">
        <v>507</v>
      </c>
      <c r="H155" s="95" t="s">
        <v>4045</v>
      </c>
      <c r="I155" s="634"/>
      <c r="J155" s="635" t="str">
        <f>IF(ISBLANK(HLOOKUP(CaseName,CaseData,MATCH($G155,cases!$G$3:$G$2464,0),FALSE)),"",HLOOKUP(CaseName,CaseData,MATCH($G155,cases!$G$3:$G$2464,0),FALSE))</f>
        <v/>
      </c>
      <c r="K155" s="352">
        <f>IF(L157*L75/(L42*RHOsolid)&gt;L158,L157*L75/(L42*RHOsolid),L158)</f>
        <v>8.6805555555555575E-10</v>
      </c>
      <c r="L155" s="636">
        <f t="shared" si="7"/>
        <v>8.6805555555555575E-10</v>
      </c>
      <c r="M155" s="29" t="s">
        <v>1490</v>
      </c>
      <c r="N155" s="36"/>
      <c r="O155" s="36"/>
    </row>
    <row r="156" spans="1:15" ht="12.75" customHeight="1" x14ac:dyDescent="0.3">
      <c r="A156" s="36"/>
      <c r="B156" s="36"/>
      <c r="C156" s="36" t="s">
        <v>1229</v>
      </c>
      <c r="D156" s="29"/>
      <c r="E156" s="95"/>
      <c r="F156" s="95"/>
      <c r="G156" s="94" t="s">
        <v>415</v>
      </c>
      <c r="H156" s="95" t="s">
        <v>4045</v>
      </c>
      <c r="I156" s="634"/>
      <c r="J156" s="635" t="str">
        <f>IF(ISBLANK(HLOOKUP(CaseName,CaseData,MATCH($G156,cases!$G$3:$G$2464,0),FALSE)),"",HLOOKUP(CaseName,CaseData,MATCH($G156,cases!$G$3:$G$2464,0),FALSE))</f>
        <v/>
      </c>
      <c r="K156" s="352">
        <f>IF(L157*L81/(L42*RHOsolid)&gt;L159,L157*L81/(L42*RHOsolid),L159)</f>
        <v>2.893518518518519E-10</v>
      </c>
      <c r="L156" s="636">
        <f t="shared" si="7"/>
        <v>2.893518518518519E-10</v>
      </c>
      <c r="M156" s="29" t="s">
        <v>1490</v>
      </c>
      <c r="N156" s="36"/>
      <c r="O156" s="36"/>
    </row>
    <row r="157" spans="1:15" ht="12.75" customHeight="1" x14ac:dyDescent="0.3">
      <c r="A157" s="36"/>
      <c r="B157" s="36"/>
      <c r="C157" s="29"/>
      <c r="D157" s="36" t="s">
        <v>582</v>
      </c>
      <c r="E157" s="95"/>
      <c r="F157" s="95"/>
      <c r="G157" s="94" t="s">
        <v>417</v>
      </c>
      <c r="H157" s="95" t="s">
        <v>4045</v>
      </c>
      <c r="I157" s="634"/>
      <c r="J157" s="635" t="str">
        <f>IF(ISBLANK(HLOOKUP(CaseName,CaseData,MATCH($G157,cases!$G$3:$G$2464,0),FALSE)),"",HLOOKUP(CaseName,CaseData,MATCH($G157,cases!$G$3:$G$2464,0),FALSE))</f>
        <v/>
      </c>
      <c r="K157" s="352">
        <f>2.5/(24*3600)</f>
        <v>2.8935185185185186E-5</v>
      </c>
      <c r="L157" s="636">
        <f t="shared" si="7"/>
        <v>2.8935185185185186E-5</v>
      </c>
      <c r="M157" s="29" t="s">
        <v>1490</v>
      </c>
      <c r="N157" s="36"/>
      <c r="O157" s="36"/>
    </row>
    <row r="158" spans="1:15" ht="12.75" customHeight="1" x14ac:dyDescent="0.3">
      <c r="A158" s="36"/>
      <c r="B158" s="36"/>
      <c r="C158" s="29"/>
      <c r="D158" s="36" t="s">
        <v>1329</v>
      </c>
      <c r="E158" s="95"/>
      <c r="F158" s="36"/>
      <c r="G158" s="94" t="s">
        <v>1083</v>
      </c>
      <c r="H158" s="95" t="s">
        <v>4045</v>
      </c>
      <c r="I158" s="634"/>
      <c r="J158" s="635" t="str">
        <f>IF(ISBLANK(HLOOKUP(CaseName,CaseData,MATCH($G158,cases!$G$3:$G$2464,0),FALSE)),"",HLOOKUP(CaseName,CaseData,MATCH($G158,cases!$G$3:$G$2464,0),FALSE))</f>
        <v/>
      </c>
      <c r="K158" s="352">
        <v>8.6861047691527155E-11</v>
      </c>
      <c r="L158" s="636">
        <f t="shared" si="7"/>
        <v>8.6861047691527155E-11</v>
      </c>
      <c r="M158" s="29" t="s">
        <v>1490</v>
      </c>
      <c r="N158" s="36" t="s">
        <v>923</v>
      </c>
      <c r="O158" s="36"/>
    </row>
    <row r="159" spans="1:15" ht="12.75" customHeight="1" x14ac:dyDescent="0.3">
      <c r="A159" s="36"/>
      <c r="B159" s="36"/>
      <c r="C159" s="29"/>
      <c r="D159" s="36" t="s">
        <v>436</v>
      </c>
      <c r="E159" s="95"/>
      <c r="F159" s="36"/>
      <c r="G159" s="94" t="s">
        <v>1084</v>
      </c>
      <c r="H159" s="95" t="s">
        <v>4045</v>
      </c>
      <c r="I159" s="634"/>
      <c r="J159" s="635" t="str">
        <f>IF(ISBLANK(HLOOKUP(CaseName,CaseData,MATCH($G159,cases!$G$3:$G$2464,0),FALSE)),"",HLOOKUP(CaseName,CaseData,MATCH($G159,cases!$G$3:$G$2464,0),FALSE))</f>
        <v/>
      </c>
      <c r="K159" s="656">
        <v>6.3399999999999996E-11</v>
      </c>
      <c r="L159" s="636">
        <f t="shared" si="7"/>
        <v>6.3399999999999996E-11</v>
      </c>
      <c r="M159" s="29" t="s">
        <v>1490</v>
      </c>
      <c r="N159" s="36" t="s">
        <v>923</v>
      </c>
      <c r="O159" s="36"/>
    </row>
    <row r="160" spans="1:15" ht="12.75" customHeight="1" x14ac:dyDescent="0.3">
      <c r="A160" s="36"/>
      <c r="B160" s="36"/>
      <c r="C160" s="29"/>
      <c r="D160" s="29"/>
      <c r="E160" s="36" t="s">
        <v>440</v>
      </c>
      <c r="F160" s="95"/>
      <c r="G160" s="94" t="s">
        <v>1206</v>
      </c>
      <c r="H160" s="36" t="s">
        <v>4048</v>
      </c>
      <c r="I160" s="634"/>
      <c r="J160" s="635" t="str">
        <f>IF(ISBLANK(HLOOKUP(CaseName,CaseData,MATCH($G160,cases!$G$3:$G$2464,0),FALSE)),"",HLOOKUP(CaseName,CaseData,MATCH($G160,cases!$G$3:$G$2464,0),FALSE))</f>
        <v/>
      </c>
      <c r="K160" s="352">
        <v>10</v>
      </c>
      <c r="L160" s="636">
        <f>IF(ISBLANK(I160),IF(ISNUMBER(J160)=FALSE,K160/(1000*3600*24*365)*L16*L14,J160/(1000*3600*24*365)*L16*L14),I160/(1000*3600*24*365)*L16*L14)</f>
        <v>1.9931744672754947</v>
      </c>
      <c r="M160" s="29" t="s">
        <v>1499</v>
      </c>
      <c r="N160" s="36"/>
      <c r="O160" s="36"/>
    </row>
    <row r="161" spans="1:15" ht="12.75" customHeight="1" x14ac:dyDescent="0.3">
      <c r="A161" s="36"/>
      <c r="B161" s="36"/>
      <c r="C161" s="29"/>
      <c r="D161" s="29"/>
      <c r="E161" s="36" t="s">
        <v>1378</v>
      </c>
      <c r="F161" s="29"/>
      <c r="G161" s="94" t="s">
        <v>1207</v>
      </c>
      <c r="H161" s="36" t="s">
        <v>4048</v>
      </c>
      <c r="I161" s="634"/>
      <c r="J161" s="635" t="str">
        <f>IF(ISBLANK(HLOOKUP(CaseName,CaseData,MATCH($G161,cases!$G$3:$G$2464,0),FALSE)),"",HLOOKUP(CaseName,CaseData,MATCH($G161,cases!$G$3:$G$2464,0),FALSE))</f>
        <v/>
      </c>
      <c r="K161" s="352">
        <v>10</v>
      </c>
      <c r="L161" s="636">
        <f>IF(ISBLANK(I161),IF(ISNUMBER(J161)=FALSE,K161/(1000*3600*24*365)*L14*L20,J161/(1000*3600*24*365)*L14*L20),I161/(1000*3600*24*365)*L14*L20)</f>
        <v>0.31709791983764618</v>
      </c>
      <c r="M161" s="29" t="s">
        <v>1499</v>
      </c>
      <c r="N161" s="36"/>
      <c r="O161" s="36"/>
    </row>
    <row r="162" spans="1:15" ht="12.75" customHeight="1" x14ac:dyDescent="0.3">
      <c r="A162" s="29"/>
      <c r="B162" s="29" t="s">
        <v>2234</v>
      </c>
      <c r="C162" s="95"/>
      <c r="D162" s="95"/>
      <c r="E162" s="29"/>
      <c r="F162" s="29"/>
      <c r="G162" s="37" t="s">
        <v>2258</v>
      </c>
      <c r="H162" s="36" t="s">
        <v>4046</v>
      </c>
      <c r="I162" s="634"/>
      <c r="J162" s="635" t="str">
        <f>IF(ISBLANK(HLOOKUP(CaseName,CaseData,MATCH($G162,cases!$G$3:$G$2464,0),FALSE)),"",HLOOKUP(CaseName,CaseData,MATCH($G162,cases!$G$3:$G$2464,0),FALSE))</f>
        <v/>
      </c>
      <c r="K162" s="352">
        <f>(L166*L167)/(L166+L167)*L72</f>
        <v>2.7455612334645886E-8</v>
      </c>
      <c r="L162" s="636">
        <f t="shared" si="7"/>
        <v>2.7455612334645886E-8</v>
      </c>
      <c r="M162" s="36" t="s">
        <v>4047</v>
      </c>
      <c r="N162" s="36"/>
      <c r="O162" s="36"/>
    </row>
    <row r="163" spans="1:15" ht="12.75" customHeight="1" x14ac:dyDescent="0.3">
      <c r="A163" s="29"/>
      <c r="B163" s="29" t="s">
        <v>2235</v>
      </c>
      <c r="C163" s="95"/>
      <c r="D163" s="95"/>
      <c r="E163" s="29"/>
      <c r="F163" s="29"/>
      <c r="G163" s="37" t="s">
        <v>2259</v>
      </c>
      <c r="H163" s="36" t="s">
        <v>4046</v>
      </c>
      <c r="I163" s="634"/>
      <c r="J163" s="635" t="str">
        <f>IF(ISBLANK(HLOOKUP(CaseName,CaseData,MATCH($G163,cases!$G$3:$G$2464,0),FALSE)),"",HLOOKUP(CaseName,CaseData,MATCH($G163,cases!$G$3:$G$2464,0),FALSE))</f>
        <v/>
      </c>
      <c r="K163" s="352">
        <f>((L166*L167)/(L166+L167))/L84</f>
        <v>1.0414796134741724E-9</v>
      </c>
      <c r="L163" s="636">
        <f t="shared" si="7"/>
        <v>1.0414796134741724E-9</v>
      </c>
      <c r="M163" s="36" t="s">
        <v>4047</v>
      </c>
      <c r="N163" s="36"/>
      <c r="O163" s="36"/>
    </row>
    <row r="164" spans="1:15" ht="12.75" customHeight="1" x14ac:dyDescent="0.3">
      <c r="A164" s="29"/>
      <c r="B164" s="29" t="s">
        <v>2236</v>
      </c>
      <c r="C164" s="95"/>
      <c r="D164" s="95"/>
      <c r="E164" s="29"/>
      <c r="F164" s="95"/>
      <c r="G164" s="37" t="s">
        <v>2260</v>
      </c>
      <c r="H164" s="36" t="s">
        <v>4046</v>
      </c>
      <c r="I164" s="634"/>
      <c r="J164" s="635" t="str">
        <f>IF(ISBLANK(HLOOKUP(CaseName,CaseData,MATCH($G164,cases!$G$3:$G$2464,0),FALSE)),"",HLOOKUP(CaseName,CaseData,MATCH($G164,cases!$G$3:$G$2464,0),FALSE))</f>
        <v/>
      </c>
      <c r="K164" s="352">
        <f>(L166*L167)/(L166+L167)*L78</f>
        <v>2.7484030017578719E-8</v>
      </c>
      <c r="L164" s="636">
        <f t="shared" si="7"/>
        <v>2.7484030017578719E-8</v>
      </c>
      <c r="M164" s="36" t="s">
        <v>4047</v>
      </c>
      <c r="N164" s="36"/>
      <c r="O164" s="36"/>
    </row>
    <row r="165" spans="1:15" ht="12.75" customHeight="1" x14ac:dyDescent="0.3">
      <c r="A165" s="29"/>
      <c r="B165" s="29" t="s">
        <v>2237</v>
      </c>
      <c r="C165" s="95"/>
      <c r="D165" s="95"/>
      <c r="E165" s="29"/>
      <c r="F165" s="95"/>
      <c r="G165" s="37" t="s">
        <v>2261</v>
      </c>
      <c r="H165" s="36" t="s">
        <v>4046</v>
      </c>
      <c r="I165" s="634"/>
      <c r="J165" s="635" t="str">
        <f>IF(ISBLANK(HLOOKUP(CaseName,CaseData,MATCH($G165,cases!$G$3:$G$2464,0),FALSE)),"",HLOOKUP(CaseName,CaseData,MATCH($G165,cases!$G$3:$G$2464,0),FALSE))</f>
        <v/>
      </c>
      <c r="K165" s="352">
        <f>((L166*L167)/(L166+L167))/L87</f>
        <v>1.0485652442030531E-9</v>
      </c>
      <c r="L165" s="636">
        <f t="shared" si="7"/>
        <v>1.0485652442030531E-9</v>
      </c>
      <c r="M165" s="36" t="s">
        <v>4047</v>
      </c>
      <c r="N165" s="36"/>
      <c r="O165" s="36"/>
    </row>
    <row r="166" spans="1:15" ht="12.75" customHeight="1" x14ac:dyDescent="0.3">
      <c r="A166" s="36"/>
      <c r="B166" s="36"/>
      <c r="C166" s="29" t="s">
        <v>1076</v>
      </c>
      <c r="D166" s="29"/>
      <c r="E166" s="95"/>
      <c r="F166" s="95"/>
      <c r="G166" s="29" t="s">
        <v>975</v>
      </c>
      <c r="H166" s="95" t="s">
        <v>4045</v>
      </c>
      <c r="I166" s="634"/>
      <c r="J166" s="635" t="str">
        <f>IF(ISBLANK(HLOOKUP(CaseName,CaseData,MATCH($G166,cases!$G$3:$G$2464,0),FALSE)),"",HLOOKUP(CaseName,CaseData,MATCH($G166,cases!$G$3:$G$2464,0),FALSE))</f>
        <v/>
      </c>
      <c r="K166" s="352">
        <v>2.7779999999999999E-6</v>
      </c>
      <c r="L166" s="636">
        <f t="shared" si="7"/>
        <v>2.7779999999999999E-6</v>
      </c>
      <c r="M166" s="29" t="s">
        <v>1490</v>
      </c>
      <c r="N166" s="36"/>
      <c r="O166" s="36"/>
    </row>
    <row r="167" spans="1:15" ht="12.75" customHeight="1" x14ac:dyDescent="0.3">
      <c r="A167" s="36"/>
      <c r="B167" s="36"/>
      <c r="C167" s="29" t="s">
        <v>1230</v>
      </c>
      <c r="D167" s="29"/>
      <c r="E167" s="95"/>
      <c r="F167" s="29"/>
      <c r="G167" s="29" t="s">
        <v>976</v>
      </c>
      <c r="H167" s="95" t="s">
        <v>4045</v>
      </c>
      <c r="I167" s="634"/>
      <c r="J167" s="635" t="str">
        <f>IF(ISBLANK(HLOOKUP(CaseName,CaseData,MATCH($G167,cases!$G$3:$G$2464,0),FALSE)),"",HLOOKUP(CaseName,CaseData,MATCH($G167,cases!$G$3:$G$2464,0),FALSE))</f>
        <v/>
      </c>
      <c r="K167" s="352">
        <v>2.7780000000000001E-8</v>
      </c>
      <c r="L167" s="636">
        <f t="shared" si="7"/>
        <v>2.7780000000000001E-8</v>
      </c>
      <c r="M167" s="29" t="s">
        <v>1490</v>
      </c>
      <c r="N167" s="36"/>
      <c r="O167" s="36"/>
    </row>
    <row r="168" spans="1:15" ht="12.75" customHeight="1" x14ac:dyDescent="0.3">
      <c r="A168" s="36"/>
      <c r="B168" s="29"/>
      <c r="C168" s="29"/>
      <c r="D168" s="29"/>
      <c r="E168" s="29"/>
      <c r="F168" s="29"/>
      <c r="G168" s="94"/>
      <c r="H168" s="36"/>
      <c r="I168" s="339"/>
      <c r="J168" s="363"/>
      <c r="K168" s="353"/>
      <c r="L168" s="353"/>
      <c r="M168" s="29"/>
      <c r="N168" s="36"/>
      <c r="O168" s="36"/>
    </row>
    <row r="169" spans="1:15" ht="12.75" customHeight="1" x14ac:dyDescent="0.3">
      <c r="A169" s="36" t="s">
        <v>80</v>
      </c>
      <c r="B169" s="29"/>
      <c r="C169" s="29"/>
      <c r="D169" s="29"/>
      <c r="E169" s="29"/>
      <c r="F169" s="29"/>
      <c r="G169" s="37" t="s">
        <v>244</v>
      </c>
      <c r="H169" s="36" t="s">
        <v>4037</v>
      </c>
      <c r="I169" s="634"/>
      <c r="J169" s="635" t="str">
        <f>IF(ISBLANK(HLOOKUP(CaseName,CaseData,MATCH($G169,cases!$G$3:$G$2464,0),FALSE)),"",HLOOKUP(CaseName,CaseData,MATCH($G169,cases!$G$3:$G$2464,0),FALSE))</f>
        <v/>
      </c>
      <c r="K169" s="352">
        <f>(RAINrate.R*L178/L90+L175)*L181/L27*L16/(L15+L16)</f>
        <v>4.1985331810591978E-9</v>
      </c>
      <c r="L169" s="636">
        <f t="shared" ref="L169:L183" si="8">IF(ISBLANK(I169),IF(ISNUMBER(J169)=FALSE,K169,J169),I169)</f>
        <v>4.1985331810591978E-9</v>
      </c>
      <c r="M169" s="29" t="s">
        <v>1488</v>
      </c>
      <c r="N169" s="36"/>
      <c r="O169" s="36"/>
    </row>
    <row r="170" spans="1:15" ht="12.75" customHeight="1" x14ac:dyDescent="0.3">
      <c r="A170" s="36" t="s">
        <v>81</v>
      </c>
      <c r="B170" s="29"/>
      <c r="C170" s="29"/>
      <c r="D170" s="29"/>
      <c r="E170" s="29"/>
      <c r="F170" s="29"/>
      <c r="G170" s="37" t="s">
        <v>245</v>
      </c>
      <c r="H170" s="36" t="s">
        <v>4037</v>
      </c>
      <c r="I170" s="634"/>
      <c r="J170" s="635" t="str">
        <f>IF(ISBLANK(HLOOKUP(CaseName,CaseData,MATCH($G170,cases!$G$3:$G$2464,0),FALSE)),"",HLOOKUP(CaseName,CaseData,MATCH($G170,cases!$G$3:$G$2464,0),FALSE))</f>
        <v/>
      </c>
      <c r="K170" s="352">
        <f>(RAINrate.R*L179/L95+L176)*L182/L28*L16/(L15+L16)</f>
        <v>1.9120199778154223E-9</v>
      </c>
      <c r="L170" s="636">
        <f t="shared" si="8"/>
        <v>1.9120199778154223E-9</v>
      </c>
      <c r="M170" s="29" t="s">
        <v>1488</v>
      </c>
      <c r="N170" s="36"/>
      <c r="O170" s="36"/>
    </row>
    <row r="171" spans="1:15" ht="12.75" customHeight="1" x14ac:dyDescent="0.3">
      <c r="A171" s="36" t="s">
        <v>82</v>
      </c>
      <c r="B171" s="29"/>
      <c r="C171" s="29"/>
      <c r="D171" s="29"/>
      <c r="E171" s="29"/>
      <c r="F171" s="29"/>
      <c r="G171" s="37" t="s">
        <v>246</v>
      </c>
      <c r="H171" s="36" t="s">
        <v>4037</v>
      </c>
      <c r="I171" s="634"/>
      <c r="J171" s="635" t="str">
        <f>IF(ISBLANK(HLOOKUP(CaseName,CaseData,MATCH($G171,cases!$G$3:$G$2464,0),FALSE)),"",HLOOKUP(CaseName,CaseData,MATCH($G171,cases!$G$3:$G$2464,0),FALSE))</f>
        <v/>
      </c>
      <c r="K171" s="352">
        <f>(RAINrate.R*L180/L100+L177)*L183/L29*L16/(L15+L16)</f>
        <v>4.2017408811478692E-9</v>
      </c>
      <c r="L171" s="636">
        <f t="shared" si="8"/>
        <v>4.2017408811478692E-9</v>
      </c>
      <c r="M171" s="29" t="s">
        <v>1488</v>
      </c>
      <c r="N171" s="36"/>
      <c r="O171" s="36"/>
    </row>
    <row r="172" spans="1:15" ht="12.75" customHeight="1" x14ac:dyDescent="0.3">
      <c r="A172" s="36" t="s">
        <v>80</v>
      </c>
      <c r="B172" s="29"/>
      <c r="C172" s="29"/>
      <c r="D172" s="29"/>
      <c r="E172" s="29"/>
      <c r="F172" s="29"/>
      <c r="G172" s="37" t="s">
        <v>3930</v>
      </c>
      <c r="H172" s="36" t="s">
        <v>4037</v>
      </c>
      <c r="I172" s="634"/>
      <c r="J172" s="635" t="str">
        <f>IF(ISBLANK(HLOOKUP(CaseName,CaseData,MATCH($G172,cases!$G$3:$G$2464,0),FALSE)),"",HLOOKUP(CaseName,CaseData,MATCH($G172,cases!$G$3:$G$2464,0),FALSE))</f>
        <v/>
      </c>
      <c r="K172" s="352">
        <f>(RAINrate.R*L178/L90+L175)*L181/L27*L15/(L15+L16)</f>
        <v>3.8168483464174523E-10</v>
      </c>
      <c r="L172" s="636">
        <f t="shared" si="8"/>
        <v>3.8168483464174523E-10</v>
      </c>
      <c r="M172" s="29" t="s">
        <v>1488</v>
      </c>
      <c r="N172" s="36"/>
      <c r="O172" s="36"/>
    </row>
    <row r="173" spans="1:15" ht="12.75" customHeight="1" x14ac:dyDescent="0.3">
      <c r="A173" s="36" t="s">
        <v>81</v>
      </c>
      <c r="B173" s="29"/>
      <c r="C173" s="29"/>
      <c r="D173" s="29"/>
      <c r="E173" s="29"/>
      <c r="F173" s="29"/>
      <c r="G173" s="37" t="s">
        <v>3938</v>
      </c>
      <c r="H173" s="36" t="s">
        <v>4037</v>
      </c>
      <c r="I173" s="634"/>
      <c r="J173" s="635" t="str">
        <f>IF(ISBLANK(HLOOKUP(CaseName,CaseData,MATCH($G173,cases!$G$3:$G$2464,0),FALSE)),"",HLOOKUP(CaseName,CaseData,MATCH($G173,cases!$G$3:$G$2464,0),FALSE))</f>
        <v/>
      </c>
      <c r="K173" s="352">
        <f>(RAINrate.R*L179/L95+L176)*L182/L28*L15/(L15+L16)</f>
        <v>1.7381999798322019E-10</v>
      </c>
      <c r="L173" s="636">
        <f t="shared" si="8"/>
        <v>1.7381999798322019E-10</v>
      </c>
      <c r="M173" s="29" t="s">
        <v>1488</v>
      </c>
      <c r="N173" s="36"/>
      <c r="O173" s="36"/>
    </row>
    <row r="174" spans="1:15" ht="12.75" customHeight="1" x14ac:dyDescent="0.3">
      <c r="A174" s="36" t="s">
        <v>82</v>
      </c>
      <c r="B174" s="29"/>
      <c r="C174" s="29"/>
      <c r="D174" s="29"/>
      <c r="E174" s="29"/>
      <c r="F174" s="29"/>
      <c r="G174" s="37" t="s">
        <v>3931</v>
      </c>
      <c r="H174" s="36" t="s">
        <v>4037</v>
      </c>
      <c r="I174" s="634"/>
      <c r="J174" s="635" t="str">
        <f>IF(ISBLANK(HLOOKUP(CaseName,CaseData,MATCH($G174,cases!$G$3:$G$2464,0),FALSE)),"",HLOOKUP(CaseName,CaseData,MATCH($G174,cases!$G$3:$G$2464,0),FALSE))</f>
        <v/>
      </c>
      <c r="K174" s="352">
        <f>(RAINrate.R*L180/L100+L177)*L183/L29*L15/(L15+L16)</f>
        <v>3.8197644374071532E-10</v>
      </c>
      <c r="L174" s="636">
        <f t="shared" si="8"/>
        <v>3.8197644374071532E-10</v>
      </c>
      <c r="M174" s="29" t="s">
        <v>1488</v>
      </c>
      <c r="N174" s="36"/>
      <c r="O174" s="36"/>
    </row>
    <row r="175" spans="1:15" ht="12.75" customHeight="1" x14ac:dyDescent="0.3">
      <c r="A175" s="36"/>
      <c r="B175" s="95" t="s">
        <v>1087</v>
      </c>
      <c r="C175" s="29"/>
      <c r="D175" s="29"/>
      <c r="E175" s="95"/>
      <c r="F175" s="95"/>
      <c r="G175" s="94" t="s">
        <v>979</v>
      </c>
      <c r="H175" s="36" t="s">
        <v>4045</v>
      </c>
      <c r="I175" s="634"/>
      <c r="J175" s="635" t="str">
        <f>IF(ISBLANK(HLOOKUP(CaseName,CaseData,MATCH($G175,cases!$G$3:$G$2464,0),FALSE)),"",HLOOKUP(CaseName,CaseData,MATCH($G175,cases!$G$3:$G$2464,0),FALSE))</f>
        <v/>
      </c>
      <c r="K175" s="352">
        <f>EROSION.R</f>
        <v>9.5129375951293754E-13</v>
      </c>
      <c r="L175" s="636">
        <f t="shared" si="8"/>
        <v>9.5129375951293754E-13</v>
      </c>
      <c r="M175" s="29" t="s">
        <v>1490</v>
      </c>
      <c r="N175" s="36"/>
      <c r="O175" s="36"/>
    </row>
    <row r="176" spans="1:15" ht="12.75" customHeight="1" x14ac:dyDescent="0.3">
      <c r="A176" s="36"/>
      <c r="B176" s="95" t="s">
        <v>1088</v>
      </c>
      <c r="C176" s="29"/>
      <c r="D176" s="29"/>
      <c r="E176" s="95"/>
      <c r="F176" s="95"/>
      <c r="G176" s="94" t="s">
        <v>980</v>
      </c>
      <c r="H176" s="36" t="s">
        <v>4045</v>
      </c>
      <c r="I176" s="634"/>
      <c r="J176" s="635" t="str">
        <f>IF(ISBLANK(HLOOKUP(CaseName,CaseData,MATCH($G176,cases!$G$3:$G$2464,0),FALSE)),"",HLOOKUP(CaseName,CaseData,MATCH($G176,cases!$G$3:$G$2464,0),FALSE))</f>
        <v/>
      </c>
      <c r="K176" s="352">
        <f>EROSION.R</f>
        <v>9.5129375951293754E-13</v>
      </c>
      <c r="L176" s="636">
        <f t="shared" si="8"/>
        <v>9.5129375951293754E-13</v>
      </c>
      <c r="M176" s="29" t="s">
        <v>1490</v>
      </c>
      <c r="N176" s="36"/>
      <c r="O176" s="36"/>
    </row>
    <row r="177" spans="1:15" ht="12.75" customHeight="1" x14ac:dyDescent="0.3">
      <c r="A177" s="36"/>
      <c r="B177" s="95" t="s">
        <v>461</v>
      </c>
      <c r="C177" s="29"/>
      <c r="D177" s="29"/>
      <c r="E177" s="95"/>
      <c r="F177" s="95"/>
      <c r="G177" s="94" t="s">
        <v>981</v>
      </c>
      <c r="H177" s="36" t="s">
        <v>4045</v>
      </c>
      <c r="I177" s="634"/>
      <c r="J177" s="635" t="str">
        <f>IF(ISBLANK(HLOOKUP(CaseName,CaseData,MATCH($G177,cases!$G$3:$G$2464,0),FALSE)),"",HLOOKUP(CaseName,CaseData,MATCH($G177,cases!$G$3:$G$2464,0),FALSE))</f>
        <v/>
      </c>
      <c r="K177" s="352">
        <f>EROSION.R</f>
        <v>9.5129375951293754E-13</v>
      </c>
      <c r="L177" s="636">
        <f t="shared" si="8"/>
        <v>9.5129375951293754E-13</v>
      </c>
      <c r="M177" s="29" t="s">
        <v>1490</v>
      </c>
      <c r="N177" s="36"/>
      <c r="O177" s="36"/>
    </row>
    <row r="178" spans="1:15" ht="12.75" customHeight="1" x14ac:dyDescent="0.3">
      <c r="A178" s="36"/>
      <c r="B178" s="36" t="s">
        <v>17</v>
      </c>
      <c r="C178" s="29"/>
      <c r="D178" s="29"/>
      <c r="E178" s="95"/>
      <c r="F178" s="95"/>
      <c r="G178" s="94" t="s">
        <v>982</v>
      </c>
      <c r="H178" s="36" t="s">
        <v>36</v>
      </c>
      <c r="I178" s="634"/>
      <c r="J178" s="635" t="str">
        <f>IF(ISBLANK(HLOOKUP(CaseName,CaseData,MATCH($G178,cases!$G$3:$G$2464,0),FALSE)),"",HLOOKUP(CaseName,CaseData,MATCH($G178,cases!$G$3:$G$2464,0),FALSE))</f>
        <v/>
      </c>
      <c r="K178" s="352">
        <f>FRACrun.R</f>
        <v>0.25</v>
      </c>
      <c r="L178" s="636">
        <f t="shared" si="8"/>
        <v>0.25</v>
      </c>
      <c r="M178" s="29" t="s">
        <v>486</v>
      </c>
      <c r="N178" s="36"/>
      <c r="O178" s="36"/>
    </row>
    <row r="179" spans="1:15" ht="12.75" customHeight="1" x14ac:dyDescent="0.3">
      <c r="A179" s="36"/>
      <c r="B179" s="36" t="s">
        <v>733</v>
      </c>
      <c r="C179" s="29"/>
      <c r="D179" s="29"/>
      <c r="E179" s="95"/>
      <c r="F179" s="95"/>
      <c r="G179" s="94" t="s">
        <v>462</v>
      </c>
      <c r="H179" s="36" t="s">
        <v>36</v>
      </c>
      <c r="I179" s="634"/>
      <c r="J179" s="635" t="str">
        <f>IF(ISBLANK(HLOOKUP(CaseName,CaseData,MATCH($G179,cases!$G$3:$G$2464,0),FALSE)),"",HLOOKUP(CaseName,CaseData,MATCH($G179,cases!$G$3:$G$2464,0),FALSE))</f>
        <v/>
      </c>
      <c r="K179" s="352">
        <f>FRACrun.R</f>
        <v>0.25</v>
      </c>
      <c r="L179" s="636">
        <f t="shared" si="8"/>
        <v>0.25</v>
      </c>
      <c r="M179" s="29" t="s">
        <v>486</v>
      </c>
      <c r="N179" s="36"/>
      <c r="O179" s="36"/>
    </row>
    <row r="180" spans="1:15" ht="12.75" customHeight="1" x14ac:dyDescent="0.3">
      <c r="A180" s="36"/>
      <c r="B180" s="36" t="s">
        <v>870</v>
      </c>
      <c r="C180" s="29"/>
      <c r="D180" s="29"/>
      <c r="E180" s="95"/>
      <c r="F180" s="95"/>
      <c r="G180" s="94" t="s">
        <v>463</v>
      </c>
      <c r="H180" s="36" t="s">
        <v>36</v>
      </c>
      <c r="I180" s="634"/>
      <c r="J180" s="635" t="str">
        <f>IF(ISBLANK(HLOOKUP(CaseName,CaseData,MATCH($G180,cases!$G$3:$G$2464,0),FALSE)),"",HLOOKUP(CaseName,CaseData,MATCH($G180,cases!$G$3:$G$2464,0),FALSE))</f>
        <v/>
      </c>
      <c r="K180" s="352">
        <f>FRACrun.R</f>
        <v>0.25</v>
      </c>
      <c r="L180" s="636">
        <f t="shared" si="8"/>
        <v>0.25</v>
      </c>
      <c r="M180" s="29" t="s">
        <v>486</v>
      </c>
      <c r="N180" s="36"/>
      <c r="O180" s="36"/>
    </row>
    <row r="181" spans="1:15" ht="12.75" customHeight="1" x14ac:dyDescent="0.3">
      <c r="A181" s="36"/>
      <c r="B181" s="29" t="s">
        <v>2228</v>
      </c>
      <c r="C181" s="29"/>
      <c r="D181" s="29"/>
      <c r="E181" s="95"/>
      <c r="F181" s="95"/>
      <c r="G181" s="37" t="s">
        <v>1467</v>
      </c>
      <c r="H181" s="29" t="s">
        <v>36</v>
      </c>
      <c r="I181" s="634"/>
      <c r="J181" s="635" t="str">
        <f>IF(ISBLANK(HLOOKUP(CaseName,CaseData,MATCH($G181,cases!$G$3:$G$2464,0),FALSE)),"",HLOOKUP(CaseName,CaseData,MATCH($G181,cases!$G$3:$G$2464,0),FALSE))</f>
        <v/>
      </c>
      <c r="K181" s="352">
        <f>(EXP((-1/0.1)*0)*(1/0.1)*L27/(1-EXP((-1/0.1)*L27)))</f>
        <v>1.2707470412683992</v>
      </c>
      <c r="L181" s="636">
        <f t="shared" si="8"/>
        <v>1.2707470412683992</v>
      </c>
      <c r="M181" s="29" t="s">
        <v>486</v>
      </c>
      <c r="N181" s="36" t="s">
        <v>995</v>
      </c>
      <c r="O181" s="36"/>
    </row>
    <row r="182" spans="1:15" ht="12.75" customHeight="1" x14ac:dyDescent="0.3">
      <c r="A182" s="36"/>
      <c r="B182" s="29" t="s">
        <v>2228</v>
      </c>
      <c r="C182" s="29"/>
      <c r="D182" s="29"/>
      <c r="E182" s="95"/>
      <c r="F182" s="95"/>
      <c r="G182" s="37" t="s">
        <v>1468</v>
      </c>
      <c r="H182" s="29" t="s">
        <v>36</v>
      </c>
      <c r="I182" s="634"/>
      <c r="J182" s="635" t="str">
        <f>IF(ISBLANK(HLOOKUP(CaseName,CaseData,MATCH($G182,cases!$G$3:$G$2464,0),FALSE)),"",HLOOKUP(CaseName,CaseData,MATCH($G182,cases!$G$3:$G$2464,0),FALSE))</f>
        <v/>
      </c>
      <c r="K182" s="352">
        <f>(EXP((-1/0.1)*0)*(1/0.1)*L28/(1-EXP((-1/0.1)*L28)))</f>
        <v>2.3130352854993315</v>
      </c>
      <c r="L182" s="636">
        <f t="shared" si="8"/>
        <v>2.3130352854993315</v>
      </c>
      <c r="M182" s="29" t="s">
        <v>486</v>
      </c>
      <c r="N182" s="36" t="s">
        <v>995</v>
      </c>
      <c r="O182" s="36"/>
    </row>
    <row r="183" spans="1:15" ht="12.75" customHeight="1" x14ac:dyDescent="0.3">
      <c r="A183" s="36"/>
      <c r="B183" s="29" t="s">
        <v>2228</v>
      </c>
      <c r="C183" s="29"/>
      <c r="D183" s="29"/>
      <c r="E183" s="95"/>
      <c r="F183" s="95"/>
      <c r="G183" s="37" t="s">
        <v>1469</v>
      </c>
      <c r="H183" s="29" t="s">
        <v>36</v>
      </c>
      <c r="I183" s="634"/>
      <c r="J183" s="635" t="str">
        <f>IF(ISBLANK(HLOOKUP(CaseName,CaseData,MATCH($G183,cases!$G$3:$G$2464,0),FALSE)),"",HLOOKUP(CaseName,CaseData,MATCH($G183,cases!$G$3:$G$2464,0),FALSE))</f>
        <v/>
      </c>
      <c r="K183" s="352">
        <f>(EXP((-1/0.1)*0)*(1/0.1)*L29/(1-EXP((-1/0.1)*L29)))</f>
        <v>1.2707470412683992</v>
      </c>
      <c r="L183" s="636">
        <f t="shared" si="8"/>
        <v>1.2707470412683992</v>
      </c>
      <c r="M183" s="29" t="s">
        <v>486</v>
      </c>
      <c r="N183" s="36" t="s">
        <v>995</v>
      </c>
      <c r="O183" s="36"/>
    </row>
    <row r="184" spans="1:15" ht="12.75" customHeight="1" x14ac:dyDescent="0.3">
      <c r="A184" s="29"/>
      <c r="B184" s="29"/>
      <c r="C184" s="29"/>
      <c r="D184" s="29"/>
      <c r="E184" s="29"/>
      <c r="F184" s="29"/>
      <c r="G184" s="36"/>
      <c r="H184" s="36"/>
      <c r="I184" s="339"/>
      <c r="J184" s="363"/>
      <c r="K184" s="353"/>
      <c r="L184" s="353"/>
      <c r="M184" s="29"/>
      <c r="N184" s="36"/>
      <c r="O184" s="36"/>
    </row>
    <row r="185" spans="1:15" ht="12.75" customHeight="1" x14ac:dyDescent="0.3">
      <c r="A185" s="98" t="s">
        <v>419</v>
      </c>
      <c r="B185" s="97"/>
      <c r="C185" s="97"/>
      <c r="D185" s="97"/>
      <c r="E185" s="97"/>
      <c r="F185" s="97"/>
      <c r="G185" s="98" t="s">
        <v>1008</v>
      </c>
      <c r="H185" s="98" t="s">
        <v>968</v>
      </c>
      <c r="I185" s="364" t="s">
        <v>754</v>
      </c>
      <c r="J185" s="640" t="s">
        <v>37</v>
      </c>
      <c r="K185" s="340" t="s">
        <v>753</v>
      </c>
      <c r="L185" s="340" t="s">
        <v>1358</v>
      </c>
      <c r="M185" s="97"/>
      <c r="N185" s="98" t="s">
        <v>1371</v>
      </c>
      <c r="O185" s="36"/>
    </row>
    <row r="186" spans="1:15" ht="12.75" customHeight="1" x14ac:dyDescent="0.3">
      <c r="A186" s="36"/>
      <c r="B186" s="29"/>
      <c r="C186" s="29"/>
      <c r="D186" s="29"/>
      <c r="E186" s="29"/>
      <c r="F186" s="29"/>
      <c r="G186" s="36"/>
      <c r="H186" s="36"/>
      <c r="I186" s="339"/>
      <c r="J186" s="363"/>
      <c r="K186" s="353"/>
      <c r="L186" s="353"/>
      <c r="M186" s="29"/>
      <c r="N186" s="36"/>
      <c r="O186" s="36"/>
    </row>
    <row r="187" spans="1:15" ht="12.75" customHeight="1" x14ac:dyDescent="0.3">
      <c r="A187" s="36" t="s">
        <v>224</v>
      </c>
      <c r="B187" s="29"/>
      <c r="C187" s="29"/>
      <c r="D187" s="29"/>
      <c r="E187" s="29"/>
      <c r="F187" s="29"/>
      <c r="G187" s="37" t="s">
        <v>247</v>
      </c>
      <c r="H187" s="36" t="s">
        <v>4037</v>
      </c>
      <c r="I187" s="639"/>
      <c r="J187" s="635" t="str">
        <f>IF(ISBLANK(HLOOKUP(CaseName,CaseData,MATCH($G187,cases!$G$3:$G$2464,0),FALSE)),"",HLOOKUP(CaseName,CaseData,MATCH($G187,cases!$G$3:$G$2464,0),FALSE))</f>
        <v/>
      </c>
      <c r="K187" s="352">
        <f>L196+L197</f>
        <v>9.0459815058013851E-6</v>
      </c>
      <c r="L187" s="636">
        <f t="shared" ref="L187:L211" si="9">IF(ISBLANK(I187),IF(ISNUMBER(J187)=FALSE,K187,J187),I187)</f>
        <v>9.0459815058013851E-6</v>
      </c>
      <c r="M187" s="29" t="s">
        <v>1488</v>
      </c>
      <c r="N187" s="36"/>
      <c r="O187" s="36"/>
    </row>
    <row r="188" spans="1:15" ht="12.75" customHeight="1" x14ac:dyDescent="0.3">
      <c r="A188" s="36" t="s">
        <v>304</v>
      </c>
      <c r="B188" s="29"/>
      <c r="C188" s="29"/>
      <c r="D188" s="29"/>
      <c r="E188" s="29"/>
      <c r="F188" s="29"/>
      <c r="G188" s="37" t="s">
        <v>305</v>
      </c>
      <c r="H188" s="36" t="s">
        <v>4037</v>
      </c>
      <c r="I188" s="639"/>
      <c r="J188" s="635" t="str">
        <f>IF(ISBLANK(HLOOKUP(CaseName,CaseData,MATCH($G188,cases!$G$3:$G$2464,0),FALSE)),"",HLOOKUP(CaseName,CaseData,MATCH($G188,cases!$G$3:$G$2464,0),FALSE))</f>
        <v/>
      </c>
      <c r="K188" s="352">
        <f>L200</f>
        <v>8.685696044300724E-8</v>
      </c>
      <c r="L188" s="636">
        <f>IF(ISBLANK(I188),IF(ISNUMBER(J188)=FALSE,K188,J188),I188)</f>
        <v>8.685696044300724E-8</v>
      </c>
      <c r="M188" s="29" t="s">
        <v>1488</v>
      </c>
      <c r="N188" s="36"/>
      <c r="O188" s="36"/>
    </row>
    <row r="189" spans="1:15" ht="12.75" customHeight="1" x14ac:dyDescent="0.3">
      <c r="A189" s="36" t="s">
        <v>253</v>
      </c>
      <c r="B189" s="29"/>
      <c r="C189" s="29"/>
      <c r="D189" s="29"/>
      <c r="E189" s="29"/>
      <c r="F189" s="29"/>
      <c r="G189" s="37" t="s">
        <v>248</v>
      </c>
      <c r="H189" s="36" t="s">
        <v>4037</v>
      </c>
      <c r="I189" s="639"/>
      <c r="J189" s="635" t="str">
        <f>IF(ISBLANK(HLOOKUP(CaseName,CaseData,MATCH($G189,cases!$G$3:$G$2464,0),FALSE)),"",HLOOKUP(CaseName,CaseData,MATCH($G189,cases!$G$3:$G$2464,0),FALSE))</f>
        <v/>
      </c>
      <c r="K189" s="352">
        <f>L201</f>
        <v>8.6728477588904822E-8</v>
      </c>
      <c r="L189" s="636">
        <f t="shared" si="9"/>
        <v>8.6728477588904822E-8</v>
      </c>
      <c r="M189" s="29" t="s">
        <v>1488</v>
      </c>
      <c r="N189" s="36"/>
      <c r="O189" s="36"/>
    </row>
    <row r="190" spans="1:15" ht="12.75" customHeight="1" x14ac:dyDescent="0.3">
      <c r="A190" s="36" t="s">
        <v>254</v>
      </c>
      <c r="B190" s="29"/>
      <c r="C190" s="29"/>
      <c r="D190" s="29"/>
      <c r="E190" s="29"/>
      <c r="F190" s="29"/>
      <c r="G190" s="37" t="s">
        <v>255</v>
      </c>
      <c r="H190" s="36" t="s">
        <v>4037</v>
      </c>
      <c r="I190" s="639"/>
      <c r="J190" s="635" t="str">
        <f>IF(ISBLANK(HLOOKUP(CaseName,CaseData,MATCH($G190,cases!$G$3:$G$2464,0),FALSE)),"",HLOOKUP(CaseName,CaseData,MATCH($G190,cases!$G$3:$G$2464,0),FALSE))</f>
        <v/>
      </c>
      <c r="K190" s="352">
        <f>L202</f>
        <v>8.6818245114295561E-8</v>
      </c>
      <c r="L190" s="636">
        <f t="shared" si="9"/>
        <v>8.6818245114295561E-8</v>
      </c>
      <c r="M190" s="29" t="s">
        <v>1488</v>
      </c>
      <c r="N190" s="36"/>
      <c r="O190" s="36"/>
    </row>
    <row r="191" spans="1:15" ht="12.75" customHeight="1" x14ac:dyDescent="0.3">
      <c r="A191" s="36" t="s">
        <v>256</v>
      </c>
      <c r="B191" s="29"/>
      <c r="C191" s="29"/>
      <c r="D191" s="29"/>
      <c r="E191" s="29"/>
      <c r="F191" s="29"/>
      <c r="G191" s="37" t="s">
        <v>249</v>
      </c>
      <c r="H191" s="36" t="s">
        <v>4037</v>
      </c>
      <c r="I191" s="639"/>
      <c r="J191" s="635" t="str">
        <f>IF(ISBLANK(HLOOKUP(CaseName,CaseData,MATCH($G191,cases!$G$3:$G$2464,0),FALSE)),"",HLOOKUP(CaseName,CaseData,MATCH($G191,cases!$G$3:$G$2464,0),FALSE))</f>
        <v/>
      </c>
      <c r="K191" s="352">
        <f>L207+L158/L25</f>
        <v>1.2561171773023441E-8</v>
      </c>
      <c r="L191" s="636">
        <f t="shared" si="9"/>
        <v>1.2561171773023441E-8</v>
      </c>
      <c r="M191" s="29" t="s">
        <v>1488</v>
      </c>
      <c r="N191" s="36"/>
      <c r="O191" s="36"/>
    </row>
    <row r="192" spans="1:15" ht="12.75" customHeight="1" x14ac:dyDescent="0.3">
      <c r="A192" s="36" t="s">
        <v>257</v>
      </c>
      <c r="B192" s="29"/>
      <c r="C192" s="29"/>
      <c r="D192" s="29"/>
      <c r="E192" s="29"/>
      <c r="F192" s="29"/>
      <c r="G192" s="37" t="s">
        <v>258</v>
      </c>
      <c r="H192" s="36" t="s">
        <v>4037</v>
      </c>
      <c r="I192" s="639"/>
      <c r="J192" s="635" t="str">
        <f>IF(ISBLANK(HLOOKUP(CaseName,CaseData,MATCH($G192,cases!$G$3:$G$2464,0),FALSE)),"",HLOOKUP(CaseName,CaseData,MATCH($G192,cases!$G$3:$G$2464,0),FALSE))</f>
        <v/>
      </c>
      <c r="K192" s="352">
        <f>L208+L159/L26</f>
        <v>1.1779136849972535E-8</v>
      </c>
      <c r="L192" s="636">
        <f t="shared" si="9"/>
        <v>1.1779136849972535E-8</v>
      </c>
      <c r="M192" s="29" t="s">
        <v>1488</v>
      </c>
      <c r="N192" s="36"/>
      <c r="O192" s="36"/>
    </row>
    <row r="193" spans="1:15" ht="12.75" customHeight="1" x14ac:dyDescent="0.3">
      <c r="A193" s="36" t="s">
        <v>226</v>
      </c>
      <c r="B193" s="29"/>
      <c r="C193" s="29"/>
      <c r="D193" s="29"/>
      <c r="E193" s="29"/>
      <c r="F193" s="29"/>
      <c r="G193" s="37" t="s">
        <v>250</v>
      </c>
      <c r="H193" s="36" t="s">
        <v>4037</v>
      </c>
      <c r="I193" s="639"/>
      <c r="J193" s="635" t="str">
        <f>IF(ISBLANK(HLOOKUP(CaseName,CaseData,MATCH($G193,cases!$G$3:$G$2464,0),FALSE)),"",HLOOKUP(CaseName,CaseData,MATCH($G193,cases!$G$3:$G$2464,0),FALSE))</f>
        <v/>
      </c>
      <c r="K193" s="352">
        <f>L209+(L212*RAINrate.R/L90*L215)/L27</f>
        <v>4.3486201567445368E-8</v>
      </c>
      <c r="L193" s="636">
        <f t="shared" si="9"/>
        <v>4.3486201567445368E-8</v>
      </c>
      <c r="M193" s="29" t="s">
        <v>1488</v>
      </c>
      <c r="N193" s="36"/>
      <c r="O193" s="36"/>
    </row>
    <row r="194" spans="1:15" ht="12.75" customHeight="1" x14ac:dyDescent="0.3">
      <c r="A194" s="36" t="s">
        <v>363</v>
      </c>
      <c r="B194" s="29"/>
      <c r="C194" s="29"/>
      <c r="D194" s="29"/>
      <c r="E194" s="29"/>
      <c r="F194" s="29"/>
      <c r="G194" s="37" t="s">
        <v>251</v>
      </c>
      <c r="H194" s="36" t="s">
        <v>4037</v>
      </c>
      <c r="I194" s="639"/>
      <c r="J194" s="635" t="str">
        <f>IF(ISBLANK(HLOOKUP(CaseName,CaseData,MATCH($G194,cases!$G$3:$G$2464,0),FALSE)),"",HLOOKUP(CaseName,CaseData,MATCH($G194,cases!$G$3:$G$2464,0),FALSE))</f>
        <v/>
      </c>
      <c r="K194" s="352">
        <f>L210+L213*RAINrate.R/L95*L216/L28</f>
        <v>4.3469483354178676E-8</v>
      </c>
      <c r="L194" s="636">
        <f t="shared" si="9"/>
        <v>4.3469483354178676E-8</v>
      </c>
      <c r="M194" s="29" t="s">
        <v>1488</v>
      </c>
      <c r="N194" s="36"/>
      <c r="O194" s="36"/>
    </row>
    <row r="195" spans="1:15" ht="12.75" customHeight="1" x14ac:dyDescent="0.3">
      <c r="A195" s="36" t="s">
        <v>364</v>
      </c>
      <c r="B195" s="29"/>
      <c r="C195" s="29"/>
      <c r="D195" s="29"/>
      <c r="E195" s="29"/>
      <c r="F195" s="29"/>
      <c r="G195" s="37" t="s">
        <v>252</v>
      </c>
      <c r="H195" s="36" t="s">
        <v>4037</v>
      </c>
      <c r="I195" s="639"/>
      <c r="J195" s="635" t="str">
        <f>IF(ISBLANK(HLOOKUP(CaseName,CaseData,MATCH($G195,cases!$G$3:$G$2464,0),FALSE)),"",HLOOKUP(CaseName,CaseData,MATCH($G195,cases!$G$3:$G$2464,0),FALSE))</f>
        <v/>
      </c>
      <c r="K195" s="352">
        <f>L211+L214*RAINrate.R/L100*L217/L29</f>
        <v>4.3486225145605207E-8</v>
      </c>
      <c r="L195" s="636">
        <f t="shared" si="9"/>
        <v>4.3486225145605207E-8</v>
      </c>
      <c r="M195" s="29" t="s">
        <v>1488</v>
      </c>
      <c r="N195" s="36"/>
      <c r="O195" s="36"/>
    </row>
    <row r="196" spans="1:15" ht="12.75" customHeight="1" x14ac:dyDescent="0.3">
      <c r="A196" s="36"/>
      <c r="B196" s="36" t="s">
        <v>796</v>
      </c>
      <c r="C196" s="95"/>
      <c r="D196" s="29"/>
      <c r="E196" s="29"/>
      <c r="F196" s="29"/>
      <c r="G196" s="94" t="s">
        <v>195</v>
      </c>
      <c r="H196" s="36" t="s">
        <v>4037</v>
      </c>
      <c r="I196" s="634"/>
      <c r="J196" s="635" t="str">
        <f>IF(ISBLANK(HLOOKUP(CaseName,CaseData,MATCH($G196,cases!$G$3:$G$2464,0),FALSE)),"",HLOOKUP(CaseName,CaseData,MATCH($G196,cases!$G$3:$G$2464,0),FALSE))</f>
        <v/>
      </c>
      <c r="K196" s="352">
        <f>LN(2)/(60*365*24*3600)</f>
        <v>3.663258818281463E-10</v>
      </c>
      <c r="L196" s="636">
        <f t="shared" si="9"/>
        <v>3.663258818281463E-10</v>
      </c>
      <c r="M196" s="36" t="s">
        <v>1488</v>
      </c>
      <c r="N196" s="36"/>
      <c r="O196" s="36"/>
    </row>
    <row r="197" spans="1:15" ht="12.75" customHeight="1" x14ac:dyDescent="0.3">
      <c r="A197" s="36"/>
      <c r="B197" s="36" t="s">
        <v>797</v>
      </c>
      <c r="C197" s="29"/>
      <c r="D197" s="29"/>
      <c r="E197" s="29"/>
      <c r="F197" s="29"/>
      <c r="G197" s="37" t="s">
        <v>464</v>
      </c>
      <c r="H197" s="36" t="s">
        <v>4037</v>
      </c>
      <c r="I197" s="634"/>
      <c r="J197" s="635" t="str">
        <f>IF(ISBLANK(HLOOKUP(CaseName,CaseData,MATCH($G197,cases!$G$3:$G$2464,0),FALSE)),"",HLOOKUP(CaseName,CaseData,MATCH($G197,cases!$G$3:$G$2464,0),FALSE))</f>
        <v/>
      </c>
      <c r="K197" s="352">
        <f>FRgas.aR*kdeg.air*(L198/C.OHrad)*L199</f>
        <v>9.0456151799195571E-6</v>
      </c>
      <c r="L197" s="636">
        <f t="shared" si="9"/>
        <v>9.0456151799195571E-6</v>
      </c>
      <c r="M197" s="36" t="s">
        <v>1488</v>
      </c>
      <c r="N197" s="36"/>
      <c r="O197" s="36"/>
    </row>
    <row r="198" spans="1:15" ht="12.75" customHeight="1" x14ac:dyDescent="0.3">
      <c r="A198" s="95"/>
      <c r="B198" s="95"/>
      <c r="C198" s="36" t="s">
        <v>1028</v>
      </c>
      <c r="D198" s="29"/>
      <c r="E198" s="29"/>
      <c r="F198" s="29"/>
      <c r="G198" s="37" t="s">
        <v>972</v>
      </c>
      <c r="H198" s="36" t="s">
        <v>4049</v>
      </c>
      <c r="I198" s="634"/>
      <c r="J198" s="635" t="str">
        <f>IF(ISBLANK(HLOOKUP(CaseName,CaseData,MATCH($G198,cases!$G$3:$G$2464,0),FALSE)),"",HLOOKUP(CaseName,CaseData,MATCH($G198,cases!$G$3:$G$2464,0),FALSE))</f>
        <v/>
      </c>
      <c r="K198" s="352">
        <v>500000</v>
      </c>
      <c r="L198" s="636">
        <f t="shared" si="9"/>
        <v>500000</v>
      </c>
      <c r="M198" s="36" t="s">
        <v>1500</v>
      </c>
      <c r="N198" s="36"/>
      <c r="O198" s="36"/>
    </row>
    <row r="199" spans="1:15" ht="12.75" customHeight="1" x14ac:dyDescent="0.3">
      <c r="A199" s="95"/>
      <c r="B199" s="95"/>
      <c r="C199" s="36" t="s">
        <v>34</v>
      </c>
      <c r="D199" s="29"/>
      <c r="E199" s="29"/>
      <c r="F199" s="29"/>
      <c r="G199" s="37" t="s">
        <v>268</v>
      </c>
      <c r="H199" s="36" t="s">
        <v>36</v>
      </c>
      <c r="I199" s="634"/>
      <c r="J199" s="635" t="str">
        <f>IF(ISBLANK(HLOOKUP(CaseName,CaseData,MATCH($G199,cases!$G$3:$G$2464,0),FALSE)),"",HLOOKUP(CaseName,CaseData,MATCH($G199,cases!$G$3:$G$2464,0),FALSE))</f>
        <v/>
      </c>
      <c r="K199" s="352">
        <f>EXP((Ea.OHrad/8.314)*(TEMP.R-298)/298^2)</f>
        <v>0.89974332049812744</v>
      </c>
      <c r="L199" s="636">
        <f t="shared" si="9"/>
        <v>0.89974332049812744</v>
      </c>
      <c r="M199" s="36" t="s">
        <v>486</v>
      </c>
      <c r="N199" s="36"/>
      <c r="O199" s="36"/>
    </row>
    <row r="200" spans="1:15" ht="12.75" customHeight="1" x14ac:dyDescent="0.3">
      <c r="A200" s="36"/>
      <c r="B200" s="36" t="s">
        <v>325</v>
      </c>
      <c r="C200" s="29"/>
      <c r="D200" s="29"/>
      <c r="E200" s="29"/>
      <c r="F200" s="29"/>
      <c r="G200" s="37" t="s">
        <v>306</v>
      </c>
      <c r="H200" s="36" t="s">
        <v>4037</v>
      </c>
      <c r="I200" s="634"/>
      <c r="J200" s="635" t="str">
        <f>IF(ISBLANK(HLOOKUP(CaseName,CaseData,MATCH($G200,cases!$G$3:$G$2464,0),FALSE)),"",HLOOKUP(CaseName,CaseData,MATCH($G200,cases!$G$3:$G$2464,0),FALSE))</f>
        <v/>
      </c>
      <c r="K200" s="352">
        <f>kdeg.water*L206*(L203/BACT.test)*L66</f>
        <v>8.685696044300724E-8</v>
      </c>
      <c r="L200" s="636">
        <f>IF(ISBLANK(I200),IF(ISNUMBER(J200)=FALSE,K200,J200),I200)</f>
        <v>8.685696044300724E-8</v>
      </c>
      <c r="M200" s="36" t="s">
        <v>1488</v>
      </c>
      <c r="N200" s="36"/>
      <c r="O200" s="36"/>
    </row>
    <row r="201" spans="1:15" ht="12.75" customHeight="1" x14ac:dyDescent="0.3">
      <c r="A201" s="36"/>
      <c r="B201" s="36" t="s">
        <v>798</v>
      </c>
      <c r="C201" s="29"/>
      <c r="D201" s="29"/>
      <c r="E201" s="29"/>
      <c r="F201" s="29"/>
      <c r="G201" s="37" t="s">
        <v>851</v>
      </c>
      <c r="H201" s="36" t="s">
        <v>4037</v>
      </c>
      <c r="I201" s="634"/>
      <c r="J201" s="635" t="str">
        <f>IF(ISBLANK(HLOOKUP(CaseName,CaseData,MATCH($G201,cases!$G$3:$G$2464,0),FALSE)),"",HLOOKUP(CaseName,CaseData,MATCH($G201,cases!$G$3:$G$2464,0),FALSE))</f>
        <v/>
      </c>
      <c r="K201" s="352">
        <f>kdeg.water*L206*(L204/BACT.test)*L72</f>
        <v>8.6728477588904822E-8</v>
      </c>
      <c r="L201" s="636">
        <f t="shared" si="9"/>
        <v>8.6728477588904822E-8</v>
      </c>
      <c r="M201" s="36" t="s">
        <v>1488</v>
      </c>
      <c r="N201" s="36"/>
      <c r="O201" s="36"/>
    </row>
    <row r="202" spans="1:15" ht="12.75" customHeight="1" x14ac:dyDescent="0.3">
      <c r="A202" s="36"/>
      <c r="B202" s="36" t="s">
        <v>799</v>
      </c>
      <c r="C202" s="29"/>
      <c r="D202" s="29"/>
      <c r="E202" s="29"/>
      <c r="F202" s="29"/>
      <c r="G202" s="37" t="s">
        <v>852</v>
      </c>
      <c r="H202" s="36" t="s">
        <v>4037</v>
      </c>
      <c r="I202" s="634"/>
      <c r="J202" s="635" t="str">
        <f>IF(ISBLANK(HLOOKUP(CaseName,CaseData,MATCH($G202,cases!$G$3:$G$2464,0),FALSE)),"",HLOOKUP(CaseName,CaseData,MATCH($G202,cases!$G$3:$G$2464,0),FALSE))</f>
        <v/>
      </c>
      <c r="K202" s="352">
        <f>kdeg.water*L206*(L205/BACT.test)*L78</f>
        <v>8.6818245114295561E-8</v>
      </c>
      <c r="L202" s="636">
        <f t="shared" si="9"/>
        <v>8.6818245114295561E-8</v>
      </c>
      <c r="M202" s="36" t="s">
        <v>1488</v>
      </c>
      <c r="N202" s="36"/>
      <c r="O202" s="36"/>
    </row>
    <row r="203" spans="1:15" ht="12.75" customHeight="1" x14ac:dyDescent="0.3">
      <c r="A203" s="36"/>
      <c r="B203" s="36"/>
      <c r="C203" s="36" t="s">
        <v>326</v>
      </c>
      <c r="D203" s="29"/>
      <c r="E203" s="29"/>
      <c r="F203" s="29"/>
      <c r="G203" s="94" t="s">
        <v>307</v>
      </c>
      <c r="H203" s="36" t="s">
        <v>730</v>
      </c>
      <c r="I203" s="634"/>
      <c r="J203" s="635" t="str">
        <f>IF(ISBLANK(HLOOKUP(CaseName,CaseData,MATCH($G203,cases!$G$3:$G$2464,0),FALSE)),"",HLOOKUP(CaseName,CaseData,MATCH($G203,cases!$G$3:$G$2464,0),FALSE))</f>
        <v/>
      </c>
      <c r="K203" s="352">
        <v>40000</v>
      </c>
      <c r="L203" s="636">
        <f>IF(ISBLANK(I203),IF(ISNUMBER(J203)=FALSE,K203,J203),I203)</f>
        <v>40000</v>
      </c>
      <c r="M203" s="36" t="s">
        <v>1501</v>
      </c>
      <c r="N203" s="36"/>
      <c r="O203" s="36"/>
    </row>
    <row r="204" spans="1:15" ht="12.75" customHeight="1" x14ac:dyDescent="0.3">
      <c r="A204" s="36"/>
      <c r="B204" s="36"/>
      <c r="C204" s="36" t="s">
        <v>585</v>
      </c>
      <c r="D204" s="29"/>
      <c r="E204" s="29"/>
      <c r="F204" s="29"/>
      <c r="G204" s="94" t="s">
        <v>688</v>
      </c>
      <c r="H204" s="36" t="s">
        <v>730</v>
      </c>
      <c r="I204" s="634"/>
      <c r="J204" s="635" t="str">
        <f>IF(ISBLANK(HLOOKUP(CaseName,CaseData,MATCH($G204,cases!$G$3:$G$2464,0),FALSE)),"",HLOOKUP(CaseName,CaseData,MATCH($G204,cases!$G$3:$G$2464,0),FALSE))</f>
        <v/>
      </c>
      <c r="K204" s="352">
        <v>40000</v>
      </c>
      <c r="L204" s="636">
        <f t="shared" si="9"/>
        <v>40000</v>
      </c>
      <c r="M204" s="36" t="s">
        <v>1501</v>
      </c>
      <c r="N204" s="36"/>
      <c r="O204" s="36"/>
    </row>
    <row r="205" spans="1:15" ht="12.75" customHeight="1" x14ac:dyDescent="0.3">
      <c r="A205" s="36"/>
      <c r="B205" s="36"/>
      <c r="C205" s="36" t="s">
        <v>1451</v>
      </c>
      <c r="D205" s="29"/>
      <c r="E205" s="29"/>
      <c r="F205" s="29"/>
      <c r="G205" s="94" t="s">
        <v>689</v>
      </c>
      <c r="H205" s="36" t="s">
        <v>730</v>
      </c>
      <c r="I205" s="634"/>
      <c r="J205" s="635" t="str">
        <f>IF(ISBLANK(HLOOKUP(CaseName,CaseData,MATCH($G205,cases!$G$3:$G$2464,0),FALSE)),"",HLOOKUP(CaseName,CaseData,MATCH($G205,cases!$G$3:$G$2464,0),FALSE))</f>
        <v/>
      </c>
      <c r="K205" s="352">
        <v>40000</v>
      </c>
      <c r="L205" s="636">
        <f t="shared" si="9"/>
        <v>40000</v>
      </c>
      <c r="M205" s="36" t="s">
        <v>1501</v>
      </c>
      <c r="N205" s="36"/>
      <c r="O205" s="36"/>
    </row>
    <row r="206" spans="1:15" ht="12.75" customHeight="1" x14ac:dyDescent="0.3">
      <c r="A206" s="95"/>
      <c r="B206" s="95"/>
      <c r="C206" s="36" t="s">
        <v>766</v>
      </c>
      <c r="D206" s="29"/>
      <c r="E206" s="29"/>
      <c r="F206" s="29"/>
      <c r="G206" s="37" t="s">
        <v>793</v>
      </c>
      <c r="H206" s="36" t="s">
        <v>36</v>
      </c>
      <c r="I206" s="634"/>
      <c r="J206" s="635" t="str">
        <f>IF(ISBLANK(HLOOKUP(CaseName,CaseData,MATCH($G206,cases!$G$3:$G$2464,0),FALSE)),"",HLOOKUP(CaseName,CaseData,MATCH($G206,cases!$G$3:$G$2464,0),FALSE))</f>
        <v/>
      </c>
      <c r="K206" s="352">
        <f>Q.10^((TEMP.R-298)/10)</f>
        <v>0.40612619817811774</v>
      </c>
      <c r="L206" s="636">
        <f t="shared" si="9"/>
        <v>0.40612619817811774</v>
      </c>
      <c r="M206" s="36" t="s">
        <v>486</v>
      </c>
      <c r="N206" s="36"/>
      <c r="O206" s="36"/>
    </row>
    <row r="207" spans="1:15" ht="12.75" customHeight="1" x14ac:dyDescent="0.3">
      <c r="A207" s="36"/>
      <c r="B207" s="36" t="s">
        <v>800</v>
      </c>
      <c r="C207" s="29"/>
      <c r="D207" s="29"/>
      <c r="E207" s="29"/>
      <c r="F207" s="29"/>
      <c r="G207" s="37" t="s">
        <v>1333</v>
      </c>
      <c r="H207" s="36" t="s">
        <v>4037</v>
      </c>
      <c r="I207" s="634"/>
      <c r="J207" s="635" t="str">
        <f>IF(ISBLANK(HLOOKUP(CaseName,CaseData,MATCH($G207,cases!$G$3:$G$2464,0),FALSE)),"",HLOOKUP(CaseName,CaseData,MATCH($G207,cases!$G$3:$G$2464,0),FALSE))</f>
        <v/>
      </c>
      <c r="K207" s="352">
        <f>L206*kdeg.sed</f>
        <v>9.6658035166392018E-9</v>
      </c>
      <c r="L207" s="636">
        <f t="shared" si="9"/>
        <v>9.6658035166392018E-9</v>
      </c>
      <c r="M207" s="36" t="s">
        <v>1488</v>
      </c>
      <c r="N207" s="36"/>
      <c r="O207" s="36"/>
    </row>
    <row r="208" spans="1:15" ht="12.75" customHeight="1" x14ac:dyDescent="0.3">
      <c r="A208" s="36"/>
      <c r="B208" s="36" t="s">
        <v>801</v>
      </c>
      <c r="C208" s="29"/>
      <c r="D208" s="29"/>
      <c r="E208" s="29"/>
      <c r="F208" s="29"/>
      <c r="G208" s="37" t="s">
        <v>1334</v>
      </c>
      <c r="H208" s="36" t="s">
        <v>4037</v>
      </c>
      <c r="I208" s="634"/>
      <c r="J208" s="635" t="str">
        <f>IF(ISBLANK(HLOOKUP(CaseName,CaseData,MATCH($G208,cases!$G$3:$G$2464,0),FALSE)),"",HLOOKUP(CaseName,CaseData,MATCH($G208,cases!$G$3:$G$2464,0),FALSE))</f>
        <v/>
      </c>
      <c r="K208" s="352">
        <f>L206*kdeg.sed</f>
        <v>9.6658035166392018E-9</v>
      </c>
      <c r="L208" s="636">
        <f t="shared" si="9"/>
        <v>9.6658035166392018E-9</v>
      </c>
      <c r="M208" s="36" t="s">
        <v>1488</v>
      </c>
      <c r="N208" s="36"/>
      <c r="O208" s="36"/>
    </row>
    <row r="209" spans="1:15" ht="12.75" customHeight="1" x14ac:dyDescent="0.3">
      <c r="A209" s="36"/>
      <c r="B209" s="36" t="s">
        <v>802</v>
      </c>
      <c r="C209" s="29"/>
      <c r="D209" s="29"/>
      <c r="E209" s="29"/>
      <c r="F209" s="29"/>
      <c r="G209" s="37" t="s">
        <v>1335</v>
      </c>
      <c r="H209" s="36" t="s">
        <v>4037</v>
      </c>
      <c r="I209" s="634"/>
      <c r="J209" s="635" t="str">
        <f>IF(ISBLANK(HLOOKUP(CaseName,CaseData,MATCH($G209,cases!$G$3:$G$2464,0),FALSE)),"",HLOOKUP(CaseName,CaseData,MATCH($G209,cases!$G$3:$G$2464,0),FALSE))</f>
        <v/>
      </c>
      <c r="K209" s="352">
        <f>L206*kdeg.soil</f>
        <v>4.3455503205058602E-8</v>
      </c>
      <c r="L209" s="636">
        <f t="shared" si="9"/>
        <v>4.3455503205058602E-8</v>
      </c>
      <c r="M209" s="36" t="s">
        <v>1488</v>
      </c>
      <c r="N209" s="36"/>
      <c r="O209" s="36"/>
    </row>
    <row r="210" spans="1:15" ht="12.75" customHeight="1" x14ac:dyDescent="0.3">
      <c r="A210" s="36"/>
      <c r="B210" s="36" t="s">
        <v>426</v>
      </c>
      <c r="C210" s="29"/>
      <c r="D210" s="29"/>
      <c r="E210" s="29"/>
      <c r="F210" s="29"/>
      <c r="G210" s="37" t="s">
        <v>1336</v>
      </c>
      <c r="H210" s="36" t="s">
        <v>4037</v>
      </c>
      <c r="I210" s="634"/>
      <c r="J210" s="635" t="str">
        <f>IF(ISBLANK(HLOOKUP(CaseName,CaseData,MATCH($G210,cases!$G$3:$G$2464,0),FALSE)),"",HLOOKUP(CaseName,CaseData,MATCH($G210,cases!$G$3:$G$2464,0),FALSE))</f>
        <v/>
      </c>
      <c r="K210" s="352">
        <f>L206*kdeg.soil</f>
        <v>4.3455503205058602E-8</v>
      </c>
      <c r="L210" s="636">
        <f t="shared" si="9"/>
        <v>4.3455503205058602E-8</v>
      </c>
      <c r="M210" s="36" t="s">
        <v>1488</v>
      </c>
      <c r="N210" s="36"/>
      <c r="O210" s="36"/>
    </row>
    <row r="211" spans="1:15" ht="12.75" customHeight="1" x14ac:dyDescent="0.3">
      <c r="A211" s="36"/>
      <c r="B211" s="36" t="s">
        <v>433</v>
      </c>
      <c r="C211" s="29"/>
      <c r="D211" s="29"/>
      <c r="E211" s="29"/>
      <c r="F211" s="29"/>
      <c r="G211" s="37" t="s">
        <v>1337</v>
      </c>
      <c r="H211" s="36" t="s">
        <v>4037</v>
      </c>
      <c r="I211" s="634"/>
      <c r="J211" s="635" t="str">
        <f>IF(ISBLANK(HLOOKUP(CaseName,CaseData,MATCH($G211,cases!$G$3:$G$2464,0),FALSE)),"",HLOOKUP(CaseName,CaseData,MATCH($G211,cases!$G$3:$G$2464,0),FALSE))</f>
        <v/>
      </c>
      <c r="K211" s="352">
        <f>L206*kdeg.soil</f>
        <v>4.3455503205058602E-8</v>
      </c>
      <c r="L211" s="636">
        <f t="shared" si="9"/>
        <v>4.3455503205058602E-8</v>
      </c>
      <c r="M211" s="36" t="s">
        <v>1488</v>
      </c>
      <c r="N211" s="36"/>
      <c r="O211" s="36"/>
    </row>
    <row r="212" spans="1:15" ht="12.75" customHeight="1" x14ac:dyDescent="0.3">
      <c r="A212" s="36"/>
      <c r="B212" s="36" t="s">
        <v>1057</v>
      </c>
      <c r="C212" s="29"/>
      <c r="D212" s="29"/>
      <c r="E212" s="29"/>
      <c r="F212" s="29"/>
      <c r="G212" s="94" t="s">
        <v>1223</v>
      </c>
      <c r="H212" s="36" t="s">
        <v>36</v>
      </c>
      <c r="I212" s="634"/>
      <c r="J212" s="635" t="str">
        <f>IF(ISBLANK(HLOOKUP(CaseName,CaseData,MATCH($G212,cases!$G$3:$G$2464,0),FALSE)),"",HLOOKUP(CaseName,CaseData,MATCH($G212,cases!$G$3:$G$2464,0),FALSE))</f>
        <v/>
      </c>
      <c r="K212" s="352">
        <f>FRACinf.R</f>
        <v>0.25</v>
      </c>
      <c r="L212" s="636">
        <f t="shared" ref="L212:L217" si="10">IF(ISBLANK(I212),IF(ISNUMBER(J212)=FALSE,K212,J212),I212)</f>
        <v>0.25</v>
      </c>
      <c r="M212" s="36" t="s">
        <v>486</v>
      </c>
      <c r="N212" s="36"/>
      <c r="O212" s="36"/>
    </row>
    <row r="213" spans="1:15" ht="12.75" customHeight="1" x14ac:dyDescent="0.3">
      <c r="A213" s="36"/>
      <c r="B213" s="36" t="s">
        <v>1058</v>
      </c>
      <c r="C213" s="29"/>
      <c r="D213" s="29"/>
      <c r="E213" s="29"/>
      <c r="F213" s="29"/>
      <c r="G213" s="94" t="s">
        <v>1224</v>
      </c>
      <c r="H213" s="36" t="s">
        <v>36</v>
      </c>
      <c r="I213" s="634"/>
      <c r="J213" s="635" t="str">
        <f>IF(ISBLANK(HLOOKUP(CaseName,CaseData,MATCH($G213,cases!$G$3:$G$2464,0),FALSE)),"",HLOOKUP(CaseName,CaseData,MATCH($G213,cases!$G$3:$G$2464,0),FALSE))</f>
        <v/>
      </c>
      <c r="K213" s="352">
        <f>FRACinf.R</f>
        <v>0.25</v>
      </c>
      <c r="L213" s="636">
        <f t="shared" si="10"/>
        <v>0.25</v>
      </c>
      <c r="M213" s="36" t="s">
        <v>486</v>
      </c>
      <c r="N213" s="36"/>
      <c r="O213" s="36"/>
    </row>
    <row r="214" spans="1:15" ht="12.75" customHeight="1" x14ac:dyDescent="0.3">
      <c r="A214" s="29"/>
      <c r="B214" s="36" t="s">
        <v>584</v>
      </c>
      <c r="C214" s="29"/>
      <c r="D214" s="29"/>
      <c r="E214" s="29"/>
      <c r="F214" s="29"/>
      <c r="G214" s="94" t="s">
        <v>1225</v>
      </c>
      <c r="H214" s="36" t="s">
        <v>36</v>
      </c>
      <c r="I214" s="634"/>
      <c r="J214" s="635" t="str">
        <f>IF(ISBLANK(HLOOKUP(CaseName,CaseData,MATCH($G214,cases!$G$3:$G$2464,0),FALSE)),"",HLOOKUP(CaseName,CaseData,MATCH($G214,cases!$G$3:$G$2464,0),FALSE))</f>
        <v/>
      </c>
      <c r="K214" s="352">
        <f>FRACinf.R</f>
        <v>0.25</v>
      </c>
      <c r="L214" s="636">
        <f t="shared" si="10"/>
        <v>0.25</v>
      </c>
      <c r="M214" s="36" t="s">
        <v>486</v>
      </c>
      <c r="N214" s="36"/>
      <c r="O214" s="36"/>
    </row>
    <row r="215" spans="1:15" ht="12.75" customHeight="1" x14ac:dyDescent="0.3">
      <c r="A215" s="36"/>
      <c r="B215" s="29" t="s">
        <v>2228</v>
      </c>
      <c r="C215" s="29"/>
      <c r="D215" s="95"/>
      <c r="E215" s="95"/>
      <c r="F215" s="95"/>
      <c r="G215" s="37" t="s">
        <v>1470</v>
      </c>
      <c r="H215" s="29" t="s">
        <v>36</v>
      </c>
      <c r="I215" s="639"/>
      <c r="J215" s="635" t="str">
        <f>IF(ISBLANK(HLOOKUP(CaseName,CaseData,MATCH($G215,cases!$G$3:$G$2464,0),FALSE)),"",HLOOKUP(CaseName,CaseData,MATCH($G215,cases!$G$3:$G$2464,0),FALSE))</f>
        <v/>
      </c>
      <c r="K215" s="352">
        <f>(EXP((-1/0.1)*0.5)*(1/0.1)*L27/(1-EXP((-1/0.1)*L27)))</f>
        <v>8.5622262133111474E-3</v>
      </c>
      <c r="L215" s="636">
        <f t="shared" si="10"/>
        <v>8.5622262133111474E-3</v>
      </c>
      <c r="M215" s="29" t="s">
        <v>486</v>
      </c>
      <c r="N215" s="36" t="s">
        <v>995</v>
      </c>
      <c r="O215" s="36"/>
    </row>
    <row r="216" spans="1:15" ht="12.75" customHeight="1" x14ac:dyDescent="0.3">
      <c r="A216" s="36"/>
      <c r="B216" s="29" t="s">
        <v>2228</v>
      </c>
      <c r="C216" s="29"/>
      <c r="D216" s="95"/>
      <c r="E216" s="95"/>
      <c r="F216" s="95"/>
      <c r="G216" s="37" t="s">
        <v>1471</v>
      </c>
      <c r="H216" s="29" t="s">
        <v>36</v>
      </c>
      <c r="I216" s="639"/>
      <c r="J216" s="635" t="str">
        <f>IF(ISBLANK(HLOOKUP(CaseName,CaseData,MATCH($G216,cases!$G$3:$G$2464,0),FALSE)),"",HLOOKUP(CaseName,CaseData,MATCH($G216,cases!$G$3:$G$2464,0),FALSE))</f>
        <v/>
      </c>
      <c r="K216" s="352">
        <f>(EXP((-1/0.1)*0.5)*(1/0.1)*L28/(1-EXP((-1/0.1)*L28)))</f>
        <v>1.5585109160709019E-2</v>
      </c>
      <c r="L216" s="636">
        <f t="shared" si="10"/>
        <v>1.5585109160709019E-2</v>
      </c>
      <c r="M216" s="29" t="s">
        <v>486</v>
      </c>
      <c r="N216" s="36" t="s">
        <v>995</v>
      </c>
      <c r="O216" s="36"/>
    </row>
    <row r="217" spans="1:15" ht="12.75" customHeight="1" x14ac:dyDescent="0.3">
      <c r="A217" s="36"/>
      <c r="B217" s="29" t="s">
        <v>2228</v>
      </c>
      <c r="C217" s="29"/>
      <c r="D217" s="95"/>
      <c r="E217" s="95"/>
      <c r="F217" s="95"/>
      <c r="G217" s="37" t="s">
        <v>1472</v>
      </c>
      <c r="H217" s="29" t="s">
        <v>36</v>
      </c>
      <c r="I217" s="639"/>
      <c r="J217" s="635" t="str">
        <f>IF(ISBLANK(HLOOKUP(CaseName,CaseData,MATCH($G217,cases!$G$3:$G$2464,0),FALSE)),"",HLOOKUP(CaseName,CaseData,MATCH($G217,cases!$G$3:$G$2464,0),FALSE))</f>
        <v/>
      </c>
      <c r="K217" s="352">
        <f>(EXP((-1/0.1)*0.5)*(1/0.1)*L29/(1-EXP((-1/0.1)*L29)))</f>
        <v>8.5622262133111474E-3</v>
      </c>
      <c r="L217" s="636">
        <f t="shared" si="10"/>
        <v>8.5622262133111474E-3</v>
      </c>
      <c r="M217" s="29" t="s">
        <v>486</v>
      </c>
      <c r="N217" s="36" t="s">
        <v>995</v>
      </c>
      <c r="O217" s="36"/>
    </row>
    <row r="218" spans="1:15" ht="12.75" customHeight="1" x14ac:dyDescent="0.3">
      <c r="A218" s="134"/>
      <c r="B218" s="134"/>
      <c r="C218" s="134"/>
      <c r="D218" s="134"/>
      <c r="E218" s="134"/>
      <c r="F218" s="134"/>
      <c r="G218" s="115"/>
      <c r="H218" s="115"/>
      <c r="I218" s="356"/>
      <c r="J218" s="367"/>
      <c r="K218" s="643"/>
      <c r="L218" s="643"/>
      <c r="M218" s="134"/>
      <c r="N218" s="115"/>
      <c r="O218" s="36"/>
    </row>
    <row r="219" spans="1:15" ht="12.75" customHeight="1" x14ac:dyDescent="0.3">
      <c r="A219" s="29"/>
      <c r="B219" s="29"/>
      <c r="C219" s="29"/>
      <c r="D219" s="29"/>
      <c r="E219" s="29"/>
      <c r="F219" s="29"/>
      <c r="G219" s="36"/>
      <c r="H219" s="36"/>
      <c r="I219" s="339"/>
      <c r="J219" s="431"/>
      <c r="K219" s="353"/>
      <c r="L219" s="353"/>
      <c r="M219" s="29"/>
      <c r="N219" s="36"/>
      <c r="O219" s="36"/>
    </row>
  </sheetData>
  <dataConsolidate/>
  <customSheetViews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139" transitionEvaluation="1" transitionEntry="1" codeName="Sheet3"/>
  <dimension ref="A1:O225"/>
  <sheetViews>
    <sheetView tabSelected="1" topLeftCell="A139" zoomScaleNormal="100" workbookViewId="0">
      <selection activeCell="K145" sqref="K145"/>
    </sheetView>
  </sheetViews>
  <sheetFormatPr defaultColWidth="10.6640625" defaultRowHeight="12.75" customHeight="1" x14ac:dyDescent="0.3"/>
  <cols>
    <col min="1" max="5" width="1.6640625" customWidth="1"/>
    <col min="6" max="6" width="60.6640625" customWidth="1"/>
    <col min="7" max="7" width="22.6640625" customWidth="1"/>
    <col min="8" max="8" width="10.6640625" customWidth="1"/>
    <col min="9" max="11" width="9.109375" style="644" customWidth="1"/>
    <col min="12" max="12" width="12.109375" style="644" customWidth="1"/>
    <col min="13" max="13" width="9.109375" customWidth="1"/>
    <col min="14" max="14" width="83" bestFit="1" customWidth="1"/>
    <col min="15" max="15" width="2.6640625" customWidth="1"/>
  </cols>
  <sheetData>
    <row r="1" spans="1:15" ht="12.75" customHeight="1" x14ac:dyDescent="0.3">
      <c r="A1" s="62" t="s">
        <v>445</v>
      </c>
      <c r="B1" s="29"/>
      <c r="C1" s="29"/>
      <c r="D1" s="29"/>
      <c r="E1" s="29"/>
      <c r="F1" s="29"/>
      <c r="G1" s="36"/>
      <c r="H1" s="29"/>
      <c r="I1" s="645"/>
      <c r="J1" s="353"/>
      <c r="K1" s="353"/>
      <c r="L1" s="353"/>
      <c r="M1" s="29"/>
      <c r="N1" s="29"/>
      <c r="O1" s="29"/>
    </row>
    <row r="2" spans="1:15" ht="12.75" customHeight="1" x14ac:dyDescent="0.3">
      <c r="A2" s="96"/>
      <c r="B2" s="29"/>
      <c r="C2" s="29"/>
      <c r="D2" s="29"/>
      <c r="E2" s="29"/>
      <c r="F2" s="29"/>
      <c r="G2" s="29"/>
      <c r="H2" s="29"/>
      <c r="I2" s="645"/>
      <c r="J2" s="353"/>
      <c r="K2" s="353"/>
      <c r="L2" s="353"/>
      <c r="M2" s="29"/>
      <c r="N2" s="29"/>
      <c r="O2" s="36"/>
    </row>
    <row r="3" spans="1:15" ht="12.75" customHeight="1" x14ac:dyDescent="0.3">
      <c r="A3" s="97" t="s">
        <v>1310</v>
      </c>
      <c r="B3" s="97"/>
      <c r="C3" s="97"/>
      <c r="D3" s="97"/>
      <c r="E3" s="97"/>
      <c r="F3" s="97"/>
      <c r="G3" s="98" t="s">
        <v>1008</v>
      </c>
      <c r="H3" s="98" t="s">
        <v>968</v>
      </c>
      <c r="I3" s="364" t="s">
        <v>754</v>
      </c>
      <c r="J3" s="340" t="s">
        <v>37</v>
      </c>
      <c r="K3" s="340" t="s">
        <v>753</v>
      </c>
      <c r="L3" s="340" t="s">
        <v>1358</v>
      </c>
      <c r="M3" s="97"/>
      <c r="N3" s="98" t="s">
        <v>1371</v>
      </c>
      <c r="O3" s="36"/>
    </row>
    <row r="4" spans="1:15" ht="12.75" customHeight="1" x14ac:dyDescent="0.3">
      <c r="A4" s="29"/>
      <c r="B4" s="29"/>
      <c r="C4" s="36"/>
      <c r="D4" s="36"/>
      <c r="E4" s="29"/>
      <c r="F4" s="29"/>
      <c r="G4" s="29"/>
      <c r="H4" s="29"/>
      <c r="I4" s="635"/>
      <c r="J4" s="353"/>
      <c r="K4" s="353"/>
      <c r="L4" s="353"/>
      <c r="M4" s="29"/>
      <c r="N4" s="29"/>
      <c r="O4" s="36"/>
    </row>
    <row r="5" spans="1:15" ht="12.75" customHeight="1" x14ac:dyDescent="0.3">
      <c r="A5" s="36" t="s">
        <v>1089</v>
      </c>
      <c r="B5" s="29"/>
      <c r="C5" s="29"/>
      <c r="D5" s="29"/>
      <c r="E5" s="29"/>
      <c r="F5" s="29"/>
      <c r="G5" s="37" t="s">
        <v>1437</v>
      </c>
      <c r="H5" s="29" t="s">
        <v>4035</v>
      </c>
      <c r="I5" s="638"/>
      <c r="J5" s="635" t="str">
        <f>IF(ISBLANK(HLOOKUP(CaseName,CaseData,MATCH($G5,cases!$G$3:$G$2464,0),FALSE)),"",HLOOKUP(CaseName,CaseData,MATCH($G5,cases!$G$3:$G$2464,0),FALSE))</f>
        <v/>
      </c>
      <c r="K5" s="352">
        <f>L14*L21</f>
        <v>7199250000000000</v>
      </c>
      <c r="L5" s="636">
        <f>IF(ISBLANK(I5),IF(ISNUMBER(J5)=FALSE,K5,J5),I5)</f>
        <v>7199250000000000</v>
      </c>
      <c r="M5" s="36" t="s">
        <v>1496</v>
      </c>
      <c r="N5" s="29"/>
      <c r="O5" s="36"/>
    </row>
    <row r="6" spans="1:15" ht="12.75" customHeight="1" x14ac:dyDescent="0.3">
      <c r="A6" s="36" t="s">
        <v>282</v>
      </c>
      <c r="B6" s="29"/>
      <c r="C6" s="29"/>
      <c r="D6" s="29"/>
      <c r="E6" s="29"/>
      <c r="F6" s="29"/>
      <c r="G6" s="37" t="s">
        <v>327</v>
      </c>
      <c r="H6" s="36" t="s">
        <v>4035</v>
      </c>
      <c r="I6" s="634"/>
      <c r="J6" s="635" t="str">
        <f>IF(ISBLANK(HLOOKUP(CaseName,CaseData,MATCH($G6,cases!$G$3:$G$2464,0),FALSE)),"",HLOOKUP(CaseName,CaseData,MATCH($G6,cases!$G$3:$G$2464,0),FALSE))</f>
        <v/>
      </c>
      <c r="K6" s="352">
        <f>L14*L15*L22</f>
        <v>871460000000</v>
      </c>
      <c r="L6" s="636">
        <f>IF(ISBLANK(I6),IF(ISNUMBER(J6)=FALSE,K6,J6),I6)</f>
        <v>871460000000</v>
      </c>
      <c r="M6" s="36" t="s">
        <v>1496</v>
      </c>
      <c r="N6" s="29"/>
      <c r="O6" s="36"/>
    </row>
    <row r="7" spans="1:15" ht="12.75" customHeight="1" x14ac:dyDescent="0.3">
      <c r="A7" s="36" t="s">
        <v>708</v>
      </c>
      <c r="B7" s="29"/>
      <c r="C7" s="29"/>
      <c r="D7" s="29"/>
      <c r="E7" s="29"/>
      <c r="F7" s="29"/>
      <c r="G7" s="37" t="s">
        <v>1438</v>
      </c>
      <c r="H7" s="29" t="s">
        <v>4035</v>
      </c>
      <c r="I7" s="638"/>
      <c r="J7" s="635" t="str">
        <f>IF(ISBLANK(HLOOKUP(CaseName,CaseData,MATCH($G7,cases!$G$3:$G$2464,0),FALSE)),"",HLOOKUP(CaseName,CaseData,MATCH($G7,cases!$G$3:$G$2464,0),FALSE))</f>
        <v/>
      </c>
      <c r="K7" s="352">
        <f>L14*L16*L23</f>
        <v>287581800000</v>
      </c>
      <c r="L7" s="636">
        <f t="shared" ref="L7:L42" si="0">IF(ISBLANK(I7),IF(ISNUMBER(J7)=FALSE,K7,J7),I7)</f>
        <v>287581800000</v>
      </c>
      <c r="M7" s="36" t="s">
        <v>1496</v>
      </c>
      <c r="N7" s="29"/>
      <c r="O7" s="36"/>
    </row>
    <row r="8" spans="1:15" ht="12.75" customHeight="1" x14ac:dyDescent="0.3">
      <c r="A8" s="36" t="s">
        <v>709</v>
      </c>
      <c r="B8" s="29"/>
      <c r="C8" s="29"/>
      <c r="D8" s="29"/>
      <c r="E8" s="29"/>
      <c r="F8" s="29"/>
      <c r="G8" s="37" t="s">
        <v>1439</v>
      </c>
      <c r="H8" s="29" t="s">
        <v>4035</v>
      </c>
      <c r="I8" s="638"/>
      <c r="J8" s="635" t="str">
        <f>IF(ISBLANK(HLOOKUP(CaseName,CaseData,MATCH($G8,cases!$G$3:$G$2464,0),FALSE)),"",HLOOKUP(CaseName,CaseData,MATCH($G8,cases!$G$3:$G$2464,0),FALSE))</f>
        <v/>
      </c>
      <c r="K8" s="352">
        <f>L14*L20*L24</f>
        <v>742682000000000</v>
      </c>
      <c r="L8" s="636">
        <f t="shared" si="0"/>
        <v>742682000000000</v>
      </c>
      <c r="M8" s="36" t="s">
        <v>1496</v>
      </c>
      <c r="N8" s="29"/>
      <c r="O8" s="36"/>
    </row>
    <row r="9" spans="1:15" ht="12.75" customHeight="1" x14ac:dyDescent="0.3">
      <c r="A9" s="36" t="s">
        <v>710</v>
      </c>
      <c r="B9" s="29"/>
      <c r="C9" s="29"/>
      <c r="D9" s="29"/>
      <c r="E9" s="29"/>
      <c r="F9" s="29"/>
      <c r="G9" s="37" t="s">
        <v>1440</v>
      </c>
      <c r="H9" s="29" t="s">
        <v>4035</v>
      </c>
      <c r="I9" s="638"/>
      <c r="J9" s="635" t="str">
        <f>IF(ISBLANK(HLOOKUP(CaseName,CaseData,MATCH($G9,cases!$G$3:$G$2464,0),FALSE)),"",HLOOKUP(CaseName,CaseData,MATCH($G9,cases!$G$3:$G$2464,0),FALSE))</f>
        <v/>
      </c>
      <c r="K9" s="352">
        <f>L14*L16*L25</f>
        <v>2875818000</v>
      </c>
      <c r="L9" s="636">
        <f t="shared" si="0"/>
        <v>2875818000</v>
      </c>
      <c r="M9" s="36" t="s">
        <v>1496</v>
      </c>
      <c r="N9" s="29"/>
      <c r="O9" s="36"/>
    </row>
    <row r="10" spans="1:15" ht="12.75" customHeight="1" x14ac:dyDescent="0.3">
      <c r="A10" s="36" t="s">
        <v>711</v>
      </c>
      <c r="B10" s="29"/>
      <c r="C10" s="29"/>
      <c r="D10" s="29"/>
      <c r="E10" s="29"/>
      <c r="F10" s="29"/>
      <c r="G10" s="37" t="s">
        <v>1441</v>
      </c>
      <c r="H10" s="29" t="s">
        <v>4035</v>
      </c>
      <c r="I10" s="638"/>
      <c r="J10" s="635" t="str">
        <f>IF(ISBLANK(HLOOKUP(CaseName,CaseData,MATCH($G10,cases!$G$3:$G$2464,0),FALSE)),"",HLOOKUP(CaseName,CaseData,MATCH($G10,cases!$G$3:$G$2464,0),FALSE))</f>
        <v/>
      </c>
      <c r="K10" s="352">
        <f>L14*L20*L26</f>
        <v>111402300000</v>
      </c>
      <c r="L10" s="636">
        <f t="shared" si="0"/>
        <v>111402300000</v>
      </c>
      <c r="M10" s="36" t="s">
        <v>1496</v>
      </c>
      <c r="N10" s="29"/>
      <c r="O10" s="36"/>
    </row>
    <row r="11" spans="1:15" ht="12.75" customHeight="1" x14ac:dyDescent="0.3">
      <c r="A11" s="36" t="s">
        <v>712</v>
      </c>
      <c r="B11" s="29"/>
      <c r="C11" s="29"/>
      <c r="D11" s="29"/>
      <c r="E11" s="29"/>
      <c r="F11" s="29"/>
      <c r="G11" s="37" t="s">
        <v>1442</v>
      </c>
      <c r="H11" s="29" t="s">
        <v>4035</v>
      </c>
      <c r="I11" s="638"/>
      <c r="J11" s="635" t="str">
        <f>IF(ISBLANK(HLOOKUP(CaseName,CaseData,MATCH($G11,cases!$G$3:$G$2464,0),FALSE)),"",HLOOKUP(CaseName,CaseData,MATCH($G11,cases!$G$3:$G$2464,0),FALSE))</f>
        <v/>
      </c>
      <c r="K11" s="352">
        <f>L14*L17*L27</f>
        <v>47058840000.000015</v>
      </c>
      <c r="L11" s="636">
        <f t="shared" si="0"/>
        <v>47058840000.000015</v>
      </c>
      <c r="M11" s="36" t="s">
        <v>1496</v>
      </c>
      <c r="N11" s="29"/>
      <c r="O11" s="36"/>
    </row>
    <row r="12" spans="1:15" ht="12.75" customHeight="1" x14ac:dyDescent="0.3">
      <c r="A12" s="36" t="s">
        <v>713</v>
      </c>
      <c r="B12" s="29"/>
      <c r="C12" s="29"/>
      <c r="D12" s="29"/>
      <c r="E12" s="29"/>
      <c r="F12" s="29"/>
      <c r="G12" s="37" t="s">
        <v>1443</v>
      </c>
      <c r="H12" s="29" t="s">
        <v>4035</v>
      </c>
      <c r="I12" s="638"/>
      <c r="J12" s="635" t="str">
        <f>IF(ISBLANK(HLOOKUP(CaseName,CaseData,MATCH($G12,cases!$G$3:$G$2464,0),FALSE)),"",HLOOKUP(CaseName,CaseData,MATCH($G12,cases!$G$3:$G$2464,0),FALSE))</f>
        <v/>
      </c>
      <c r="K12" s="352">
        <f>L14*L18*L28</f>
        <v>418300800000.00006</v>
      </c>
      <c r="L12" s="636">
        <f t="shared" si="0"/>
        <v>418300800000.00006</v>
      </c>
      <c r="M12" s="36" t="s">
        <v>1496</v>
      </c>
      <c r="N12" s="29"/>
      <c r="O12" s="36"/>
    </row>
    <row r="13" spans="1:15" ht="12.75" customHeight="1" x14ac:dyDescent="0.3">
      <c r="A13" s="36" t="s">
        <v>210</v>
      </c>
      <c r="B13" s="29"/>
      <c r="C13" s="29"/>
      <c r="D13" s="29"/>
      <c r="E13" s="29"/>
      <c r="F13" s="29"/>
      <c r="G13" s="37" t="s">
        <v>1444</v>
      </c>
      <c r="H13" s="29" t="s">
        <v>4035</v>
      </c>
      <c r="I13" s="638"/>
      <c r="J13" s="635" t="str">
        <f>IF(ISBLANK(HLOOKUP(CaseName,CaseData,MATCH($G13,cases!$G$3:$G$2464,0),FALSE)),"",HLOOKUP(CaseName,CaseData,MATCH($G13,cases!$G$3:$G$2464,0),FALSE))</f>
        <v/>
      </c>
      <c r="K13" s="352">
        <f>L14*L19*L29</f>
        <v>17429200000</v>
      </c>
      <c r="L13" s="636">
        <f t="shared" si="0"/>
        <v>17429200000</v>
      </c>
      <c r="M13" s="36" t="s">
        <v>1496</v>
      </c>
      <c r="N13" s="29"/>
      <c r="O13" s="36"/>
    </row>
    <row r="14" spans="1:15" ht="12.75" customHeight="1" x14ac:dyDescent="0.3">
      <c r="A14" s="36"/>
      <c r="B14" s="95" t="s">
        <v>1356</v>
      </c>
      <c r="C14" s="29"/>
      <c r="D14" s="29"/>
      <c r="E14" s="29"/>
      <c r="F14" s="29"/>
      <c r="G14" s="37" t="s">
        <v>1397</v>
      </c>
      <c r="H14" s="29" t="s">
        <v>4036</v>
      </c>
      <c r="I14" s="638"/>
      <c r="J14" s="635" t="str">
        <f>IF(ISBLANK(HLOOKUP(CaseName,CaseData,MATCH($G14,cases!$G$3:$G$2464,0),FALSE)),"",HLOOKUP(CaseName,CaseData,MATCH($G14,cases!$G$3:$G$2464,0),FALSE))</f>
        <v/>
      </c>
      <c r="K14" s="352">
        <f>(AREAland.C+AREAsea.C)/1000000</f>
        <v>7199250</v>
      </c>
      <c r="L14" s="636">
        <f>IF(ISBLANK(I14),IF(ISNUMBER(J14)=FALSE,K14*1000000,J14*1000000),I14*1000000)</f>
        <v>7199250000000</v>
      </c>
      <c r="M14" s="36" t="s">
        <v>1492</v>
      </c>
      <c r="N14" s="29"/>
      <c r="O14" s="36"/>
    </row>
    <row r="15" spans="1:15" ht="12.75" customHeight="1" x14ac:dyDescent="0.3">
      <c r="A15" s="36"/>
      <c r="B15" s="36" t="s">
        <v>284</v>
      </c>
      <c r="C15" s="29"/>
      <c r="D15" s="29"/>
      <c r="E15" s="29"/>
      <c r="F15" s="29"/>
      <c r="G15" s="94" t="s">
        <v>328</v>
      </c>
      <c r="H15" s="36" t="s">
        <v>36</v>
      </c>
      <c r="I15" s="638"/>
      <c r="J15" s="635" t="str">
        <f>IF(ISBLANK(HLOOKUP(CaseName,CaseData,MATCH($G15,cases!$G$3:$G$2464,0),FALSE)),"",HLOOKUP(CaseName,CaseData,MATCH($G15,cases!$G$3:$G$2464,0),FALSE))</f>
        <v/>
      </c>
      <c r="K15" s="352">
        <f>AREAland.C*FRAClake.C/L14</f>
        <v>1.2104872035281454E-3</v>
      </c>
      <c r="L15" s="636">
        <f>IF(ISBLANK(I15),IF(ISNUMBER(J15)=FALSE,K15,J15),I15)</f>
        <v>1.2104872035281454E-3</v>
      </c>
      <c r="M15" s="29" t="s">
        <v>486</v>
      </c>
      <c r="N15" s="29"/>
      <c r="O15" s="36"/>
    </row>
    <row r="16" spans="1:15" ht="12.75" customHeight="1" x14ac:dyDescent="0.3">
      <c r="A16" s="36"/>
      <c r="B16" s="36" t="s">
        <v>1091</v>
      </c>
      <c r="C16" s="29"/>
      <c r="D16" s="29"/>
      <c r="E16" s="29"/>
      <c r="F16" s="29"/>
      <c r="G16" s="94" t="s">
        <v>1447</v>
      </c>
      <c r="H16" s="29" t="s">
        <v>36</v>
      </c>
      <c r="I16" s="638"/>
      <c r="J16" s="635" t="str">
        <f>IF(ISBLANK(HLOOKUP(CaseName,CaseData,MATCH($G16,cases!$G$3:$G$2464,0),FALSE)),"",HLOOKUP(CaseName,CaseData,MATCH($G16,cases!$G$3:$G$2464,0),FALSE))</f>
        <v/>
      </c>
      <c r="K16" s="352">
        <f>AREAland.C*FRACfresh.C/L14</f>
        <v>1.3315359238809598E-2</v>
      </c>
      <c r="L16" s="636">
        <f t="shared" si="0"/>
        <v>1.3315359238809598E-2</v>
      </c>
      <c r="M16" s="29" t="s">
        <v>486</v>
      </c>
      <c r="N16" s="29"/>
      <c r="O16" s="36"/>
    </row>
    <row r="17" spans="1:15" ht="12.75" customHeight="1" x14ac:dyDescent="0.3">
      <c r="A17" s="36"/>
      <c r="B17" s="36" t="s">
        <v>1093</v>
      </c>
      <c r="C17" s="29"/>
      <c r="D17" s="29"/>
      <c r="E17" s="29"/>
      <c r="F17" s="29"/>
      <c r="G17" s="94" t="s">
        <v>1449</v>
      </c>
      <c r="H17" s="29" t="s">
        <v>36</v>
      </c>
      <c r="I17" s="638"/>
      <c r="J17" s="635" t="str">
        <f>IF(ISBLANK(HLOOKUP(CaseName,CaseData,MATCH($G17,cases!$G$3:$G$2464,0),FALSE)),"",HLOOKUP(CaseName,CaseData,MATCH($G17,cases!$G$3:$G$2464,0),FALSE))</f>
        <v/>
      </c>
      <c r="K17" s="352">
        <f>AREAland.C*FRACnatsoil.C/L14</f>
        <v>0.13073261798103972</v>
      </c>
      <c r="L17" s="636">
        <f t="shared" si="0"/>
        <v>0.13073261798103972</v>
      </c>
      <c r="M17" s="29" t="s">
        <v>486</v>
      </c>
      <c r="N17" s="29"/>
      <c r="O17" s="36"/>
    </row>
    <row r="18" spans="1:15" ht="12.75" customHeight="1" x14ac:dyDescent="0.3">
      <c r="A18" s="36"/>
      <c r="B18" s="36" t="s">
        <v>886</v>
      </c>
      <c r="C18" s="29"/>
      <c r="D18" s="29"/>
      <c r="E18" s="29"/>
      <c r="F18" s="29"/>
      <c r="G18" s="94" t="s">
        <v>1297</v>
      </c>
      <c r="H18" s="29" t="s">
        <v>36</v>
      </c>
      <c r="I18" s="638"/>
      <c r="J18" s="635" t="str">
        <f>IF(ISBLANK(HLOOKUP(CaseName,CaseData,MATCH($G18,cases!$G$3:$G$2464,0),FALSE)),"",HLOOKUP(CaseName,CaseData,MATCH($G18,cases!$G$3:$G$2464,0),FALSE))</f>
        <v/>
      </c>
      <c r="K18" s="352">
        <f>AREAland.C*FRACagsoil.C/L14</f>
        <v>0.2905169288467549</v>
      </c>
      <c r="L18" s="636">
        <f t="shared" si="0"/>
        <v>0.2905169288467549</v>
      </c>
      <c r="M18" s="29" t="s">
        <v>486</v>
      </c>
      <c r="N18" s="29"/>
      <c r="O18" s="36"/>
    </row>
    <row r="19" spans="1:15" ht="12.75" customHeight="1" x14ac:dyDescent="0.3">
      <c r="A19" s="36"/>
      <c r="B19" s="36" t="s">
        <v>887</v>
      </c>
      <c r="C19" s="29"/>
      <c r="D19" s="29"/>
      <c r="E19" s="29"/>
      <c r="F19" s="29"/>
      <c r="G19" s="94" t="s">
        <v>850</v>
      </c>
      <c r="H19" s="29" t="s">
        <v>36</v>
      </c>
      <c r="I19" s="638"/>
      <c r="J19" s="635" t="str">
        <f>IF(ISBLANK(HLOOKUP(CaseName,CaseData,MATCH($G19,cases!$G$3:$G$2464,0),FALSE)),"",HLOOKUP(CaseName,CaseData,MATCH($G19,cases!$G$3:$G$2464,0),FALSE))</f>
        <v/>
      </c>
      <c r="K19" s="352">
        <f>AREAland.C*FRACothersoil.C/L14</f>
        <v>4.8419488141125809E-2</v>
      </c>
      <c r="L19" s="636">
        <f t="shared" si="0"/>
        <v>4.8419488141125809E-2</v>
      </c>
      <c r="M19" s="29" t="s">
        <v>486</v>
      </c>
      <c r="N19" s="29"/>
      <c r="O19" s="36"/>
    </row>
    <row r="20" spans="1:15" ht="12.75" customHeight="1" x14ac:dyDescent="0.3">
      <c r="A20" s="36"/>
      <c r="B20" s="36" t="s">
        <v>1092</v>
      </c>
      <c r="C20" s="29"/>
      <c r="D20" s="29"/>
      <c r="E20" s="29"/>
      <c r="F20" s="29"/>
      <c r="G20" s="94" t="s">
        <v>1448</v>
      </c>
      <c r="H20" s="29" t="s">
        <v>36</v>
      </c>
      <c r="I20" s="638"/>
      <c r="J20" s="635" t="str">
        <f>IF(ISBLANK(HLOOKUP(CaseName,CaseData,MATCH($G20,cases!$G$3:$G$2464,0),FALSE)),"",HLOOKUP(CaseName,CaseData,MATCH($G20,cases!$G$3:$G$2464,0),FALSE))</f>
        <v/>
      </c>
      <c r="K20" s="352">
        <f>1-L15-L16-L17-L18-L19</f>
        <v>0.5158051185887419</v>
      </c>
      <c r="L20" s="636">
        <f t="shared" si="0"/>
        <v>0.5158051185887419</v>
      </c>
      <c r="M20" s="29" t="s">
        <v>486</v>
      </c>
      <c r="N20" s="29"/>
      <c r="O20" s="36"/>
    </row>
    <row r="21" spans="1:15" ht="12.75" customHeight="1" x14ac:dyDescent="0.3">
      <c r="A21" s="36"/>
      <c r="B21" s="29"/>
      <c r="C21" s="36" t="s">
        <v>767</v>
      </c>
      <c r="D21" s="95"/>
      <c r="E21" s="95"/>
      <c r="F21" s="29"/>
      <c r="G21" s="94" t="s">
        <v>111</v>
      </c>
      <c r="H21" s="29" t="s">
        <v>719</v>
      </c>
      <c r="I21" s="638"/>
      <c r="J21" s="635" t="str">
        <f>IF(ISBLANK(HLOOKUP(CaseName,CaseData,MATCH($G21,cases!$G$3:$G$2464,0),FALSE)),"",HLOOKUP(CaseName,CaseData,MATCH($G21,cases!$G$3:$G$2464,0),FALSE))</f>
        <v/>
      </c>
      <c r="K21" s="352">
        <v>1000</v>
      </c>
      <c r="L21" s="636">
        <f t="shared" si="0"/>
        <v>1000</v>
      </c>
      <c r="M21" s="36" t="s">
        <v>720</v>
      </c>
      <c r="N21" s="29"/>
      <c r="O21" s="36"/>
    </row>
    <row r="22" spans="1:15" ht="12.75" customHeight="1" x14ac:dyDescent="0.3">
      <c r="A22" s="36"/>
      <c r="B22" s="29"/>
      <c r="C22" s="36" t="s">
        <v>286</v>
      </c>
      <c r="D22" s="95"/>
      <c r="E22" s="95"/>
      <c r="F22" s="29"/>
      <c r="G22" s="94" t="s">
        <v>329</v>
      </c>
      <c r="H22" s="36" t="s">
        <v>719</v>
      </c>
      <c r="I22" s="638"/>
      <c r="J22" s="635" t="str">
        <f>IF(ISBLANK(HLOOKUP(CaseName,CaseData,MATCH($G22,cases!$G$3:$G$2464,0),FALSE)),"",HLOOKUP(CaseName,CaseData,MATCH($G22,cases!$G$3:$G$2464,0),FALSE))</f>
        <v/>
      </c>
      <c r="K22" s="352">
        <f>DEPTHlake.C</f>
        <v>100</v>
      </c>
      <c r="L22" s="636">
        <f>IF(ISBLANK(I22),IF(ISNUMBER(J22)=FALSE,K22,J22),I22)</f>
        <v>100</v>
      </c>
      <c r="M22" s="36" t="s">
        <v>720</v>
      </c>
      <c r="N22" s="29"/>
      <c r="O22" s="36"/>
    </row>
    <row r="23" spans="1:15" ht="12.75" customHeight="1" x14ac:dyDescent="0.3">
      <c r="A23" s="36"/>
      <c r="B23" s="29"/>
      <c r="C23" s="36" t="s">
        <v>768</v>
      </c>
      <c r="D23" s="95"/>
      <c r="E23" s="95"/>
      <c r="F23" s="29"/>
      <c r="G23" s="94" t="s">
        <v>112</v>
      </c>
      <c r="H23" s="29" t="s">
        <v>719</v>
      </c>
      <c r="I23" s="638"/>
      <c r="J23" s="635" t="str">
        <f>IF(ISBLANK(HLOOKUP(CaseName,CaseData,MATCH($G23,cases!$G$3:$G$2464,0),FALSE)),"",HLOOKUP(CaseName,CaseData,MATCH($G23,cases!$G$3:$G$2464,0),FALSE))</f>
        <v/>
      </c>
      <c r="K23" s="352">
        <f>DEPTHfreshwater.C</f>
        <v>3</v>
      </c>
      <c r="L23" s="636">
        <f t="shared" si="0"/>
        <v>3</v>
      </c>
      <c r="M23" s="36" t="s">
        <v>720</v>
      </c>
      <c r="N23" s="29"/>
      <c r="O23" s="36"/>
    </row>
    <row r="24" spans="1:15" ht="12.75" customHeight="1" x14ac:dyDescent="0.3">
      <c r="A24" s="36"/>
      <c r="B24" s="29"/>
      <c r="C24" s="36" t="s">
        <v>769</v>
      </c>
      <c r="D24" s="95"/>
      <c r="E24" s="95"/>
      <c r="F24" s="29"/>
      <c r="G24" s="94" t="s">
        <v>469</v>
      </c>
      <c r="H24" s="29" t="s">
        <v>719</v>
      </c>
      <c r="I24" s="638"/>
      <c r="J24" s="635" t="str">
        <f>IF(ISBLANK(HLOOKUP(CaseName,CaseData,MATCH($G24,cases!$G$3:$G$2464,0),FALSE)),"",HLOOKUP(CaseName,CaseData,MATCH($G24,cases!$G$3:$G$2464,0),FALSE))</f>
        <v/>
      </c>
      <c r="K24" s="352">
        <v>200</v>
      </c>
      <c r="L24" s="636">
        <f t="shared" si="0"/>
        <v>200</v>
      </c>
      <c r="M24" s="36" t="s">
        <v>720</v>
      </c>
      <c r="N24" s="29"/>
      <c r="O24" s="36"/>
    </row>
    <row r="25" spans="1:15" ht="12.75" customHeight="1" x14ac:dyDescent="0.3">
      <c r="A25" s="36"/>
      <c r="B25" s="29"/>
      <c r="C25" s="36" t="s">
        <v>770</v>
      </c>
      <c r="D25" s="95"/>
      <c r="E25" s="95"/>
      <c r="F25" s="29"/>
      <c r="G25" s="94" t="s">
        <v>470</v>
      </c>
      <c r="H25" s="29" t="s">
        <v>721</v>
      </c>
      <c r="I25" s="638"/>
      <c r="J25" s="635" t="str">
        <f>IF(ISBLANK(HLOOKUP(CaseName,CaseData,MATCH($G25,cases!$G$3:$G$2464,0),FALSE)),"",HLOOKUP(CaseName,CaseData,MATCH($G25,cases!$G$3:$G$2464,0),FALSE))</f>
        <v/>
      </c>
      <c r="K25" s="352">
        <v>3</v>
      </c>
      <c r="L25" s="636">
        <f>IF(ISBLANK(I25),IF(ISNUMBER(J25)=FALSE,K25/100,J25/100),I25/100)</f>
        <v>0.03</v>
      </c>
      <c r="M25" s="29" t="s">
        <v>720</v>
      </c>
      <c r="N25" s="29"/>
      <c r="O25" s="36"/>
    </row>
    <row r="26" spans="1:15" ht="12.75" customHeight="1" x14ac:dyDescent="0.3">
      <c r="A26" s="36"/>
      <c r="B26" s="29"/>
      <c r="C26" s="36" t="s">
        <v>576</v>
      </c>
      <c r="D26" s="95"/>
      <c r="E26" s="95"/>
      <c r="F26" s="29"/>
      <c r="G26" s="94" t="s">
        <v>471</v>
      </c>
      <c r="H26" s="29" t="s">
        <v>721</v>
      </c>
      <c r="I26" s="638"/>
      <c r="J26" s="635" t="str">
        <f>IF(ISBLANK(HLOOKUP(CaseName,CaseData,MATCH($G26,cases!$G$3:$G$2464,0),FALSE)),"",HLOOKUP(CaseName,CaseData,MATCH($G26,cases!$G$3:$G$2464,0),FALSE))</f>
        <v/>
      </c>
      <c r="K26" s="352">
        <v>3</v>
      </c>
      <c r="L26" s="636">
        <f>IF(ISBLANK(I26),IF(ISNUMBER(J26)=FALSE,K26/100,J26/100),I26/100)</f>
        <v>0.03</v>
      </c>
      <c r="M26" s="29" t="s">
        <v>720</v>
      </c>
      <c r="N26" s="29"/>
      <c r="O26" s="36"/>
    </row>
    <row r="27" spans="1:15" ht="12.75" customHeight="1" x14ac:dyDescent="0.3">
      <c r="A27" s="36"/>
      <c r="B27" s="29"/>
      <c r="C27" s="36" t="s">
        <v>3964</v>
      </c>
      <c r="D27" s="95"/>
      <c r="E27" s="95"/>
      <c r="F27" s="29"/>
      <c r="G27" s="94" t="s">
        <v>1355</v>
      </c>
      <c r="H27" s="29" t="s">
        <v>719</v>
      </c>
      <c r="I27" s="634"/>
      <c r="J27" s="635" t="str">
        <f>IF(ISBLANK(HLOOKUP(CaseName,CaseData,MATCH($G27,cases!$G$3:$G$2464,0),FALSE)),"",HLOOKUP(CaseName,CaseData,MATCH($G27,cases!$G$3:$G$2464,0),FALSE))</f>
        <v/>
      </c>
      <c r="K27" s="352">
        <v>0.05</v>
      </c>
      <c r="L27" s="636">
        <f t="shared" si="0"/>
        <v>0.05</v>
      </c>
      <c r="M27" s="29" t="s">
        <v>720</v>
      </c>
      <c r="N27" s="29"/>
      <c r="O27" s="36"/>
    </row>
    <row r="28" spans="1:15" ht="12.75" customHeight="1" x14ac:dyDescent="0.3">
      <c r="A28" s="36"/>
      <c r="B28" s="29"/>
      <c r="C28" s="36" t="s">
        <v>3983</v>
      </c>
      <c r="D28" s="95"/>
      <c r="E28" s="95"/>
      <c r="F28" s="29"/>
      <c r="G28" s="94" t="s">
        <v>472</v>
      </c>
      <c r="H28" s="29" t="s">
        <v>719</v>
      </c>
      <c r="I28" s="634"/>
      <c r="J28" s="635" t="str">
        <f>IF(ISBLANK(HLOOKUP(CaseName,CaseData,MATCH($G28,cases!$G$3:$G$2464,0),FALSE)),"",HLOOKUP(CaseName,CaseData,MATCH($G28,cases!$G$3:$G$2464,0),FALSE))</f>
        <v/>
      </c>
      <c r="K28" s="352">
        <v>0.2</v>
      </c>
      <c r="L28" s="636">
        <f t="shared" si="0"/>
        <v>0.2</v>
      </c>
      <c r="M28" s="29" t="s">
        <v>720</v>
      </c>
      <c r="N28" s="29"/>
      <c r="O28" s="36"/>
    </row>
    <row r="29" spans="1:15" ht="12.75" customHeight="1" x14ac:dyDescent="0.3">
      <c r="A29" s="36"/>
      <c r="B29" s="29"/>
      <c r="C29" s="36" t="s">
        <v>3966</v>
      </c>
      <c r="D29" s="95"/>
      <c r="E29" s="95"/>
      <c r="F29" s="29"/>
      <c r="G29" s="94" t="s">
        <v>775</v>
      </c>
      <c r="H29" s="29" t="s">
        <v>719</v>
      </c>
      <c r="I29" s="634"/>
      <c r="J29" s="635" t="str">
        <f>IF(ISBLANK(HLOOKUP(CaseName,CaseData,MATCH($G29,cases!$G$3:$G$2464,0),FALSE)),"",HLOOKUP(CaseName,CaseData,MATCH($G29,cases!$G$3:$G$2464,0),FALSE))</f>
        <v/>
      </c>
      <c r="K29" s="352">
        <v>0.05</v>
      </c>
      <c r="L29" s="636">
        <f t="shared" si="0"/>
        <v>0.05</v>
      </c>
      <c r="M29" s="29" t="s">
        <v>720</v>
      </c>
      <c r="N29" s="29"/>
      <c r="O29" s="36"/>
    </row>
    <row r="30" spans="1:15" ht="12.75" customHeight="1" x14ac:dyDescent="0.3">
      <c r="A30" s="29"/>
      <c r="B30" s="29"/>
      <c r="C30" s="29" t="s">
        <v>216</v>
      </c>
      <c r="D30" s="29"/>
      <c r="E30" s="29"/>
      <c r="F30" s="29"/>
      <c r="G30" s="36" t="s">
        <v>3984</v>
      </c>
      <c r="H30" s="36" t="s">
        <v>722</v>
      </c>
      <c r="I30" s="638"/>
      <c r="J30" s="635" t="str">
        <f>IF(ISBLANK(HLOOKUP(CaseName,CaseData,MATCH($G30,cases!$G$3:$G$2464,0),FALSE)),"",HLOOKUP(CaseName,CaseData,MATCH($G30,cases!$G$3:$G$2464,0),FALSE))</f>
        <v/>
      </c>
      <c r="K30" s="352">
        <v>1.9999999999999999E-11</v>
      </c>
      <c r="L30" s="636">
        <f t="shared" si="0"/>
        <v>1.9999999999999999E-11</v>
      </c>
      <c r="M30" s="36" t="s">
        <v>486</v>
      </c>
      <c r="N30" s="29" t="s">
        <v>2184</v>
      </c>
      <c r="O30" s="36"/>
    </row>
    <row r="31" spans="1:15" ht="12.75" customHeight="1" x14ac:dyDescent="0.3">
      <c r="A31" s="29"/>
      <c r="B31" s="29"/>
      <c r="C31" s="29" t="s">
        <v>217</v>
      </c>
      <c r="D31" s="29"/>
      <c r="E31" s="29"/>
      <c r="F31" s="29"/>
      <c r="G31" s="36" t="s">
        <v>3985</v>
      </c>
      <c r="H31" s="36" t="s">
        <v>722</v>
      </c>
      <c r="I31" s="638"/>
      <c r="J31" s="635" t="str">
        <f>IF(ISBLANK(HLOOKUP(CaseName,CaseData,MATCH($G31,cases!$G$3:$G$2464,0),FALSE)),"",HLOOKUP(CaseName,CaseData,MATCH($G31,cases!$G$3:$G$2464,0),FALSE))</f>
        <v/>
      </c>
      <c r="K31" s="352">
        <v>1.9999999999999999E-11</v>
      </c>
      <c r="L31" s="636">
        <f t="shared" si="0"/>
        <v>1.9999999999999999E-11</v>
      </c>
      <c r="M31" s="36" t="s">
        <v>486</v>
      </c>
      <c r="N31" s="29" t="s">
        <v>2184</v>
      </c>
      <c r="O31" s="36"/>
    </row>
    <row r="32" spans="1:15" ht="12.75" customHeight="1" x14ac:dyDescent="0.3">
      <c r="A32" s="36"/>
      <c r="B32" s="29"/>
      <c r="C32" s="36" t="s">
        <v>536</v>
      </c>
      <c r="D32" s="95"/>
      <c r="E32" s="95"/>
      <c r="F32" s="29"/>
      <c r="G32" s="94" t="s">
        <v>43</v>
      </c>
      <c r="H32" s="29" t="s">
        <v>722</v>
      </c>
      <c r="I32" s="638"/>
      <c r="J32" s="635" t="str">
        <f>IF(ISBLANK(HLOOKUP(CaseName,CaseData,MATCH($G32,cases!$G$3:$G$2464,0),FALSE)),"",HLOOKUP(CaseName,CaseData,MATCH($G32,cases!$G$3:$G$2464,0),FALSE))</f>
        <v/>
      </c>
      <c r="K32" s="352">
        <v>0.2</v>
      </c>
      <c r="L32" s="636">
        <f t="shared" si="0"/>
        <v>0.2</v>
      </c>
      <c r="M32" s="36" t="s">
        <v>486</v>
      </c>
      <c r="N32" s="29"/>
      <c r="O32" s="36"/>
    </row>
    <row r="33" spans="1:15" ht="12.75" customHeight="1" x14ac:dyDescent="0.3">
      <c r="A33" s="36"/>
      <c r="B33" s="29"/>
      <c r="C33" s="36" t="s">
        <v>418</v>
      </c>
      <c r="D33" s="95"/>
      <c r="E33" s="95"/>
      <c r="F33" s="29"/>
      <c r="G33" s="94" t="s">
        <v>441</v>
      </c>
      <c r="H33" s="29" t="s">
        <v>722</v>
      </c>
      <c r="I33" s="638"/>
      <c r="J33" s="635" t="str">
        <f>IF(ISBLANK(HLOOKUP(CaseName,CaseData,MATCH($G33,cases!$G$3:$G$2464,0),FALSE)),"",HLOOKUP(CaseName,CaseData,MATCH($G33,cases!$G$3:$G$2464,0),FALSE))</f>
        <v/>
      </c>
      <c r="K33" s="352">
        <v>0.2</v>
      </c>
      <c r="L33" s="636">
        <f t="shared" si="0"/>
        <v>0.2</v>
      </c>
      <c r="M33" s="36" t="s">
        <v>486</v>
      </c>
      <c r="N33" s="29"/>
      <c r="O33" s="36"/>
    </row>
    <row r="34" spans="1:15" ht="12.75" customHeight="1" x14ac:dyDescent="0.3">
      <c r="A34" s="36"/>
      <c r="B34" s="29"/>
      <c r="C34" s="36" t="s">
        <v>794</v>
      </c>
      <c r="D34" s="95"/>
      <c r="E34" s="95"/>
      <c r="F34" s="29"/>
      <c r="G34" s="94" t="s">
        <v>442</v>
      </c>
      <c r="H34" s="29" t="s">
        <v>722</v>
      </c>
      <c r="I34" s="638"/>
      <c r="J34" s="635" t="str">
        <f>IF(ISBLANK(HLOOKUP(CaseName,CaseData,MATCH($G34,cases!$G$3:$G$2464,0),FALSE)),"",HLOOKUP(CaseName,CaseData,MATCH($G34,cases!$G$3:$G$2464,0),FALSE))</f>
        <v/>
      </c>
      <c r="K34" s="352">
        <f>1-L32-L33</f>
        <v>0.60000000000000009</v>
      </c>
      <c r="L34" s="636">
        <f t="shared" si="0"/>
        <v>0.60000000000000009</v>
      </c>
      <c r="M34" s="36" t="s">
        <v>486</v>
      </c>
      <c r="N34" s="29"/>
      <c r="O34" s="36"/>
    </row>
    <row r="35" spans="1:15" ht="12.75" customHeight="1" x14ac:dyDescent="0.3">
      <c r="A35" s="36"/>
      <c r="B35" s="29"/>
      <c r="C35" s="36" t="s">
        <v>795</v>
      </c>
      <c r="D35" s="95"/>
      <c r="E35" s="95"/>
      <c r="F35" s="29"/>
      <c r="G35" s="94" t="s">
        <v>443</v>
      </c>
      <c r="H35" s="29" t="s">
        <v>722</v>
      </c>
      <c r="I35" s="638"/>
      <c r="J35" s="635" t="str">
        <f>IF(ISBLANK(HLOOKUP(CaseName,CaseData,MATCH($G35,cases!$G$3:$G$2464,0),FALSE)),"",HLOOKUP(CaseName,CaseData,MATCH($G35,cases!$G$3:$G$2464,0),FALSE))</f>
        <v/>
      </c>
      <c r="K35" s="352">
        <v>0.2</v>
      </c>
      <c r="L35" s="636">
        <f t="shared" si="0"/>
        <v>0.2</v>
      </c>
      <c r="M35" s="36" t="s">
        <v>486</v>
      </c>
      <c r="N35" s="29"/>
      <c r="O35" s="36"/>
    </row>
    <row r="36" spans="1:15" ht="12.75" customHeight="1" x14ac:dyDescent="0.3">
      <c r="A36" s="36"/>
      <c r="B36" s="29"/>
      <c r="C36" s="36" t="s">
        <v>534</v>
      </c>
      <c r="D36" s="95"/>
      <c r="E36" s="95"/>
      <c r="F36" s="29"/>
      <c r="G36" s="94" t="s">
        <v>198</v>
      </c>
      <c r="H36" s="29" t="s">
        <v>722</v>
      </c>
      <c r="I36" s="638"/>
      <c r="J36" s="635" t="str">
        <f>IF(ISBLANK(HLOOKUP(CaseName,CaseData,MATCH($G36,cases!$G$3:$G$2464,0),FALSE)),"",HLOOKUP(CaseName,CaseData,MATCH($G36,cases!$G$3:$G$2464,0),FALSE))</f>
        <v/>
      </c>
      <c r="K36" s="352">
        <v>0.2</v>
      </c>
      <c r="L36" s="636">
        <f t="shared" si="0"/>
        <v>0.2</v>
      </c>
      <c r="M36" s="36" t="s">
        <v>486</v>
      </c>
      <c r="N36" s="29"/>
      <c r="O36" s="36"/>
    </row>
    <row r="37" spans="1:15" ht="12.75" customHeight="1" x14ac:dyDescent="0.3">
      <c r="A37" s="36"/>
      <c r="B37" s="29"/>
      <c r="C37" s="36" t="s">
        <v>535</v>
      </c>
      <c r="D37" s="95"/>
      <c r="E37" s="95"/>
      <c r="F37" s="29"/>
      <c r="G37" s="94" t="s">
        <v>199</v>
      </c>
      <c r="H37" s="29" t="s">
        <v>722</v>
      </c>
      <c r="I37" s="638"/>
      <c r="J37" s="635" t="str">
        <f>IF(ISBLANK(HLOOKUP(CaseName,CaseData,MATCH($G37,cases!$G$3:$G$2464,0),FALSE)),"",HLOOKUP(CaseName,CaseData,MATCH($G37,cases!$G$3:$G$2464,0),FALSE))</f>
        <v/>
      </c>
      <c r="K37" s="352">
        <f>1-L35-L36</f>
        <v>0.60000000000000009</v>
      </c>
      <c r="L37" s="636">
        <f t="shared" si="0"/>
        <v>0.60000000000000009</v>
      </c>
      <c r="M37" s="36" t="s">
        <v>486</v>
      </c>
      <c r="N37" s="29"/>
      <c r="O37" s="36"/>
    </row>
    <row r="38" spans="1:15" ht="12.75" customHeight="1" x14ac:dyDescent="0.3">
      <c r="A38" s="36"/>
      <c r="B38" s="29"/>
      <c r="C38" s="36" t="s">
        <v>1357</v>
      </c>
      <c r="D38" s="95"/>
      <c r="E38" s="95"/>
      <c r="F38" s="29"/>
      <c r="G38" s="94" t="s">
        <v>38</v>
      </c>
      <c r="H38" s="29" t="s">
        <v>722</v>
      </c>
      <c r="I38" s="638"/>
      <c r="J38" s="635" t="str">
        <f>IF(ISBLANK(HLOOKUP(CaseName,CaseData,MATCH($G38,cases!$G$3:$G$2464,0),FALSE)),"",HLOOKUP(CaseName,CaseData,MATCH($G38,cases!$G$3:$G$2464,0),FALSE))</f>
        <v/>
      </c>
      <c r="K38" s="352">
        <v>0.2</v>
      </c>
      <c r="L38" s="636">
        <f t="shared" si="0"/>
        <v>0.2</v>
      </c>
      <c r="M38" s="36" t="s">
        <v>486</v>
      </c>
      <c r="N38" s="29"/>
      <c r="O38" s="36"/>
    </row>
    <row r="39" spans="1:15" ht="12.75" customHeight="1" x14ac:dyDescent="0.3">
      <c r="A39" s="36"/>
      <c r="B39" s="29"/>
      <c r="C39" s="36" t="s">
        <v>537</v>
      </c>
      <c r="D39" s="95"/>
      <c r="E39" s="95"/>
      <c r="F39" s="29"/>
      <c r="G39" s="94" t="s">
        <v>39</v>
      </c>
      <c r="H39" s="29" t="s">
        <v>722</v>
      </c>
      <c r="I39" s="638"/>
      <c r="J39" s="635" t="str">
        <f>IF(ISBLANK(HLOOKUP(CaseName,CaseData,MATCH($G39,cases!$G$3:$G$2464,0),FALSE)),"",HLOOKUP(CaseName,CaseData,MATCH($G39,cases!$G$3:$G$2464,0),FALSE))</f>
        <v/>
      </c>
      <c r="K39" s="352">
        <v>0.2</v>
      </c>
      <c r="L39" s="636">
        <f t="shared" si="0"/>
        <v>0.2</v>
      </c>
      <c r="M39" s="36" t="s">
        <v>486</v>
      </c>
      <c r="N39" s="29"/>
      <c r="O39" s="36"/>
    </row>
    <row r="40" spans="1:15" ht="12.75" customHeight="1" x14ac:dyDescent="0.3">
      <c r="A40" s="36"/>
      <c r="B40" s="29"/>
      <c r="C40" s="36" t="s">
        <v>15</v>
      </c>
      <c r="D40" s="95"/>
      <c r="E40" s="95"/>
      <c r="F40" s="29"/>
      <c r="G40" s="94" t="s">
        <v>40</v>
      </c>
      <c r="H40" s="29" t="s">
        <v>722</v>
      </c>
      <c r="I40" s="638"/>
      <c r="J40" s="635" t="str">
        <f>IF(ISBLANK(HLOOKUP(CaseName,CaseData,MATCH($G40,cases!$G$3:$G$2464,0),FALSE)),"",HLOOKUP(CaseName,CaseData,MATCH($G40,cases!$G$3:$G$2464,0),FALSE))</f>
        <v/>
      </c>
      <c r="K40" s="352">
        <f>1-L38-L39</f>
        <v>0.60000000000000009</v>
      </c>
      <c r="L40" s="636">
        <f t="shared" si="0"/>
        <v>0.60000000000000009</v>
      </c>
      <c r="M40" s="36" t="s">
        <v>486</v>
      </c>
      <c r="N40" s="29"/>
      <c r="O40" s="36"/>
    </row>
    <row r="41" spans="1:15" ht="12.75" customHeight="1" x14ac:dyDescent="0.3">
      <c r="A41" s="36"/>
      <c r="B41" s="29"/>
      <c r="C41" s="36" t="s">
        <v>434</v>
      </c>
      <c r="D41" s="95"/>
      <c r="E41" s="95"/>
      <c r="F41" s="29"/>
      <c r="G41" s="94" t="s">
        <v>41</v>
      </c>
      <c r="H41" s="29" t="s">
        <v>722</v>
      </c>
      <c r="I41" s="638"/>
      <c r="J41" s="635" t="str">
        <f>IF(ISBLANK(HLOOKUP(CaseName,CaseData,MATCH($G41,cases!$G$3:$G$2464,0),FALSE)),"",HLOOKUP(CaseName,CaseData,MATCH($G41,cases!$G$3:$G$2464,0),FALSE))</f>
        <v/>
      </c>
      <c r="K41" s="352">
        <v>0.8</v>
      </c>
      <c r="L41" s="636">
        <f t="shared" si="0"/>
        <v>0.8</v>
      </c>
      <c r="M41" s="36" t="s">
        <v>486</v>
      </c>
      <c r="N41" s="29"/>
      <c r="O41" s="36"/>
    </row>
    <row r="42" spans="1:15" ht="12.75" customHeight="1" x14ac:dyDescent="0.3">
      <c r="A42" s="36"/>
      <c r="B42" s="29"/>
      <c r="C42" s="36" t="s">
        <v>888</v>
      </c>
      <c r="D42" s="95"/>
      <c r="E42" s="95"/>
      <c r="F42" s="29"/>
      <c r="G42" s="94" t="s">
        <v>42</v>
      </c>
      <c r="H42" s="29" t="s">
        <v>722</v>
      </c>
      <c r="I42" s="638"/>
      <c r="J42" s="635" t="str">
        <f>IF(ISBLANK(HLOOKUP(CaseName,CaseData,MATCH($G42,cases!$G$3:$G$2464,0),FALSE)),"",HLOOKUP(CaseName,CaseData,MATCH($G42,cases!$G$3:$G$2464,0),FALSE))</f>
        <v/>
      </c>
      <c r="K42" s="352">
        <f>1-L41</f>
        <v>0.19999999999999996</v>
      </c>
      <c r="L42" s="636">
        <f t="shared" si="0"/>
        <v>0.19999999999999996</v>
      </c>
      <c r="M42" s="36" t="s">
        <v>486</v>
      </c>
      <c r="N42" s="29"/>
      <c r="O42" s="36"/>
    </row>
    <row r="43" spans="1:15" ht="12.75" customHeight="1" x14ac:dyDescent="0.3">
      <c r="A43" s="36"/>
      <c r="B43" s="29"/>
      <c r="C43" s="36"/>
      <c r="D43" s="95"/>
      <c r="E43" s="95"/>
      <c r="F43" s="29"/>
      <c r="G43" s="94"/>
      <c r="H43" s="94"/>
      <c r="I43" s="635"/>
      <c r="J43" s="353"/>
      <c r="K43" s="353"/>
      <c r="L43" s="353"/>
      <c r="M43" s="29"/>
      <c r="N43" s="29"/>
      <c r="O43" s="36"/>
    </row>
    <row r="44" spans="1:15" ht="12.75" customHeight="1" x14ac:dyDescent="0.3">
      <c r="A44" s="36" t="s">
        <v>84</v>
      </c>
      <c r="B44" s="29"/>
      <c r="C44" s="29"/>
      <c r="D44" s="29"/>
      <c r="E44" s="29"/>
      <c r="F44" s="29"/>
      <c r="G44" s="36" t="s">
        <v>260</v>
      </c>
      <c r="H44" s="36" t="s">
        <v>4037</v>
      </c>
      <c r="I44" s="639"/>
      <c r="J44" s="635" t="str">
        <f>IF(ISBLANK(HLOOKUP(CaseName,CaseData,MATCH($G44,cases!$G$3:$G$2464,0),FALSE)),"",HLOOKUP(CaseName,CaseData,MATCH($G44,cases!$G$3:$G$2464,0),FALSE))</f>
        <v/>
      </c>
      <c r="K44" s="345">
        <f>k.aR.aC*VOLUME.aR/L5</f>
        <v>3.0038992516460084E-7</v>
      </c>
      <c r="L44" s="636">
        <f t="shared" ref="L44:L61" si="1">IF(ISBLANK(I44),IF(ISNUMBER(J44)=FALSE,K44,J44),I44)</f>
        <v>3.0038992516460084E-7</v>
      </c>
      <c r="M44" s="29" t="s">
        <v>1488</v>
      </c>
      <c r="N44" s="29"/>
      <c r="O44" s="36"/>
    </row>
    <row r="45" spans="1:15" ht="12.75" customHeight="1" x14ac:dyDescent="0.3">
      <c r="A45" s="36" t="s">
        <v>83</v>
      </c>
      <c r="B45" s="29"/>
      <c r="C45" s="29"/>
      <c r="D45" s="29"/>
      <c r="E45" s="29"/>
      <c r="F45" s="29"/>
      <c r="G45" s="36" t="s">
        <v>259</v>
      </c>
      <c r="H45" s="36" t="s">
        <v>4037</v>
      </c>
      <c r="I45" s="639"/>
      <c r="J45" s="635" t="str">
        <f>IF(ISBLANK(HLOOKUP(CaseName,CaseData,MATCH($G45,cases!$G$3:$G$2464,0),FALSE)),"",HLOOKUP(CaseName,CaseData,MATCH($G45,cases!$G$3:$G$2464,0),FALSE))</f>
        <v/>
      </c>
      <c r="K45" s="345">
        <f>1/L46-L44</f>
        <v>1.3817860384619942E-6</v>
      </c>
      <c r="L45" s="636">
        <f t="shared" si="1"/>
        <v>1.3817860384619942E-6</v>
      </c>
      <c r="M45" s="29" t="s">
        <v>1488</v>
      </c>
      <c r="N45" s="29"/>
      <c r="O45" s="36"/>
    </row>
    <row r="46" spans="1:15" ht="12.75" customHeight="1" x14ac:dyDescent="0.3">
      <c r="A46" s="36"/>
      <c r="B46" s="36" t="s">
        <v>1290</v>
      </c>
      <c r="C46" s="29"/>
      <c r="D46" s="29"/>
      <c r="E46" s="29"/>
      <c r="F46" s="29"/>
      <c r="G46" s="37" t="s">
        <v>786</v>
      </c>
      <c r="H46" s="29" t="s">
        <v>723</v>
      </c>
      <c r="I46" s="638"/>
      <c r="J46" s="635" t="str">
        <f>IF(ISBLANK(HLOOKUP(CaseName,CaseData,MATCH($G46,cases!$G$3:$G$2464,0),FALSE)),"",HLOOKUP(CaseName,CaseData,MATCH($G46,cases!$G$3:$G$2464,0),FALSE))</f>
        <v/>
      </c>
      <c r="K46" s="352">
        <f>1.5*(0.5*SQRT(L14*PI()/4)/WINDspeed.C)/(3600*24)</f>
        <v>6.8804181752315516</v>
      </c>
      <c r="L46" s="636">
        <f>IF(ISBLANK(I46),IF(ISNUMBER(J46)=FALSE,K46*(3600*24),J46*(3600*24)),I46*(3600*24))</f>
        <v>594468.13034000609</v>
      </c>
      <c r="M46" s="36" t="s">
        <v>115</v>
      </c>
      <c r="N46" s="29"/>
      <c r="O46" s="36"/>
    </row>
    <row r="47" spans="1:15" ht="12.75" customHeight="1" x14ac:dyDescent="0.3">
      <c r="A47" s="36"/>
      <c r="B47" s="29"/>
      <c r="C47" s="36"/>
      <c r="D47" s="95"/>
      <c r="E47" s="95"/>
      <c r="F47" s="29"/>
      <c r="G47" s="94"/>
      <c r="H47" s="94"/>
      <c r="I47" s="635"/>
      <c r="J47" s="353"/>
      <c r="K47" s="353"/>
      <c r="L47" s="353"/>
      <c r="M47" s="29"/>
      <c r="N47" s="29"/>
      <c r="O47" s="36"/>
    </row>
    <row r="48" spans="1:15" ht="12.75" customHeight="1" x14ac:dyDescent="0.3">
      <c r="A48" s="36" t="s">
        <v>339</v>
      </c>
      <c r="B48" s="29"/>
      <c r="C48" s="29"/>
      <c r="D48" s="29"/>
      <c r="E48" s="29"/>
      <c r="F48" s="29"/>
      <c r="G48" s="36" t="s">
        <v>330</v>
      </c>
      <c r="H48" s="36" t="s">
        <v>4037</v>
      </c>
      <c r="I48" s="639"/>
      <c r="J48" s="635" t="str">
        <f>IF(ISBLANK(HLOOKUP(CaseName,CaseData,MATCH($G48,cases!$G$3:$G$2464,0),FALSE)),"",HLOOKUP(CaseName,CaseData,MATCH($G48,cases!$G$3:$G$2464,0),FALSE))</f>
        <v/>
      </c>
      <c r="K48" s="352">
        <f>L53/L6</f>
        <v>2.3972602739726029E-9</v>
      </c>
      <c r="L48" s="636">
        <f>IF(ISBLANK(I48),IF(ISNUMBER(J48)=FALSE,K48,J48),I48)</f>
        <v>2.3972602739726029E-9</v>
      </c>
      <c r="M48" s="29" t="s">
        <v>1488</v>
      </c>
      <c r="N48" s="29"/>
      <c r="O48" s="36"/>
    </row>
    <row r="49" spans="1:15" ht="12.75" customHeight="1" x14ac:dyDescent="0.3">
      <c r="A49" s="36" t="s">
        <v>340</v>
      </c>
      <c r="B49" s="29"/>
      <c r="C49" s="29"/>
      <c r="D49" s="29"/>
      <c r="E49" s="29"/>
      <c r="F49" s="29"/>
      <c r="G49" s="36" t="s">
        <v>331</v>
      </c>
      <c r="H49" s="36" t="s">
        <v>4037</v>
      </c>
      <c r="I49" s="639"/>
      <c r="J49" s="635" t="str">
        <f>IF(ISBLANK(HLOOKUP(CaseName,CaseData,MATCH($G49,cases!$G$3:$G$2464,0),FALSE)),"",HLOOKUP(CaseName,CaseData,MATCH($G49,cases!$G$3:$G$2464,0),FALSE))</f>
        <v/>
      </c>
      <c r="K49" s="352">
        <f>L54/L6</f>
        <v>0</v>
      </c>
      <c r="L49" s="636">
        <f>IF(ISBLANK(I49),IF(ISNUMBER(J49)=FALSE,K49,J49),I49)</f>
        <v>0</v>
      </c>
      <c r="M49" s="29" t="s">
        <v>1488</v>
      </c>
      <c r="N49" s="29"/>
      <c r="O49" s="36"/>
    </row>
    <row r="50" spans="1:15" ht="12.75" customHeight="1" x14ac:dyDescent="0.3">
      <c r="A50" s="36" t="s">
        <v>341</v>
      </c>
      <c r="B50" s="29"/>
      <c r="C50" s="29"/>
      <c r="D50" s="29"/>
      <c r="E50" s="29"/>
      <c r="F50" s="29"/>
      <c r="G50" s="36" t="s">
        <v>332</v>
      </c>
      <c r="H50" s="36" t="s">
        <v>4037</v>
      </c>
      <c r="I50" s="639"/>
      <c r="J50" s="635" t="str">
        <f>IF(ISBLANK(HLOOKUP(CaseName,CaseData,MATCH($G50,cases!$G$3:$G$2464,0),FALSE)),"",HLOOKUP(CaseName,CaseData,MATCH($G50,cases!$G$3:$G$2464,0),FALSE))</f>
        <v/>
      </c>
      <c r="K50" s="352">
        <f>L55/L7</f>
        <v>0</v>
      </c>
      <c r="L50" s="636">
        <f>IF(ISBLANK(I50),IF(ISNUMBER(J50)=FALSE,K50,J50),I50)</f>
        <v>0</v>
      </c>
      <c r="M50" s="29" t="s">
        <v>1488</v>
      </c>
      <c r="N50" s="29"/>
      <c r="O50" s="36"/>
    </row>
    <row r="51" spans="1:15" ht="12.75" customHeight="1" x14ac:dyDescent="0.3">
      <c r="A51" s="36" t="s">
        <v>85</v>
      </c>
      <c r="B51" s="29"/>
      <c r="C51" s="29"/>
      <c r="D51" s="29"/>
      <c r="E51" s="29"/>
      <c r="F51" s="29"/>
      <c r="G51" s="36" t="s">
        <v>261</v>
      </c>
      <c r="H51" s="36" t="s">
        <v>4037</v>
      </c>
      <c r="I51" s="639"/>
      <c r="J51" s="635" t="str">
        <f>IF(ISBLANK(HLOOKUP(CaseName,CaseData,MATCH($G51,cases!$G$3:$G$2464,0),FALSE)),"",HLOOKUP(CaseName,CaseData,MATCH($G51,cases!$G$3:$G$2464,0),FALSE))</f>
        <v/>
      </c>
      <c r="K51" s="352">
        <f>L56/L7</f>
        <v>0</v>
      </c>
      <c r="L51" s="636">
        <f t="shared" si="1"/>
        <v>0</v>
      </c>
      <c r="M51" s="29" t="s">
        <v>1488</v>
      </c>
      <c r="N51" s="29"/>
      <c r="O51" s="36"/>
    </row>
    <row r="52" spans="1:15" ht="12.75" customHeight="1" x14ac:dyDescent="0.3">
      <c r="A52" s="36" t="s">
        <v>86</v>
      </c>
      <c r="B52" s="29"/>
      <c r="C52" s="29"/>
      <c r="D52" s="29"/>
      <c r="E52" s="29"/>
      <c r="F52" s="29"/>
      <c r="G52" s="36" t="s">
        <v>262</v>
      </c>
      <c r="H52" s="36" t="s">
        <v>4037</v>
      </c>
      <c r="I52" s="639"/>
      <c r="J52" s="635" t="str">
        <f>IF(ISBLANK(HLOOKUP(CaseName,CaseData,MATCH($G52,cases!$G$3:$G$2464,0),FALSE)),"",HLOOKUP(CaseName,CaseData,MATCH($G52,cases!$G$3:$G$2464,0),FALSE))</f>
        <v/>
      </c>
      <c r="K52" s="352">
        <f>L57*(1-FRAC.w1C.w1R)/L7</f>
        <v>7.2644250726442513E-8</v>
      </c>
      <c r="L52" s="636">
        <f t="shared" si="1"/>
        <v>7.2644250726442513E-8</v>
      </c>
      <c r="M52" s="29" t="s">
        <v>1488</v>
      </c>
      <c r="N52" s="29"/>
      <c r="O52" s="36"/>
    </row>
    <row r="53" spans="1:15" ht="12.75" customHeight="1" x14ac:dyDescent="0.3">
      <c r="A53" s="36"/>
      <c r="B53" s="36" t="s">
        <v>336</v>
      </c>
      <c r="C53" s="29"/>
      <c r="D53" s="29"/>
      <c r="E53" s="95"/>
      <c r="F53" s="95"/>
      <c r="G53" s="94" t="s">
        <v>333</v>
      </c>
      <c r="H53" s="36" t="s">
        <v>4038</v>
      </c>
      <c r="I53" s="637"/>
      <c r="J53" s="635" t="str">
        <f>IF(ISBLANK(HLOOKUP(CaseName,CaseData,MATCH($G53,cases!$G$3:$G$2464,0),FALSE)),"",HLOOKUP(CaseName,CaseData,MATCH($G53,cases!$G$3:$G$2464,0),FALSE))</f>
        <v/>
      </c>
      <c r="K53" s="352">
        <f>0.1*L57</f>
        <v>2089.1164383561645</v>
      </c>
      <c r="L53" s="636">
        <f>IF(ISBLANK(I53),IF(ISNUMBER(J53)=FALSE,K53,J53),I53)</f>
        <v>2089.1164383561645</v>
      </c>
      <c r="M53" s="29" t="s">
        <v>4039</v>
      </c>
      <c r="N53" s="29"/>
      <c r="O53" s="36"/>
    </row>
    <row r="54" spans="1:15" ht="12.75" customHeight="1" x14ac:dyDescent="0.3">
      <c r="A54" s="36"/>
      <c r="B54" s="36" t="s">
        <v>337</v>
      </c>
      <c r="C54" s="29"/>
      <c r="D54" s="29"/>
      <c r="E54" s="95"/>
      <c r="F54" s="95"/>
      <c r="G54" s="94" t="s">
        <v>334</v>
      </c>
      <c r="H54" s="36" t="s">
        <v>4038</v>
      </c>
      <c r="I54" s="637"/>
      <c r="J54" s="635" t="str">
        <f>IF(ISBLANK(HLOOKUP(CaseName,CaseData,MATCH($G54,cases!$G$3:$G$2464,0),FALSE)),"",HLOOKUP(CaseName,CaseData,MATCH($G54,cases!$G$3:$G$2464,0),FALSE))</f>
        <v/>
      </c>
      <c r="K54" s="352">
        <v>0</v>
      </c>
      <c r="L54" s="636">
        <f>IF(ISBLANK(I54),IF(ISNUMBER(J54)=FALSE,K54,J54),I54)</f>
        <v>0</v>
      </c>
      <c r="M54" s="29" t="s">
        <v>4039</v>
      </c>
      <c r="N54" s="29"/>
      <c r="O54" s="36"/>
    </row>
    <row r="55" spans="1:15" ht="12.75" customHeight="1" x14ac:dyDescent="0.3">
      <c r="A55" s="36"/>
      <c r="B55" s="36" t="s">
        <v>338</v>
      </c>
      <c r="C55" s="29"/>
      <c r="D55" s="29"/>
      <c r="E55" s="95"/>
      <c r="F55" s="95"/>
      <c r="G55" s="94" t="s">
        <v>335</v>
      </c>
      <c r="H55" s="36" t="s">
        <v>4038</v>
      </c>
      <c r="I55" s="637"/>
      <c r="J55" s="635" t="str">
        <f>IF(ISBLANK(HLOOKUP(CaseName,CaseData,MATCH($G55,cases!$G$3:$G$2464,0),FALSE)),"",HLOOKUP(CaseName,CaseData,MATCH($G55,cases!$G$3:$G$2464,0),FALSE))</f>
        <v/>
      </c>
      <c r="K55" s="352">
        <v>0</v>
      </c>
      <c r="L55" s="636">
        <f>IF(ISBLANK(I55),IF(ISNUMBER(J55)=FALSE,K55,J55),I55)</f>
        <v>0</v>
      </c>
      <c r="M55" s="29" t="s">
        <v>4039</v>
      </c>
      <c r="N55" s="29"/>
      <c r="O55" s="36"/>
    </row>
    <row r="56" spans="1:15" ht="12.75" customHeight="1" x14ac:dyDescent="0.3">
      <c r="A56" s="36"/>
      <c r="B56" s="36" t="s">
        <v>1425</v>
      </c>
      <c r="C56" s="29"/>
      <c r="D56" s="29"/>
      <c r="E56" s="95"/>
      <c r="F56" s="95"/>
      <c r="G56" s="94" t="s">
        <v>1</v>
      </c>
      <c r="H56" s="29" t="s">
        <v>4038</v>
      </c>
      <c r="I56" s="638"/>
      <c r="J56" s="635" t="str">
        <f>IF(ISBLANK(HLOOKUP(CaseName,CaseData,MATCH($G56,cases!$G$3:$G$2464,0),FALSE)),"",HLOOKUP(CaseName,CaseData,MATCH($G56,cases!$G$3:$G$2464,0),FALSE))</f>
        <v/>
      </c>
      <c r="K56" s="352">
        <f>((AREAFRAC.w1C+AREAFRAC.s1C*FRACrun.s1C+AREAFRAC.s2C*FRACrun.s2C+AREAFRAC.s3C*FRACrun.s3C)*RAINrate.C*SYSTEMAREA.C+WATERflow.w0C.w1C)*FRAC.w1C.w1R</f>
        <v>0</v>
      </c>
      <c r="L56" s="636">
        <f t="shared" si="1"/>
        <v>0</v>
      </c>
      <c r="M56" s="29" t="s">
        <v>4039</v>
      </c>
      <c r="N56" s="29"/>
      <c r="O56" s="36"/>
    </row>
    <row r="57" spans="1:15" ht="12.75" customHeight="1" x14ac:dyDescent="0.3">
      <c r="A57" s="36"/>
      <c r="B57" s="36" t="s">
        <v>1426</v>
      </c>
      <c r="C57" s="29"/>
      <c r="D57" s="29"/>
      <c r="E57" s="95"/>
      <c r="F57" s="95"/>
      <c r="G57" s="94" t="s">
        <v>788</v>
      </c>
      <c r="H57" s="29" t="s">
        <v>4038</v>
      </c>
      <c r="I57" s="638"/>
      <c r="J57" s="635" t="str">
        <f>IF(ISBLANK(HLOOKUP(CaseName,CaseData,MATCH($G57,cases!$G$3:$G$2464,0),FALSE)),"",HLOOKUP(CaseName,CaseData,MATCH($G57,cases!$G$3:$G$2464,0),FALSE))</f>
        <v/>
      </c>
      <c r="K57" s="352">
        <f>((L16+L17*L184+L18*L185+L19*L186)*RAINrate.C*L14)*(1-FRAC.w1C.w1R)</f>
        <v>20891.164383561645</v>
      </c>
      <c r="L57" s="636">
        <f t="shared" si="1"/>
        <v>20891.164383561645</v>
      </c>
      <c r="M57" s="29" t="s">
        <v>4039</v>
      </c>
      <c r="N57" s="29"/>
      <c r="O57" s="36"/>
    </row>
    <row r="58" spans="1:15" ht="12.75" customHeight="1" x14ac:dyDescent="0.3">
      <c r="A58" s="36" t="s">
        <v>87</v>
      </c>
      <c r="B58" s="29"/>
      <c r="C58" s="29"/>
      <c r="D58" s="29"/>
      <c r="E58" s="29"/>
      <c r="F58" s="29"/>
      <c r="G58" s="36" t="s">
        <v>263</v>
      </c>
      <c r="H58" s="36" t="s">
        <v>4037</v>
      </c>
      <c r="I58" s="639"/>
      <c r="J58" s="635" t="str">
        <f>IF(ISBLANK(HLOOKUP(CaseName,CaseData,MATCH($G58,cases!$G$3:$G$2464,0),FALSE)),"",HLOOKUP(CaseName,CaseData,MATCH($G58,cases!$G$3:$G$2464,0),FALSE))</f>
        <v/>
      </c>
      <c r="K58" s="352">
        <f>L60/L8</f>
        <v>1.660022737657995E-11</v>
      </c>
      <c r="L58" s="636">
        <f t="shared" si="1"/>
        <v>1.660022737657995E-11</v>
      </c>
      <c r="M58" s="29" t="s">
        <v>1488</v>
      </c>
      <c r="N58" s="29"/>
      <c r="O58" s="36"/>
    </row>
    <row r="59" spans="1:15" ht="12.75" customHeight="1" x14ac:dyDescent="0.3">
      <c r="A59" s="36" t="s">
        <v>88</v>
      </c>
      <c r="B59" s="29"/>
      <c r="C59" s="29"/>
      <c r="D59" s="29"/>
      <c r="E59" s="29"/>
      <c r="F59" s="29"/>
      <c r="G59" s="36" t="s">
        <v>1256</v>
      </c>
      <c r="H59" s="36" t="s">
        <v>4037</v>
      </c>
      <c r="I59" s="639"/>
      <c r="J59" s="635" t="str">
        <f>IF(ISBLANK(HLOOKUP(CaseName,CaseData,MATCH($G59,cases!$G$3:$G$2464,0),FALSE)),"",HLOOKUP(CaseName,CaseData,MATCH($G59,cases!$G$3:$G$2464,0),FALSE))</f>
        <v/>
      </c>
      <c r="K59" s="641">
        <f>L61/L8</f>
        <v>3.1691347286679496E-8</v>
      </c>
      <c r="L59" s="636">
        <f t="shared" si="1"/>
        <v>3.1691347286679496E-8</v>
      </c>
      <c r="M59" s="29" t="s">
        <v>1488</v>
      </c>
      <c r="N59" s="29"/>
      <c r="O59" s="36"/>
    </row>
    <row r="60" spans="1:15" ht="12.75" customHeight="1" x14ac:dyDescent="0.3">
      <c r="A60" s="36"/>
      <c r="B60" s="36" t="s">
        <v>1428</v>
      </c>
      <c r="C60" s="29"/>
      <c r="D60" s="29"/>
      <c r="E60" s="29"/>
      <c r="F60" s="29"/>
      <c r="G60" s="94" t="s">
        <v>2</v>
      </c>
      <c r="H60" s="29" t="s">
        <v>4038</v>
      </c>
      <c r="I60" s="638"/>
      <c r="J60" s="635" t="str">
        <f>IF(ISBLANK(HLOOKUP(CaseName,CaseData,MATCH($G60,cases!$G$3:$G$2464,0),FALSE)),"",HLOOKUP(CaseName,CaseData,MATCH($G60,cases!$G$3:$G$2464,0),FALSE))</f>
        <v/>
      </c>
      <c r="K60" s="641">
        <f>(10-1)*WATERflow.w1R.w2R</f>
        <v>12328.69006849315</v>
      </c>
      <c r="L60" s="636">
        <f t="shared" si="1"/>
        <v>12328.69006849315</v>
      </c>
      <c r="M60" s="29" t="s">
        <v>4039</v>
      </c>
      <c r="N60" s="29"/>
      <c r="O60" s="36"/>
    </row>
    <row r="61" spans="1:15" ht="12.75" customHeight="1" x14ac:dyDescent="0.3">
      <c r="A61" s="36"/>
      <c r="B61" s="36" t="s">
        <v>1429</v>
      </c>
      <c r="C61" s="29"/>
      <c r="D61" s="29"/>
      <c r="E61" s="95"/>
      <c r="F61" s="95"/>
      <c r="G61" s="94" t="s">
        <v>151</v>
      </c>
      <c r="H61" s="29" t="s">
        <v>4038</v>
      </c>
      <c r="I61" s="638"/>
      <c r="J61" s="635" t="str">
        <f>IF(ISBLANK(HLOOKUP(CaseName,CaseData,MATCH($G61,cases!$G$3:$G$2464,0),FALSE)),"",HLOOKUP(CaseName,CaseData,MATCH($G61,cases!$G$3:$G$2464,0),FALSE))</f>
        <v/>
      </c>
      <c r="K61" s="641">
        <f>(L8/L62)-WATERflow.w2R.w2C</f>
        <v>23536593.185565703</v>
      </c>
      <c r="L61" s="636">
        <f t="shared" si="1"/>
        <v>23536593.185565703</v>
      </c>
      <c r="M61" s="29" t="s">
        <v>4039</v>
      </c>
      <c r="N61" s="29"/>
      <c r="O61" s="36"/>
    </row>
    <row r="62" spans="1:15" ht="12.75" customHeight="1" x14ac:dyDescent="0.3">
      <c r="A62" s="36"/>
      <c r="B62" s="36"/>
      <c r="C62" s="36" t="s">
        <v>1427</v>
      </c>
      <c r="D62" s="29"/>
      <c r="E62" s="29"/>
      <c r="F62" s="29"/>
      <c r="G62" s="37" t="s">
        <v>6</v>
      </c>
      <c r="H62" s="36" t="s">
        <v>723</v>
      </c>
      <c r="I62" s="634"/>
      <c r="J62" s="635" t="str">
        <f>IF(ISBLANK(HLOOKUP(CaseName,CaseData,MATCH($G62,cases!$G$3:$G$2464,0),FALSE)),"",HLOOKUP(CaseName,CaseData,MATCH($G62,cases!$G$3:$G$2464,0),FALSE))</f>
        <v/>
      </c>
      <c r="K62" s="352">
        <v>365</v>
      </c>
      <c r="L62" s="636">
        <f>IF(ISBLANK(I62),IF(ISNUMBER(J62)=FALSE,K62*(3600*24),J62*(3600*24)),I62*(3600*24))</f>
        <v>31536000</v>
      </c>
      <c r="M62" s="36" t="s">
        <v>115</v>
      </c>
      <c r="N62" s="29"/>
      <c r="O62" s="36"/>
    </row>
    <row r="63" spans="1:15" ht="12.75" customHeight="1" x14ac:dyDescent="0.3">
      <c r="A63" s="29"/>
      <c r="B63" s="29"/>
      <c r="C63" s="29"/>
      <c r="D63" s="29"/>
      <c r="E63" s="29"/>
      <c r="F63" s="29"/>
      <c r="G63" s="29"/>
      <c r="H63" s="29"/>
      <c r="I63" s="635"/>
      <c r="J63" s="353"/>
      <c r="K63" s="353"/>
      <c r="L63" s="353"/>
      <c r="M63" s="29"/>
      <c r="N63" s="29"/>
      <c r="O63" s="36"/>
    </row>
    <row r="64" spans="1:15" ht="12.75" customHeight="1" x14ac:dyDescent="0.3">
      <c r="A64" s="98" t="s">
        <v>209</v>
      </c>
      <c r="B64" s="97"/>
      <c r="C64" s="97"/>
      <c r="D64" s="97"/>
      <c r="E64" s="97"/>
      <c r="F64" s="97"/>
      <c r="G64" s="98" t="s">
        <v>1008</v>
      </c>
      <c r="H64" s="98" t="s">
        <v>968</v>
      </c>
      <c r="I64" s="364" t="s">
        <v>754</v>
      </c>
      <c r="J64" s="340" t="s">
        <v>37</v>
      </c>
      <c r="K64" s="340" t="s">
        <v>753</v>
      </c>
      <c r="L64" s="340" t="s">
        <v>1358</v>
      </c>
      <c r="M64" s="97"/>
      <c r="N64" s="98" t="s">
        <v>1371</v>
      </c>
      <c r="O64" s="36"/>
    </row>
    <row r="65" spans="1:15" ht="12.75" customHeight="1" x14ac:dyDescent="0.3">
      <c r="A65" s="135"/>
      <c r="B65" s="631"/>
      <c r="C65" s="632"/>
      <c r="D65" s="632"/>
      <c r="E65" s="135"/>
      <c r="F65" s="135"/>
      <c r="G65" s="135"/>
      <c r="H65" s="632"/>
      <c r="I65" s="635"/>
      <c r="J65" s="353"/>
      <c r="K65" s="353"/>
      <c r="L65" s="353"/>
      <c r="M65" s="29"/>
      <c r="N65" s="29"/>
      <c r="O65" s="36"/>
    </row>
    <row r="66" spans="1:15" ht="12.75" customHeight="1" x14ac:dyDescent="0.3">
      <c r="A66" s="5"/>
      <c r="B66" s="36" t="s">
        <v>623</v>
      </c>
      <c r="C66" s="36"/>
      <c r="D66" s="36"/>
      <c r="E66" s="36"/>
      <c r="F66" s="36"/>
      <c r="G66" s="36" t="s">
        <v>3986</v>
      </c>
      <c r="H66" s="36" t="s">
        <v>36</v>
      </c>
      <c r="I66" s="638"/>
      <c r="J66" s="635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0.97607289323959479</v>
      </c>
      <c r="L66" s="636">
        <f t="shared" ref="L66:L110" si="2">IF(ISBLANK(I66),IF(ISNUMBER(J66)=FALSE,K66,J66),I66)</f>
        <v>0.97607289323959479</v>
      </c>
      <c r="M66" s="20" t="s">
        <v>486</v>
      </c>
      <c r="N66" s="36"/>
      <c r="O66" s="36"/>
    </row>
    <row r="67" spans="1:15" ht="12.75" customHeight="1" x14ac:dyDescent="0.3">
      <c r="A67" s="29"/>
      <c r="B67" s="29" t="s">
        <v>615</v>
      </c>
      <c r="C67" s="29"/>
      <c r="D67" s="29"/>
      <c r="E67" s="29"/>
      <c r="F67" s="29"/>
      <c r="G67" s="29" t="s">
        <v>624</v>
      </c>
      <c r="H67" s="29" t="s">
        <v>36</v>
      </c>
      <c r="I67" s="519"/>
      <c r="J67" s="635" t="str">
        <f>IF(ISBLANK(HLOOKUP(CaseName,CaseData,MATCH($G67,cases!$G$3:$G$2464,0),FALSE)),"",HLOOKUP(CaseName,CaseData,MATCH($G67,cases!$G$3:$G$2464,0),FALSE))</f>
        <v/>
      </c>
      <c r="K67" s="426">
        <f>L31*L70/(1+L31*L70+L30*L71)</f>
        <v>3.9711135849005027E-4</v>
      </c>
      <c r="L67" s="636">
        <f t="shared" si="2"/>
        <v>3.9711135849005027E-4</v>
      </c>
      <c r="M67" s="36" t="s">
        <v>486</v>
      </c>
      <c r="N67" s="29" t="s">
        <v>2185</v>
      </c>
      <c r="O67" s="36"/>
    </row>
    <row r="68" spans="1:15" ht="12.75" customHeight="1" x14ac:dyDescent="0.3">
      <c r="A68" s="29"/>
      <c r="B68" s="29" t="s">
        <v>616</v>
      </c>
      <c r="C68" s="29"/>
      <c r="D68" s="29"/>
      <c r="E68" s="29"/>
      <c r="F68" s="29"/>
      <c r="G68" s="29" t="s">
        <v>625</v>
      </c>
      <c r="H68" s="29" t="s">
        <v>36</v>
      </c>
      <c r="I68" s="638"/>
      <c r="J68" s="635" t="str">
        <f>IF(ISBLANK(HLOOKUP(CaseName,CaseData,MATCH($G68,cases!$G$3:$G$2464,0),FALSE)),"",HLOOKUP(CaseName,CaseData,MATCH($G68,cases!$G$3:$G$2464,0),FALSE))</f>
        <v/>
      </c>
      <c r="K68" s="426">
        <f>L30*L71/(1+L31*L70+L30*L71)</f>
        <v>2.3529995401915089E-2</v>
      </c>
      <c r="L68" s="636">
        <f t="shared" si="2"/>
        <v>2.3529995401915089E-2</v>
      </c>
      <c r="M68" s="36" t="s">
        <v>486</v>
      </c>
      <c r="N68" s="29" t="s">
        <v>2185</v>
      </c>
      <c r="O68" s="36"/>
    </row>
    <row r="69" spans="1:15" ht="12.75" customHeight="1" x14ac:dyDescent="0.3">
      <c r="A69" s="29"/>
      <c r="B69" s="29"/>
      <c r="C69" s="36" t="s">
        <v>1043</v>
      </c>
      <c r="D69" s="36"/>
      <c r="E69" s="36"/>
      <c r="F69" s="36"/>
      <c r="G69" s="36" t="s">
        <v>3987</v>
      </c>
      <c r="H69" s="36" t="s">
        <v>36</v>
      </c>
      <c r="I69" s="638"/>
      <c r="J69" s="635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4.9158665603902462E-8</v>
      </c>
      <c r="L69" s="636">
        <f t="shared" ref="L69:L71" si="3">IF(ISBLANK(I69),IF(ISNUMBER(J69)=FALSE,K69,J69),I69)</f>
        <v>4.9158665603902462E-8</v>
      </c>
      <c r="M69" s="36" t="s">
        <v>486</v>
      </c>
      <c r="N69" s="29"/>
      <c r="O69" s="36"/>
    </row>
    <row r="70" spans="1:15" ht="12.75" customHeight="1" x14ac:dyDescent="0.35">
      <c r="A70" s="29"/>
      <c r="B70" s="29"/>
      <c r="C70" s="29" t="s">
        <v>612</v>
      </c>
      <c r="D70" s="29"/>
      <c r="E70" s="29"/>
      <c r="F70" s="29"/>
      <c r="G70" s="29" t="s">
        <v>627</v>
      </c>
      <c r="H70" s="29" t="s">
        <v>4041</v>
      </c>
      <c r="I70" s="519"/>
      <c r="J70" s="635" t="str">
        <f>IF(ISBLANK(HLOOKUP(CaseName,CaseData,MATCH($G70,cases!$G$3:$G$2464,0),FALSE)),"",HLOOKUP(CaseName,CaseData,MATCH($G70,cases!$G$3:$G$2464,0),FALSE))</f>
        <v/>
      </c>
      <c r="K70" s="426">
        <f>1/(L69*FRorig.aerw)</f>
        <v>20342300.315913603</v>
      </c>
      <c r="L70" s="636">
        <f t="shared" si="3"/>
        <v>20342300.315913603</v>
      </c>
      <c r="M70" s="36" t="s">
        <v>486</v>
      </c>
      <c r="N70" s="29"/>
      <c r="O70" s="36"/>
    </row>
    <row r="71" spans="1:15" ht="12.75" customHeight="1" x14ac:dyDescent="0.35">
      <c r="A71" s="29"/>
      <c r="B71" s="29"/>
      <c r="C71" s="29" t="s">
        <v>613</v>
      </c>
      <c r="D71" s="29"/>
      <c r="E71" s="29"/>
      <c r="F71" s="29"/>
      <c r="G71" s="29" t="s">
        <v>628</v>
      </c>
      <c r="H71" s="29" t="s">
        <v>4042</v>
      </c>
      <c r="I71" s="519"/>
      <c r="J71" s="635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1205340070.6487617</v>
      </c>
      <c r="L71" s="636">
        <f t="shared" si="3"/>
        <v>1205340070.6487617</v>
      </c>
      <c r="M71" s="36" t="s">
        <v>486</v>
      </c>
      <c r="N71" s="29" t="s">
        <v>924</v>
      </c>
      <c r="O71" s="36"/>
    </row>
    <row r="72" spans="1:15" ht="12.75" customHeight="1" x14ac:dyDescent="0.3">
      <c r="A72" s="36"/>
      <c r="B72" s="36" t="s">
        <v>291</v>
      </c>
      <c r="C72" s="95"/>
      <c r="D72" s="29"/>
      <c r="E72" s="29"/>
      <c r="F72" s="29"/>
      <c r="G72" s="94" t="s">
        <v>342</v>
      </c>
      <c r="H72" s="36" t="s">
        <v>36</v>
      </c>
      <c r="I72" s="638"/>
      <c r="J72" s="635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0.99968498850414056</v>
      </c>
      <c r="L72" s="636">
        <f t="shared" si="2"/>
        <v>0.99968498850414056</v>
      </c>
      <c r="M72" s="36" t="s">
        <v>486</v>
      </c>
      <c r="N72" s="29"/>
      <c r="O72" s="36"/>
    </row>
    <row r="73" spans="1:15" ht="12.75" customHeight="1" x14ac:dyDescent="0.3">
      <c r="A73" s="36"/>
      <c r="B73" s="29"/>
      <c r="C73" s="36" t="s">
        <v>706</v>
      </c>
      <c r="D73" s="29"/>
      <c r="E73" s="29"/>
      <c r="F73" s="29"/>
      <c r="G73" s="94" t="s">
        <v>343</v>
      </c>
      <c r="H73" s="36" t="s">
        <v>4043</v>
      </c>
      <c r="I73" s="634"/>
      <c r="J73" s="635" t="str">
        <f>IF(ISBLANK(HLOOKUP(CaseName,CaseData,MATCH($G73,cases!$G$3:$G$2464,0),FALSE)),"",HLOOKUP(CaseName,CaseData,MATCH($G73,cases!$G$3:$G$2464,0),FALSE))</f>
        <v/>
      </c>
      <c r="K73" s="641">
        <f>(FRorig.w1*Ksw+(1-FRorig.w1)*Ksw.alt)*(1000/RHOsolid/CORG)*L74</f>
        <v>102.20032562438601</v>
      </c>
      <c r="L73" s="636">
        <f t="shared" si="2"/>
        <v>102.20032562438601</v>
      </c>
      <c r="M73" s="36" t="s">
        <v>1498</v>
      </c>
      <c r="N73" s="29"/>
      <c r="O73" s="36"/>
    </row>
    <row r="74" spans="1:15" ht="12.75" customHeight="1" x14ac:dyDescent="0.3">
      <c r="A74" s="36"/>
      <c r="B74" s="29"/>
      <c r="C74" s="36" t="s">
        <v>1098</v>
      </c>
      <c r="D74" s="29"/>
      <c r="E74" s="29"/>
      <c r="F74" s="29"/>
      <c r="G74" s="94" t="s">
        <v>344</v>
      </c>
      <c r="H74" s="36" t="s">
        <v>36</v>
      </c>
      <c r="I74" s="634"/>
      <c r="J74" s="635" t="str">
        <f>IF(ISBLANK(HLOOKUP(CaseName,CaseData,MATCH($G74,cases!$G$3:$G$2464,0),FALSE)),"",HLOOKUP(CaseName,CaseData,MATCH($G74,cases!$G$3:$G$2464,0),FALSE))</f>
        <v/>
      </c>
      <c r="K74" s="641">
        <v>0.1</v>
      </c>
      <c r="L74" s="636">
        <f t="shared" si="2"/>
        <v>0.1</v>
      </c>
      <c r="M74" s="36" t="s">
        <v>486</v>
      </c>
      <c r="N74" s="29"/>
      <c r="O74" s="36"/>
    </row>
    <row r="75" spans="1:15" ht="12.75" customHeight="1" x14ac:dyDescent="0.3">
      <c r="A75" s="36"/>
      <c r="B75" s="29"/>
      <c r="C75" s="36" t="s">
        <v>707</v>
      </c>
      <c r="D75" s="29"/>
      <c r="E75" s="29"/>
      <c r="F75" s="29"/>
      <c r="G75" s="94" t="s">
        <v>345</v>
      </c>
      <c r="H75" s="36" t="s">
        <v>4044</v>
      </c>
      <c r="I75" s="634"/>
      <c r="J75" s="635" t="str">
        <f>IF(ISBLANK(HLOOKUP(CaseName,CaseData,MATCH($G75,cases!$G$3:$G$2464,0),FALSE)),"",HLOOKUP(CaseName,CaseData,MATCH($G75,cases!$G$3:$G$2464,0),FALSE))</f>
        <v/>
      </c>
      <c r="K75" s="641">
        <v>0.5</v>
      </c>
      <c r="L75" s="636">
        <f>IF(ISBLANK(I75),IF(ISNUMBER(J75)=FALSE,K75/1000,J75/1000),I75/1000)</f>
        <v>5.0000000000000001E-4</v>
      </c>
      <c r="M75" s="36" t="s">
        <v>1497</v>
      </c>
      <c r="N75" s="29"/>
      <c r="O75" s="36"/>
    </row>
    <row r="76" spans="1:15" ht="12.75" customHeight="1" x14ac:dyDescent="0.3">
      <c r="A76" s="36"/>
      <c r="B76" s="29"/>
      <c r="C76" s="36" t="s">
        <v>549</v>
      </c>
      <c r="D76" s="29"/>
      <c r="E76" s="29"/>
      <c r="F76" s="29"/>
      <c r="G76" s="94" t="s">
        <v>346</v>
      </c>
      <c r="H76" s="36" t="s">
        <v>1039</v>
      </c>
      <c r="I76" s="634"/>
      <c r="J76" s="635" t="str">
        <f>IF(ISBLANK(HLOOKUP(CaseName,CaseData,MATCH($G76,cases!$G$3:$G$2464,0),FALSE)),"",HLOOKUP(CaseName,CaseData,MATCH($G76,cases!$G$3:$G$2464,0),FALSE))</f>
        <v/>
      </c>
      <c r="K76" s="641">
        <f>0.08*D</f>
        <v>264.01059655875667</v>
      </c>
      <c r="L76" s="636">
        <f>IF(ISBLANK(I76),IF(ISNUMBER(J76)=FALSE,K76,J76),I76)</f>
        <v>264.01059655875667</v>
      </c>
      <c r="M76" s="36" t="s">
        <v>1498</v>
      </c>
      <c r="N76" s="29"/>
      <c r="O76" s="36"/>
    </row>
    <row r="77" spans="1:15" ht="12.75" customHeight="1" x14ac:dyDescent="0.3">
      <c r="A77" s="36"/>
      <c r="B77" s="29"/>
      <c r="C77" s="36" t="s">
        <v>551</v>
      </c>
      <c r="D77" s="29"/>
      <c r="E77" s="29"/>
      <c r="F77" s="29"/>
      <c r="G77" s="94" t="s">
        <v>347</v>
      </c>
      <c r="H77" s="36" t="s">
        <v>1038</v>
      </c>
      <c r="I77" s="634"/>
      <c r="J77" s="635" t="str">
        <f>IF(ISBLANK(HLOOKUP(CaseName,CaseData,MATCH($G77,cases!$G$3:$G$2464,0),FALSE)),"",HLOOKUP(CaseName,CaseData,MATCH($G77,cases!$G$3:$G$2464,0),FALSE))</f>
        <v/>
      </c>
      <c r="K77" s="641">
        <v>1</v>
      </c>
      <c r="L77" s="636">
        <f>IF(ISBLANK(I77),IF(ISNUMBER(J77)=FALSE,K77/1000,J77/1000),I77/1000)</f>
        <v>1E-3</v>
      </c>
      <c r="M77" s="36" t="s">
        <v>1497</v>
      </c>
      <c r="N77" s="29"/>
      <c r="O77" s="36"/>
    </row>
    <row r="78" spans="1:15" ht="12.75" customHeight="1" x14ac:dyDescent="0.3">
      <c r="A78" s="36"/>
      <c r="B78" s="36" t="s">
        <v>3973</v>
      </c>
      <c r="C78" s="95"/>
      <c r="D78" s="29"/>
      <c r="E78" s="29"/>
      <c r="F78" s="29"/>
      <c r="G78" s="94" t="s">
        <v>572</v>
      </c>
      <c r="H78" s="36" t="s">
        <v>36</v>
      </c>
      <c r="I78" s="638"/>
      <c r="J78" s="635" t="str">
        <f>IF(ISBLANK(HLOOKUP(CaseName,CaseData,MATCH($G78,cases!$G$3:$G$2464,0),FALSE)),"",HLOOKUP(CaseName,CaseData,MATCH($G78,cases!$G$3:$G$2464,0),FALSE))</f>
        <v/>
      </c>
      <c r="K78" s="641">
        <f>1/(1+L79*L81/1000+L82*L83/1000)</f>
        <v>0.99820620799108495</v>
      </c>
      <c r="L78" s="646">
        <f t="shared" si="2"/>
        <v>0.99820620799108495</v>
      </c>
      <c r="M78" s="36" t="s">
        <v>486</v>
      </c>
      <c r="N78" s="29"/>
      <c r="O78" s="36"/>
    </row>
    <row r="79" spans="1:15" ht="12.75" customHeight="1" x14ac:dyDescent="0.3">
      <c r="A79" s="36"/>
      <c r="B79" s="29"/>
      <c r="C79" s="36" t="s">
        <v>706</v>
      </c>
      <c r="D79" s="29"/>
      <c r="E79" s="29"/>
      <c r="F79" s="29"/>
      <c r="G79" s="94" t="s">
        <v>181</v>
      </c>
      <c r="H79" s="36" t="s">
        <v>1039</v>
      </c>
      <c r="I79" s="638"/>
      <c r="J79" s="635" t="str">
        <f>IF(ISBLANK(HLOOKUP(CaseName,CaseData,MATCH($G79,cases!$G$3:$G$2464,0),FALSE)),"",HLOOKUP(CaseName,CaseData,MATCH($G79,cases!$G$3:$G$2464,0),FALSE))</f>
        <v/>
      </c>
      <c r="K79" s="641">
        <f>(FRorig.w1*Ksw+(1-FRorig.w1)*Ksw.alt)*(1000/RHOsolid/CORG)*L80</f>
        <v>102.20032562438601</v>
      </c>
      <c r="L79" s="636">
        <f t="shared" si="2"/>
        <v>102.20032562438601</v>
      </c>
      <c r="M79" s="36" t="s">
        <v>1498</v>
      </c>
      <c r="N79" s="29"/>
      <c r="O79" s="36"/>
    </row>
    <row r="80" spans="1:15" ht="12.75" customHeight="1" x14ac:dyDescent="0.3">
      <c r="A80" s="36"/>
      <c r="B80" s="29"/>
      <c r="C80" s="36" t="s">
        <v>1098</v>
      </c>
      <c r="D80" s="29"/>
      <c r="E80" s="29"/>
      <c r="F80" s="29"/>
      <c r="G80" s="94" t="s">
        <v>1454</v>
      </c>
      <c r="H80" s="36" t="s">
        <v>36</v>
      </c>
      <c r="I80" s="638"/>
      <c r="J80" s="635" t="str">
        <f>IF(ISBLANK(HLOOKUP(CaseName,CaseData,MATCH($G80,cases!$G$3:$G$2464,0),FALSE)),"",HLOOKUP(CaseName,CaseData,MATCH($G80,cases!$G$3:$G$2464,0),FALSE))</f>
        <v/>
      </c>
      <c r="K80" s="641">
        <v>0.1</v>
      </c>
      <c r="L80" s="636">
        <f t="shared" si="2"/>
        <v>0.1</v>
      </c>
      <c r="M80" s="36" t="s">
        <v>486</v>
      </c>
      <c r="N80" s="29"/>
      <c r="O80" s="36"/>
    </row>
    <row r="81" spans="1:15" ht="12.75" customHeight="1" x14ac:dyDescent="0.3">
      <c r="A81" s="36"/>
      <c r="B81" s="29"/>
      <c r="C81" s="36" t="s">
        <v>707</v>
      </c>
      <c r="D81" s="29"/>
      <c r="E81" s="29"/>
      <c r="F81" s="29"/>
      <c r="G81" s="94" t="s">
        <v>1109</v>
      </c>
      <c r="H81" s="36" t="s">
        <v>1038</v>
      </c>
      <c r="I81" s="638"/>
      <c r="J81" s="635" t="str">
        <f>IF(ISBLANK(HLOOKUP(CaseName,CaseData,MATCH($G81,cases!$G$3:$G$2464,0),FALSE)),"",HLOOKUP(CaseName,CaseData,MATCH($G81,cases!$G$3:$G$2464,0),FALSE))</f>
        <v/>
      </c>
      <c r="K81" s="641">
        <v>15</v>
      </c>
      <c r="L81" s="636">
        <f>IF(ISBLANK(I81),IF(ISNUMBER(J81)=FALSE,K81/1000,J81/1000),I81/1000)</f>
        <v>1.4999999999999999E-2</v>
      </c>
      <c r="M81" s="36" t="s">
        <v>1497</v>
      </c>
      <c r="N81" s="29"/>
      <c r="O81" s="36"/>
    </row>
    <row r="82" spans="1:15" ht="12.75" customHeight="1" x14ac:dyDescent="0.3">
      <c r="A82" s="36"/>
      <c r="B82" s="29"/>
      <c r="C82" s="36" t="s">
        <v>549</v>
      </c>
      <c r="D82" s="29"/>
      <c r="E82" s="29"/>
      <c r="F82" s="29"/>
      <c r="G82" s="94" t="s">
        <v>555</v>
      </c>
      <c r="H82" s="36" t="s">
        <v>1039</v>
      </c>
      <c r="I82" s="634"/>
      <c r="J82" s="635" t="str">
        <f>IF(ISBLANK(HLOOKUP(CaseName,CaseData,MATCH($G82,cases!$G$3:$G$2464,0),FALSE)),"",HLOOKUP(CaseName,CaseData,MATCH($G82,cases!$G$3:$G$2464,0),FALSE))</f>
        <v/>
      </c>
      <c r="K82" s="641">
        <f>0.08*D</f>
        <v>264.01059655875667</v>
      </c>
      <c r="L82" s="636">
        <f t="shared" si="2"/>
        <v>264.01059655875667</v>
      </c>
      <c r="M82" s="36" t="s">
        <v>1498</v>
      </c>
      <c r="N82" s="29"/>
      <c r="O82" s="36"/>
    </row>
    <row r="83" spans="1:15" ht="12.75" customHeight="1" x14ac:dyDescent="0.3">
      <c r="A83" s="36"/>
      <c r="B83" s="29"/>
      <c r="C83" s="36" t="s">
        <v>551</v>
      </c>
      <c r="D83" s="29"/>
      <c r="E83" s="29"/>
      <c r="F83" s="29"/>
      <c r="G83" s="94" t="s">
        <v>556</v>
      </c>
      <c r="H83" s="36" t="s">
        <v>1038</v>
      </c>
      <c r="I83" s="634"/>
      <c r="J83" s="635" t="str">
        <f>IF(ISBLANK(HLOOKUP(CaseName,CaseData,MATCH($G83,cases!$G$3:$G$2464,0),FALSE)),"",HLOOKUP(CaseName,CaseData,MATCH($G83,cases!$G$3:$G$2464,0),FALSE))</f>
        <v/>
      </c>
      <c r="K83" s="641">
        <v>1</v>
      </c>
      <c r="L83" s="636">
        <f>IF(ISBLANK(I83),IF(ISNUMBER(J83)=FALSE,K83/1000,J83/1000),I83/1000)</f>
        <v>1E-3</v>
      </c>
      <c r="M83" s="36" t="s">
        <v>1497</v>
      </c>
      <c r="N83" s="29"/>
      <c r="O83" s="36"/>
    </row>
    <row r="84" spans="1:15" ht="12.75" customHeight="1" x14ac:dyDescent="0.3">
      <c r="A84" s="36"/>
      <c r="B84" s="36" t="s">
        <v>3974</v>
      </c>
      <c r="C84" s="95"/>
      <c r="D84" s="29"/>
      <c r="E84" s="29"/>
      <c r="F84" s="29"/>
      <c r="G84" s="94" t="s">
        <v>573</v>
      </c>
      <c r="H84" s="36" t="s">
        <v>36</v>
      </c>
      <c r="I84" s="638"/>
      <c r="J84" s="635" t="str">
        <f>IF(ISBLANK(HLOOKUP(CaseName,CaseData,MATCH($G84,cases!$G$3:$G$2464,0),FALSE)),"",HLOOKUP(CaseName,CaseData,MATCH($G84,cases!$G$3:$G$2464,0),FALSE))</f>
        <v/>
      </c>
      <c r="K84" s="641">
        <f>1/(1+L85*L87/1000+L88*L89/1000)</f>
        <v>0.99923939228777903</v>
      </c>
      <c r="L84" s="636">
        <f t="shared" si="2"/>
        <v>0.99923939228777903</v>
      </c>
      <c r="M84" s="36" t="s">
        <v>486</v>
      </c>
      <c r="N84" s="29"/>
      <c r="O84" s="36"/>
    </row>
    <row r="85" spans="1:15" ht="12.75" customHeight="1" x14ac:dyDescent="0.3">
      <c r="A85" s="36"/>
      <c r="B85" s="29"/>
      <c r="C85" s="36" t="s">
        <v>706</v>
      </c>
      <c r="D85" s="29"/>
      <c r="E85" s="29"/>
      <c r="F85" s="29"/>
      <c r="G85" s="94" t="s">
        <v>183</v>
      </c>
      <c r="H85" s="36" t="s">
        <v>1039</v>
      </c>
      <c r="I85" s="638"/>
      <c r="J85" s="635" t="str">
        <f>IF(ISBLANK(HLOOKUP(CaseName,CaseData,MATCH($G85,cases!$G$3:$G$2464,0),FALSE)),"",HLOOKUP(CaseName,CaseData,MATCH($G85,cases!$G$3:$G$2464,0),FALSE))</f>
        <v/>
      </c>
      <c r="K85" s="641">
        <f>(FRorig.w2*Ksw+(1-FRorig.w2)*Ksw.alt)*(1000/RHOsolid/CORG)*L86</f>
        <v>99.435216023782488</v>
      </c>
      <c r="L85" s="636">
        <f t="shared" si="2"/>
        <v>99.435216023782488</v>
      </c>
      <c r="M85" s="36" t="s">
        <v>1498</v>
      </c>
      <c r="N85" s="29"/>
      <c r="O85" s="36"/>
    </row>
    <row r="86" spans="1:15" ht="12.75" customHeight="1" x14ac:dyDescent="0.3">
      <c r="A86" s="36"/>
      <c r="B86" s="29"/>
      <c r="C86" s="36" t="s">
        <v>1098</v>
      </c>
      <c r="D86" s="29"/>
      <c r="E86" s="29"/>
      <c r="F86" s="29"/>
      <c r="G86" s="94" t="s">
        <v>1455</v>
      </c>
      <c r="H86" s="36" t="s">
        <v>36</v>
      </c>
      <c r="I86" s="638"/>
      <c r="J86" s="635" t="str">
        <f>IF(ISBLANK(HLOOKUP(CaseName,CaseData,MATCH($G86,cases!$G$3:$G$2464,0),FALSE)),"",HLOOKUP(CaseName,CaseData,MATCH($G86,cases!$G$3:$G$2464,0),FALSE))</f>
        <v/>
      </c>
      <c r="K86" s="641">
        <v>0.1</v>
      </c>
      <c r="L86" s="636">
        <f t="shared" si="2"/>
        <v>0.1</v>
      </c>
      <c r="M86" s="36" t="s">
        <v>486</v>
      </c>
      <c r="N86" s="29"/>
      <c r="O86" s="36"/>
    </row>
    <row r="87" spans="1:15" ht="12.75" customHeight="1" x14ac:dyDescent="0.3">
      <c r="A87" s="36"/>
      <c r="B87" s="29"/>
      <c r="C87" s="36" t="s">
        <v>1504</v>
      </c>
      <c r="D87" s="29"/>
      <c r="E87" s="29"/>
      <c r="F87" s="29"/>
      <c r="G87" s="94" t="s">
        <v>1110</v>
      </c>
      <c r="H87" s="36" t="s">
        <v>1038</v>
      </c>
      <c r="I87" s="638"/>
      <c r="J87" s="635" t="str">
        <f>IF(ISBLANK(HLOOKUP(CaseName,CaseData,MATCH($G87,cases!$G$3:$G$2464,0),FALSE)),"",HLOOKUP(CaseName,CaseData,MATCH($G87,cases!$G$3:$G$2464,0),FALSE))</f>
        <v/>
      </c>
      <c r="K87" s="641">
        <v>5</v>
      </c>
      <c r="L87" s="636">
        <f>IF(ISBLANK(I87),IF(ISNUMBER(J87)=FALSE,K87/1000,J87/1000),I87/1000)</f>
        <v>5.0000000000000001E-3</v>
      </c>
      <c r="M87" s="36" t="s">
        <v>1497</v>
      </c>
      <c r="N87" s="29"/>
      <c r="O87" s="36"/>
    </row>
    <row r="88" spans="1:15" ht="12.75" customHeight="1" x14ac:dyDescent="0.3">
      <c r="A88" s="36"/>
      <c r="B88" s="29"/>
      <c r="C88" s="36" t="s">
        <v>549</v>
      </c>
      <c r="D88" s="29"/>
      <c r="E88" s="29"/>
      <c r="F88" s="29"/>
      <c r="G88" s="94" t="s">
        <v>557</v>
      </c>
      <c r="H88" s="36" t="s">
        <v>1039</v>
      </c>
      <c r="I88" s="634"/>
      <c r="J88" s="635" t="str">
        <f>IF(ISBLANK(HLOOKUP(CaseName,CaseData,MATCH($G88,cases!$G$3:$G$2464,0),FALSE)),"",HLOOKUP(CaseName,CaseData,MATCH($G88,cases!$G$3:$G$2464,0),FALSE))</f>
        <v/>
      </c>
      <c r="K88" s="641">
        <f>0.08*D</f>
        <v>264.01059655875667</v>
      </c>
      <c r="L88" s="636">
        <f t="shared" si="2"/>
        <v>264.01059655875667</v>
      </c>
      <c r="M88" s="36" t="s">
        <v>1498</v>
      </c>
      <c r="N88" s="29"/>
      <c r="O88" s="36"/>
    </row>
    <row r="89" spans="1:15" ht="12.75" customHeight="1" x14ac:dyDescent="0.3">
      <c r="A89" s="36"/>
      <c r="B89" s="29"/>
      <c r="C89" s="36" t="s">
        <v>551</v>
      </c>
      <c r="D89" s="29"/>
      <c r="E89" s="29"/>
      <c r="F89" s="29"/>
      <c r="G89" s="94" t="s">
        <v>558</v>
      </c>
      <c r="H89" s="36" t="s">
        <v>1038</v>
      </c>
      <c r="I89" s="634"/>
      <c r="J89" s="635" t="str">
        <f>IF(ISBLANK(HLOOKUP(CaseName,CaseData,MATCH($G89,cases!$G$3:$G$2464,0),FALSE)),"",HLOOKUP(CaseName,CaseData,MATCH($G89,cases!$G$3:$G$2464,0),FALSE))</f>
        <v/>
      </c>
      <c r="K89" s="641">
        <v>1</v>
      </c>
      <c r="L89" s="636">
        <f>IF(ISBLANK(I89),IF(ISNUMBER(J89)=FALSE,K89/1000,J89/1000),I89/1000)</f>
        <v>1E-3</v>
      </c>
      <c r="M89" s="36" t="s">
        <v>1497</v>
      </c>
      <c r="N89" s="29"/>
      <c r="O89" s="36"/>
    </row>
    <row r="90" spans="1:15" ht="12.75" customHeight="1" x14ac:dyDescent="0.3">
      <c r="A90" s="36"/>
      <c r="B90" s="36" t="s">
        <v>732</v>
      </c>
      <c r="C90" s="95"/>
      <c r="D90" s="29"/>
      <c r="E90" s="29"/>
      <c r="F90" s="29"/>
      <c r="G90" s="94" t="s">
        <v>1111</v>
      </c>
      <c r="H90" s="36" t="s">
        <v>36</v>
      </c>
      <c r="I90" s="638"/>
      <c r="J90" s="635" t="str">
        <f>IF(ISBLANK(HLOOKUP(CaseName,CaseData,MATCH($G90,cases!$G$3:$G$2464,0),FALSE)),"",HLOOKUP(CaseName,CaseData,MATCH($G90,cases!$G$3:$G$2464,0),FALSE))</f>
        <v/>
      </c>
      <c r="K90" s="641">
        <f>L41+L42*L91*RHOsolid/1000</f>
        <v>26.409494856359572</v>
      </c>
      <c r="L90" s="636">
        <f t="shared" si="2"/>
        <v>26.409494856359572</v>
      </c>
      <c r="M90" s="36" t="s">
        <v>486</v>
      </c>
      <c r="N90" s="29"/>
      <c r="O90" s="36"/>
    </row>
    <row r="91" spans="1:15" ht="12.75" customHeight="1" x14ac:dyDescent="0.3">
      <c r="A91" s="36"/>
      <c r="B91" s="29"/>
      <c r="C91" s="36" t="s">
        <v>1433</v>
      </c>
      <c r="D91" s="29"/>
      <c r="E91" s="29"/>
      <c r="F91" s="29"/>
      <c r="G91" s="94" t="s">
        <v>172</v>
      </c>
      <c r="H91" s="36" t="s">
        <v>1039</v>
      </c>
      <c r="I91" s="638"/>
      <c r="J91" s="635" t="str">
        <f>IF(ISBLANK(HLOOKUP(CaseName,CaseData,MATCH($G91,cases!$G$3:$G$2464,0),FALSE)),"",HLOOKUP(CaseName,CaseData,MATCH($G91,cases!$G$3:$G$2464,0),FALSE))</f>
        <v/>
      </c>
      <c r="K91" s="641">
        <f>(FRorig.sd1*Ksw+(1-FRorig.sd1)*Ksw.alt)*(1000/RHOsolid/CORG)*L92</f>
        <v>51.21898971271915</v>
      </c>
      <c r="L91" s="636">
        <f t="shared" si="2"/>
        <v>51.21898971271915</v>
      </c>
      <c r="M91" s="36" t="s">
        <v>1498</v>
      </c>
      <c r="N91" s="29"/>
      <c r="O91" s="36"/>
    </row>
    <row r="92" spans="1:15" ht="12.75" customHeight="1" x14ac:dyDescent="0.3">
      <c r="A92" s="36"/>
      <c r="B92" s="29"/>
      <c r="C92" s="36" t="s">
        <v>1276</v>
      </c>
      <c r="D92" s="29"/>
      <c r="E92" s="29"/>
      <c r="F92" s="29"/>
      <c r="G92" s="94" t="s">
        <v>1298</v>
      </c>
      <c r="H92" s="36" t="s">
        <v>36</v>
      </c>
      <c r="I92" s="638"/>
      <c r="J92" s="635" t="str">
        <f>IF(ISBLANK(HLOOKUP(CaseName,CaseData,MATCH($G92,cases!$G$3:$G$2464,0),FALSE)),"",HLOOKUP(CaseName,CaseData,MATCH($G92,cases!$G$3:$G$2464,0),FALSE))</f>
        <v/>
      </c>
      <c r="K92" s="641">
        <v>0.05</v>
      </c>
      <c r="L92" s="636">
        <f t="shared" si="2"/>
        <v>0.05</v>
      </c>
      <c r="M92" s="29" t="s">
        <v>486</v>
      </c>
      <c r="N92" s="29"/>
      <c r="O92" s="36"/>
    </row>
    <row r="93" spans="1:15" ht="12.75" customHeight="1" x14ac:dyDescent="0.3">
      <c r="A93" s="36"/>
      <c r="B93" s="36" t="s">
        <v>1434</v>
      </c>
      <c r="C93" s="95"/>
      <c r="D93" s="29"/>
      <c r="E93" s="29"/>
      <c r="F93" s="29"/>
      <c r="G93" s="94" t="s">
        <v>1299</v>
      </c>
      <c r="H93" s="36" t="s">
        <v>36</v>
      </c>
      <c r="I93" s="638"/>
      <c r="J93" s="635" t="str">
        <f>IF(ISBLANK(HLOOKUP(CaseName,CaseData,MATCH($G93,cases!$G$3:$G$2464,0),FALSE)),"",HLOOKUP(CaseName,CaseData,MATCH($G93,cases!$G$3:$G$2464,0),FALSE))</f>
        <v/>
      </c>
      <c r="K93" s="641">
        <f>L41+L42*L94*RHOsolid/1000</f>
        <v>26.231033926700718</v>
      </c>
      <c r="L93" s="636">
        <f t="shared" si="2"/>
        <v>26.231033926700718</v>
      </c>
      <c r="M93" s="29" t="s">
        <v>486</v>
      </c>
      <c r="N93" s="29"/>
      <c r="O93" s="36"/>
    </row>
    <row r="94" spans="1:15" ht="12.75" customHeight="1" x14ac:dyDescent="0.3">
      <c r="A94" s="36"/>
      <c r="B94" s="29"/>
      <c r="C94" s="36" t="s">
        <v>1435</v>
      </c>
      <c r="D94" s="29"/>
      <c r="E94" s="29"/>
      <c r="F94" s="29"/>
      <c r="G94" s="94" t="s">
        <v>174</v>
      </c>
      <c r="H94" s="36" t="s">
        <v>1039</v>
      </c>
      <c r="I94" s="638"/>
      <c r="J94" s="635" t="str">
        <f>IF(ISBLANK(HLOOKUP(CaseName,CaseData,MATCH($G94,cases!$G$3:$G$2464,0),FALSE)),"",HLOOKUP(CaseName,CaseData,MATCH($G94,cases!$G$3:$G$2464,0),FALSE))</f>
        <v/>
      </c>
      <c r="K94" s="641">
        <f>(FRorig.sd2*Ksw+(1-FRorig.sd2)*Ksw.alt)*(1000/RHOsolid/CORG)*L95</f>
        <v>50.862067853401449</v>
      </c>
      <c r="L94" s="636">
        <f t="shared" si="2"/>
        <v>50.862067853401449</v>
      </c>
      <c r="M94" s="36" t="s">
        <v>1498</v>
      </c>
      <c r="N94" s="29"/>
      <c r="O94" s="36"/>
    </row>
    <row r="95" spans="1:15" ht="12.75" customHeight="1" x14ac:dyDescent="0.3">
      <c r="A95" s="36"/>
      <c r="B95" s="29"/>
      <c r="C95" s="36" t="s">
        <v>1275</v>
      </c>
      <c r="D95" s="29"/>
      <c r="E95" s="29"/>
      <c r="F95" s="29"/>
      <c r="G95" s="94" t="s">
        <v>1300</v>
      </c>
      <c r="H95" s="36" t="s">
        <v>36</v>
      </c>
      <c r="I95" s="638"/>
      <c r="J95" s="635" t="str">
        <f>IF(ISBLANK(HLOOKUP(CaseName,CaseData,MATCH($G95,cases!$G$3:$G$2464,0),FALSE)),"",HLOOKUP(CaseName,CaseData,MATCH($G95,cases!$G$3:$G$2464,0),FALSE))</f>
        <v/>
      </c>
      <c r="K95" s="641">
        <v>0.05</v>
      </c>
      <c r="L95" s="636">
        <f t="shared" si="2"/>
        <v>0.05</v>
      </c>
      <c r="M95" s="29" t="s">
        <v>486</v>
      </c>
      <c r="N95" s="29"/>
      <c r="O95" s="36"/>
    </row>
    <row r="96" spans="1:15" ht="12.75" customHeight="1" x14ac:dyDescent="0.3">
      <c r="A96" s="36"/>
      <c r="B96" s="36" t="s">
        <v>1436</v>
      </c>
      <c r="C96" s="95"/>
      <c r="D96" s="29"/>
      <c r="E96" s="29"/>
      <c r="F96" s="29"/>
      <c r="G96" s="94" t="s">
        <v>479</v>
      </c>
      <c r="H96" s="36" t="s">
        <v>36</v>
      </c>
      <c r="I96" s="638"/>
      <c r="J96" s="635" t="str">
        <f>IF(ISBLANK(HLOOKUP(CaseName,CaseData,MATCH($G96,cases!$G$3:$G$2464,0),FALSE)),"",HLOOKUP(CaseName,CaseData,MATCH($G96,cases!$G$3:$G$2464,0),FALSE))</f>
        <v/>
      </c>
      <c r="K96" s="641">
        <f>L32*(L69*FRorig.s1w)+L33+L34*L99*RHOsolid/1000</f>
        <v>30.955150979220729</v>
      </c>
      <c r="L96" s="636">
        <f t="shared" si="2"/>
        <v>30.955150979220729</v>
      </c>
      <c r="M96" s="29" t="s">
        <v>486</v>
      </c>
      <c r="N96" s="29"/>
      <c r="O96" s="36"/>
    </row>
    <row r="97" spans="1:15" ht="12.75" customHeight="1" x14ac:dyDescent="0.3">
      <c r="A97" s="36"/>
      <c r="B97" s="36" t="s">
        <v>515</v>
      </c>
      <c r="C97" s="95"/>
      <c r="D97" s="29"/>
      <c r="E97" s="29"/>
      <c r="F97" s="29"/>
      <c r="G97" s="94" t="s">
        <v>577</v>
      </c>
      <c r="H97" s="36" t="s">
        <v>36</v>
      </c>
      <c r="I97" s="638"/>
      <c r="J97" s="635" t="str">
        <f>IF(ISBLANK(HLOOKUP(CaseName,CaseData,MATCH($G97,cases!$G$3:$G$2464,0),FALSE)),"",HLOOKUP(CaseName,CaseData,MATCH($G97,cases!$G$3:$G$2464,0),FALSE))</f>
        <v/>
      </c>
      <c r="K97" s="641">
        <f>L33/(L32*(L69*FRorig.s1w)+L33+L34*L99*RHOsolid/1000)</f>
        <v>6.4609602496933077E-3</v>
      </c>
      <c r="L97" s="636">
        <f t="shared" si="2"/>
        <v>6.4609602496933077E-3</v>
      </c>
      <c r="M97" s="29" t="s">
        <v>486</v>
      </c>
      <c r="N97" s="29"/>
      <c r="O97" s="36"/>
    </row>
    <row r="98" spans="1:15" ht="12.75" customHeight="1" x14ac:dyDescent="0.3">
      <c r="A98" s="36"/>
      <c r="B98" s="36" t="s">
        <v>987</v>
      </c>
      <c r="C98" s="95"/>
      <c r="D98" s="29"/>
      <c r="E98" s="29"/>
      <c r="F98" s="29"/>
      <c r="G98" s="94" t="s">
        <v>1031</v>
      </c>
      <c r="H98" s="36" t="s">
        <v>36</v>
      </c>
      <c r="I98" s="638"/>
      <c r="J98" s="635" t="str">
        <f>IF(ISBLANK(HLOOKUP(CaseName,CaseData,MATCH($G98,cases!$G$3:$G$2464,0),FALSE)),"",HLOOKUP(CaseName,CaseData,MATCH($G98,cases!$G$3:$G$2464,0),FALSE))</f>
        <v/>
      </c>
      <c r="K98" s="641">
        <f>L34 / (L32*L69*FRorig.s1w/(L99*RHOsolid/1000)+L33 /(L99*RHOsolid/1000)+L34 )</f>
        <v>0.99353903943270516</v>
      </c>
      <c r="L98" s="636">
        <f t="shared" si="2"/>
        <v>0.99353903943270516</v>
      </c>
      <c r="M98" s="5" t="s">
        <v>486</v>
      </c>
      <c r="N98" s="29"/>
      <c r="O98" s="36"/>
    </row>
    <row r="99" spans="1:15" ht="12.75" customHeight="1" x14ac:dyDescent="0.3">
      <c r="A99" s="36"/>
      <c r="B99" s="29"/>
      <c r="C99" s="36" t="s">
        <v>1328</v>
      </c>
      <c r="D99" s="29"/>
      <c r="E99" s="29"/>
      <c r="F99" s="29"/>
      <c r="G99" s="94" t="s">
        <v>125</v>
      </c>
      <c r="H99" s="36" t="s">
        <v>1039</v>
      </c>
      <c r="I99" s="638"/>
      <c r="J99" s="635" t="str">
        <f>IF(ISBLANK(HLOOKUP(CaseName,CaseData,MATCH($G99,cases!$G$3:$G$2464,0),FALSE)),"",HLOOKUP(CaseName,CaseData,MATCH($G99,cases!$G$3:$G$2464,0),FALSE))</f>
        <v/>
      </c>
      <c r="K99" s="641">
        <f>(FRorig.s1*Ksw+(1-FRorig.s1)*Ksw.alt)*(1000/RHOsolid/CORG)*L100</f>
        <v>20.503433979592884</v>
      </c>
      <c r="L99" s="636">
        <f t="shared" si="2"/>
        <v>20.503433979592884</v>
      </c>
      <c r="M99" s="36" t="s">
        <v>1498</v>
      </c>
      <c r="N99" s="29"/>
      <c r="O99" s="36"/>
    </row>
    <row r="100" spans="1:15" ht="12.75" customHeight="1" x14ac:dyDescent="0.3">
      <c r="A100" s="36"/>
      <c r="B100" s="29"/>
      <c r="C100" s="36" t="s">
        <v>1274</v>
      </c>
      <c r="D100" s="29"/>
      <c r="E100" s="29"/>
      <c r="F100" s="29"/>
      <c r="G100" s="94" t="s">
        <v>480</v>
      </c>
      <c r="H100" s="36" t="s">
        <v>36</v>
      </c>
      <c r="I100" s="638"/>
      <c r="J100" s="635" t="str">
        <f>IF(ISBLANK(HLOOKUP(CaseName,CaseData,MATCH($G100,cases!$G$3:$G$2464,0),FALSE)),"",HLOOKUP(CaseName,CaseData,MATCH($G100,cases!$G$3:$G$2464,0),FALSE))</f>
        <v/>
      </c>
      <c r="K100" s="641">
        <v>0.02</v>
      </c>
      <c r="L100" s="636">
        <f t="shared" si="2"/>
        <v>0.02</v>
      </c>
      <c r="M100" s="29" t="s">
        <v>486</v>
      </c>
      <c r="N100" s="29"/>
      <c r="O100" s="36"/>
    </row>
    <row r="101" spans="1:15" ht="12.75" customHeight="1" x14ac:dyDescent="0.3">
      <c r="A101" s="36"/>
      <c r="B101" s="36" t="s">
        <v>781</v>
      </c>
      <c r="C101" s="95"/>
      <c r="D101" s="29"/>
      <c r="E101" s="29"/>
      <c r="F101" s="29"/>
      <c r="G101" s="94" t="s">
        <v>481</v>
      </c>
      <c r="H101" s="36" t="s">
        <v>36</v>
      </c>
      <c r="I101" s="638"/>
      <c r="J101" s="635" t="str">
        <f>IF(ISBLANK(HLOOKUP(CaseName,CaseData,MATCH($G101,cases!$G$3:$G$2464,0),FALSE)),"",HLOOKUP(CaseName,CaseData,MATCH($G101,cases!$G$3:$G$2464,0),FALSE))</f>
        <v/>
      </c>
      <c r="K101" s="641">
        <f>L35*(L69*FRorig.s2w)+L36+L37*L104*RHOsolid/1000</f>
        <v>30.931393837430026</v>
      </c>
      <c r="L101" s="636">
        <f t="shared" si="2"/>
        <v>30.931393837430026</v>
      </c>
      <c r="M101" s="29" t="s">
        <v>486</v>
      </c>
      <c r="N101" s="29"/>
      <c r="O101" s="36"/>
    </row>
    <row r="102" spans="1:15" ht="12.75" customHeight="1" x14ac:dyDescent="0.3">
      <c r="A102" s="36"/>
      <c r="B102" s="36" t="s">
        <v>516</v>
      </c>
      <c r="C102" s="95"/>
      <c r="D102" s="29"/>
      <c r="E102" s="29"/>
      <c r="F102" s="29"/>
      <c r="G102" s="94" t="s">
        <v>578</v>
      </c>
      <c r="H102" s="36" t="s">
        <v>36</v>
      </c>
      <c r="I102" s="638"/>
      <c r="J102" s="635" t="str">
        <f>IF(ISBLANK(HLOOKUP(CaseName,CaseData,MATCH($G102,cases!$G$3:$G$2464,0),FALSE)),"",HLOOKUP(CaseName,CaseData,MATCH($G102,cases!$G$3:$G$2464,0),FALSE))</f>
        <v/>
      </c>
      <c r="K102" s="641">
        <f>L36/(L35*(L69*FRorig.s2w)+L36+L37*L104*RHOsolid/1000)</f>
        <v>6.4659226496925713E-3</v>
      </c>
      <c r="L102" s="636">
        <f t="shared" si="2"/>
        <v>6.4659226496925713E-3</v>
      </c>
      <c r="M102" s="29" t="s">
        <v>486</v>
      </c>
      <c r="N102" s="29"/>
      <c r="O102" s="36"/>
    </row>
    <row r="103" spans="1:15" ht="12.75" customHeight="1" x14ac:dyDescent="0.3">
      <c r="A103" s="36"/>
      <c r="B103" s="29" t="s">
        <v>1102</v>
      </c>
      <c r="C103" s="36"/>
      <c r="D103" s="29"/>
      <c r="E103" s="29"/>
      <c r="F103" s="29"/>
      <c r="G103" s="94" t="s">
        <v>1032</v>
      </c>
      <c r="H103" s="36" t="s">
        <v>36</v>
      </c>
      <c r="I103" s="638"/>
      <c r="J103" s="635" t="str">
        <f>IF(ISBLANK(HLOOKUP(CaseName,CaseData,MATCH($G103,cases!$G$3:$G$2464,0),FALSE)),"",HLOOKUP(CaseName,CaseData,MATCH($G103,cases!$G$3:$G$2464,0),FALSE))</f>
        <v/>
      </c>
      <c r="K103" s="641">
        <f>L37 / (L35*L69*FRorig.s2w/(L104*RHOsolid/1000)+L36 /(L104*RHOsolid/1000)+L37 )</f>
        <v>0.99353407703352459</v>
      </c>
      <c r="L103" s="636">
        <f t="shared" si="2"/>
        <v>0.99353407703352459</v>
      </c>
      <c r="M103" s="36" t="s">
        <v>486</v>
      </c>
      <c r="N103" s="29"/>
      <c r="O103" s="36"/>
    </row>
    <row r="104" spans="1:15" ht="12.75" customHeight="1" x14ac:dyDescent="0.3">
      <c r="A104" s="36"/>
      <c r="B104" s="29"/>
      <c r="C104" s="36" t="s">
        <v>1233</v>
      </c>
      <c r="D104" s="29"/>
      <c r="E104" s="29"/>
      <c r="F104" s="29"/>
      <c r="G104" s="94" t="s">
        <v>167</v>
      </c>
      <c r="H104" s="36" t="s">
        <v>1039</v>
      </c>
      <c r="I104" s="638"/>
      <c r="J104" s="635" t="str">
        <f>IF(ISBLANK(HLOOKUP(CaseName,CaseData,MATCH($G104,cases!$G$3:$G$2464,0),FALSE)),"",HLOOKUP(CaseName,CaseData,MATCH($G104,cases!$G$3:$G$2464,0),FALSE))</f>
        <v/>
      </c>
      <c r="K104" s="641">
        <f>(FRorig.s2*Ksw+(1-FRorig.s2)*Ksw.alt)*(1000/RHOsolid/CORG)*L105</f>
        <v>20.487595885087657</v>
      </c>
      <c r="L104" s="636">
        <f t="shared" si="2"/>
        <v>20.487595885087657</v>
      </c>
      <c r="M104" s="36" t="s">
        <v>1498</v>
      </c>
      <c r="N104" s="29"/>
      <c r="O104" s="36"/>
    </row>
    <row r="105" spans="1:15" ht="12.75" customHeight="1" x14ac:dyDescent="0.3">
      <c r="A105" s="36"/>
      <c r="B105" s="29"/>
      <c r="C105" s="36" t="s">
        <v>1273</v>
      </c>
      <c r="D105" s="29"/>
      <c r="E105" s="29"/>
      <c r="F105" s="29"/>
      <c r="G105" s="94" t="s">
        <v>482</v>
      </c>
      <c r="H105" s="36" t="s">
        <v>36</v>
      </c>
      <c r="I105" s="638"/>
      <c r="J105" s="635" t="str">
        <f>IF(ISBLANK(HLOOKUP(CaseName,CaseData,MATCH($G105,cases!$G$3:$G$2464,0),FALSE)),"",HLOOKUP(CaseName,CaseData,MATCH($G105,cases!$G$3:$G$2464,0),FALSE))</f>
        <v/>
      </c>
      <c r="K105" s="641">
        <v>0.02</v>
      </c>
      <c r="L105" s="636">
        <f t="shared" si="2"/>
        <v>0.02</v>
      </c>
      <c r="M105" s="29" t="s">
        <v>486</v>
      </c>
      <c r="N105" s="29"/>
      <c r="O105" s="36"/>
    </row>
    <row r="106" spans="1:15" ht="12.75" customHeight="1" x14ac:dyDescent="0.3">
      <c r="A106" s="36"/>
      <c r="B106" s="36" t="s">
        <v>785</v>
      </c>
      <c r="C106" s="95"/>
      <c r="D106" s="29"/>
      <c r="E106" s="29"/>
      <c r="F106" s="29"/>
      <c r="G106" s="94" t="s">
        <v>483</v>
      </c>
      <c r="H106" s="36" t="s">
        <v>36</v>
      </c>
      <c r="I106" s="638"/>
      <c r="J106" s="635" t="str">
        <f>IF(ISBLANK(HLOOKUP(CaseName,CaseData,MATCH($G106,cases!$G$3:$G$2464,0),FALSE)),"",HLOOKUP(CaseName,CaseData,MATCH($G106,cases!$G$3:$G$2464,0),FALSE))</f>
        <v/>
      </c>
      <c r="K106" s="641">
        <f>L38*(L69*FRorig.s3w)+L39+L40*L109*RHOsolid/1000</f>
        <v>30.931393837430026</v>
      </c>
      <c r="L106" s="636">
        <f t="shared" si="2"/>
        <v>30.931393837430026</v>
      </c>
      <c r="M106" s="29" t="s">
        <v>486</v>
      </c>
      <c r="N106" s="29"/>
      <c r="O106" s="36"/>
    </row>
    <row r="107" spans="1:15" ht="12.75" customHeight="1" x14ac:dyDescent="0.3">
      <c r="A107" s="36"/>
      <c r="B107" s="36" t="s">
        <v>517</v>
      </c>
      <c r="C107" s="95"/>
      <c r="D107" s="29"/>
      <c r="E107" s="29"/>
      <c r="F107" s="29"/>
      <c r="G107" s="94" t="s">
        <v>579</v>
      </c>
      <c r="H107" s="36" t="s">
        <v>36</v>
      </c>
      <c r="I107" s="638"/>
      <c r="J107" s="635" t="str">
        <f>IF(ISBLANK(HLOOKUP(CaseName,CaseData,MATCH($G107,cases!$G$3:$G$2464,0),FALSE)),"",HLOOKUP(CaseName,CaseData,MATCH($G107,cases!$G$3:$G$2464,0),FALSE))</f>
        <v/>
      </c>
      <c r="K107" s="641">
        <f>L39/(L38*(L69*FRorig.s3w)+L39+L40*L109*RHOsolid/1000)</f>
        <v>6.4659226496925713E-3</v>
      </c>
      <c r="L107" s="636">
        <f t="shared" si="2"/>
        <v>6.4659226496925713E-3</v>
      </c>
      <c r="M107" s="29" t="s">
        <v>486</v>
      </c>
      <c r="N107" s="29"/>
      <c r="O107" s="36"/>
    </row>
    <row r="108" spans="1:15" ht="12.75" customHeight="1" x14ac:dyDescent="0.3">
      <c r="A108" s="36"/>
      <c r="B108" s="29" t="s">
        <v>933</v>
      </c>
      <c r="C108" s="36"/>
      <c r="D108" s="29"/>
      <c r="E108" s="29"/>
      <c r="F108" s="29"/>
      <c r="G108" s="94" t="s">
        <v>1033</v>
      </c>
      <c r="H108" s="36" t="s">
        <v>36</v>
      </c>
      <c r="I108" s="638"/>
      <c r="J108" s="635" t="str">
        <f>IF(ISBLANK(HLOOKUP(CaseName,CaseData,MATCH($G108,cases!$G$3:$G$2464,0),FALSE)),"",HLOOKUP(CaseName,CaseData,MATCH($G108,cases!$G$3:$G$2464,0),FALSE))</f>
        <v/>
      </c>
      <c r="K108" s="641">
        <f>L40 / (L38*L69*FRorig.s2w/(L109*RHOsolid/1000)+L39 /(L109*RHOsolid/1000)+L40 )</f>
        <v>0.99353407703352459</v>
      </c>
      <c r="L108" s="636">
        <f t="shared" si="2"/>
        <v>0.99353407703352459</v>
      </c>
      <c r="M108" s="36" t="s">
        <v>486</v>
      </c>
      <c r="N108" s="29"/>
      <c r="O108" s="36"/>
    </row>
    <row r="109" spans="1:15" ht="12.75" customHeight="1" x14ac:dyDescent="0.3">
      <c r="A109" s="36"/>
      <c r="B109" s="29"/>
      <c r="C109" s="36" t="s">
        <v>1065</v>
      </c>
      <c r="D109" s="29"/>
      <c r="E109" s="29"/>
      <c r="F109" s="29"/>
      <c r="G109" s="94" t="s">
        <v>169</v>
      </c>
      <c r="H109" s="36" t="s">
        <v>1039</v>
      </c>
      <c r="I109" s="638"/>
      <c r="J109" s="635" t="str">
        <f>IF(ISBLANK(HLOOKUP(CaseName,CaseData,MATCH($G109,cases!$G$3:$G$2464,0),FALSE)),"",HLOOKUP(CaseName,CaseData,MATCH($G109,cases!$G$3:$G$2464,0),FALSE))</f>
        <v/>
      </c>
      <c r="K109" s="641">
        <f>(FRorig.s3*Ksw+(1-FRorig.s3)*Ksw.alt)*(1000/RHOsolid/CORG)*L110</f>
        <v>20.487595885087657</v>
      </c>
      <c r="L109" s="636">
        <f t="shared" si="2"/>
        <v>20.487595885087657</v>
      </c>
      <c r="M109" s="36" t="s">
        <v>1498</v>
      </c>
      <c r="N109" s="29"/>
      <c r="O109" s="36"/>
    </row>
    <row r="110" spans="1:15" ht="12.75" customHeight="1" x14ac:dyDescent="0.3">
      <c r="A110" s="36"/>
      <c r="B110" s="29"/>
      <c r="C110" s="36" t="s">
        <v>1405</v>
      </c>
      <c r="D110" s="29"/>
      <c r="E110" s="29"/>
      <c r="F110" s="29"/>
      <c r="G110" s="94" t="s">
        <v>484</v>
      </c>
      <c r="H110" s="36" t="s">
        <v>36</v>
      </c>
      <c r="I110" s="638"/>
      <c r="J110" s="635" t="str">
        <f>IF(ISBLANK(HLOOKUP(CaseName,CaseData,MATCH($G110,cases!$G$3:$G$2464,0),FALSE)),"",HLOOKUP(CaseName,CaseData,MATCH($G110,cases!$G$3:$G$2464,0),FALSE))</f>
        <v/>
      </c>
      <c r="K110" s="641">
        <v>0.02</v>
      </c>
      <c r="L110" s="636">
        <f t="shared" si="2"/>
        <v>0.02</v>
      </c>
      <c r="M110" s="29" t="s">
        <v>486</v>
      </c>
      <c r="N110" s="29"/>
      <c r="O110" s="36"/>
    </row>
    <row r="111" spans="1:15" ht="12.75" customHeight="1" x14ac:dyDescent="0.3">
      <c r="A111" s="29"/>
      <c r="B111" s="29"/>
      <c r="C111" s="29"/>
      <c r="D111" s="29"/>
      <c r="E111" s="29"/>
      <c r="F111" s="29"/>
      <c r="G111" s="29"/>
      <c r="H111" s="29"/>
      <c r="I111" s="635"/>
      <c r="J111" s="353"/>
      <c r="K111" s="353"/>
      <c r="L111" s="353"/>
      <c r="M111" s="29"/>
      <c r="N111" s="29"/>
      <c r="O111" s="36"/>
    </row>
    <row r="112" spans="1:15" ht="12.75" customHeight="1" x14ac:dyDescent="0.3">
      <c r="A112" s="98" t="s">
        <v>1311</v>
      </c>
      <c r="B112" s="97"/>
      <c r="C112" s="97"/>
      <c r="D112" s="97"/>
      <c r="E112" s="97"/>
      <c r="F112" s="97"/>
      <c r="G112" s="98" t="s">
        <v>1008</v>
      </c>
      <c r="H112" s="98" t="s">
        <v>968</v>
      </c>
      <c r="I112" s="364" t="s">
        <v>754</v>
      </c>
      <c r="J112" s="340" t="s">
        <v>37</v>
      </c>
      <c r="K112" s="340" t="s">
        <v>753</v>
      </c>
      <c r="L112" s="340" t="s">
        <v>1358</v>
      </c>
      <c r="M112" s="97"/>
      <c r="N112" s="98" t="s">
        <v>1371</v>
      </c>
      <c r="O112" s="36"/>
    </row>
    <row r="113" spans="1:15" ht="12.75" customHeight="1" x14ac:dyDescent="0.3">
      <c r="A113" s="29"/>
      <c r="B113" s="29"/>
      <c r="C113" s="29"/>
      <c r="D113" s="29"/>
      <c r="E113" s="29"/>
      <c r="F113" s="29"/>
      <c r="G113" s="29"/>
      <c r="H113" s="29"/>
      <c r="I113" s="635"/>
      <c r="J113" s="353"/>
      <c r="K113" s="353"/>
      <c r="L113" s="353"/>
      <c r="M113" s="29"/>
      <c r="N113" s="29"/>
      <c r="O113" s="36"/>
    </row>
    <row r="114" spans="1:15" ht="12.75" customHeight="1" x14ac:dyDescent="0.3">
      <c r="A114" s="36" t="s">
        <v>298</v>
      </c>
      <c r="B114" s="29"/>
      <c r="C114" s="29"/>
      <c r="D114" s="29"/>
      <c r="E114" s="29"/>
      <c r="F114" s="29"/>
      <c r="G114" s="36" t="s">
        <v>348</v>
      </c>
      <c r="H114" s="36" t="s">
        <v>4037</v>
      </c>
      <c r="I114" s="634"/>
      <c r="J114" s="635" t="str">
        <f>IF(ISBLANK(HLOOKUP(CaseName,CaseData,MATCH($G114,cases!$G$3:$G$2464,0),FALSE)),"",HLOOKUP(CaseName,CaseData,MATCH($G114,cases!$G$3:$G$2464,0),FALSE))</f>
        <v/>
      </c>
      <c r="K114" s="352">
        <f>(L126+L137/L21)*L15</f>
        <v>1.1541526550681395E-8</v>
      </c>
      <c r="L114" s="636">
        <f>IF(ISBLANK(I114),IF(ISNUMBER(J114)=FALSE,K114,J114),I114)</f>
        <v>1.1541526550681395E-8</v>
      </c>
      <c r="M114" s="29" t="s">
        <v>1488</v>
      </c>
      <c r="N114" s="29"/>
      <c r="O114" s="36"/>
    </row>
    <row r="115" spans="1:15" ht="12.75" customHeight="1" x14ac:dyDescent="0.3">
      <c r="A115" s="36" t="s">
        <v>66</v>
      </c>
      <c r="B115" s="29"/>
      <c r="C115" s="29"/>
      <c r="D115" s="29"/>
      <c r="E115" s="29"/>
      <c r="F115" s="29"/>
      <c r="G115" s="36" t="s">
        <v>264</v>
      </c>
      <c r="H115" s="36" t="s">
        <v>4037</v>
      </c>
      <c r="I115" s="634"/>
      <c r="J115" s="635" t="str">
        <f>IF(ISBLANK(HLOOKUP(CaseName,CaseData,MATCH($G115,cases!$G$3:$G$2464,0),FALSE)),"",HLOOKUP(CaseName,CaseData,MATCH($G115,cases!$G$3:$G$2464,0),FALSE))</f>
        <v/>
      </c>
      <c r="K115" s="352">
        <f>(L126+L137/L21)*L16</f>
        <v>1.2695679205749533E-7</v>
      </c>
      <c r="L115" s="636">
        <f t="shared" ref="L115:L136" si="4">IF(ISBLANK(I115),IF(ISNUMBER(J115)=FALSE,K115,J115),I115)</f>
        <v>1.2695679205749533E-7</v>
      </c>
      <c r="M115" s="29" t="s">
        <v>1488</v>
      </c>
      <c r="N115" s="29"/>
      <c r="O115" s="36"/>
    </row>
    <row r="116" spans="1:15" ht="12.75" customHeight="1" x14ac:dyDescent="0.3">
      <c r="A116" s="36" t="s">
        <v>67</v>
      </c>
      <c r="B116" s="29"/>
      <c r="C116" s="29"/>
      <c r="D116" s="29"/>
      <c r="E116" s="29"/>
      <c r="F116" s="29"/>
      <c r="G116" s="36" t="s">
        <v>265</v>
      </c>
      <c r="H116" s="36" t="s">
        <v>4037</v>
      </c>
      <c r="I116" s="634"/>
      <c r="J116" s="635" t="str">
        <f>IF(ISBLANK(HLOOKUP(CaseName,CaseData,MATCH($G116,cases!$G$3:$G$2464,0),FALSE)),"",HLOOKUP(CaseName,CaseData,MATCH($G116,cases!$G$3:$G$2464,0),FALSE))</f>
        <v/>
      </c>
      <c r="K116" s="352">
        <f>(L126+L137/L21)*L20</f>
        <v>4.91800198615723E-6</v>
      </c>
      <c r="L116" s="636">
        <f t="shared" si="4"/>
        <v>4.91800198615723E-6</v>
      </c>
      <c r="M116" s="29" t="s">
        <v>1488</v>
      </c>
      <c r="N116" s="29"/>
      <c r="O116" s="36"/>
    </row>
    <row r="117" spans="1:15" ht="12.75" customHeight="1" x14ac:dyDescent="0.3">
      <c r="A117" s="36" t="s">
        <v>68</v>
      </c>
      <c r="B117" s="29"/>
      <c r="C117" s="29"/>
      <c r="D117" s="29"/>
      <c r="E117" s="29"/>
      <c r="F117" s="29"/>
      <c r="G117" s="36" t="s">
        <v>266</v>
      </c>
      <c r="H117" s="36" t="s">
        <v>4037</v>
      </c>
      <c r="I117" s="634"/>
      <c r="J117" s="635" t="str">
        <f>IF(ISBLANK(HLOOKUP(CaseName,CaseData,MATCH($G117,cases!$G$3:$G$2464,0),FALSE)),"",HLOOKUP(CaseName,CaseData,MATCH($G117,cases!$G$3:$G$2464,0),FALSE))</f>
        <v/>
      </c>
      <c r="K117" s="352">
        <f>(L126+L138/L21)*L17</f>
        <v>8.8680928962836139E-7</v>
      </c>
      <c r="L117" s="636">
        <f t="shared" si="4"/>
        <v>8.8680928962836139E-7</v>
      </c>
      <c r="M117" s="29" t="s">
        <v>1488</v>
      </c>
      <c r="N117" s="29"/>
      <c r="O117" s="36"/>
    </row>
    <row r="118" spans="1:15" ht="12.75" customHeight="1" x14ac:dyDescent="0.3">
      <c r="A118" s="36" t="s">
        <v>69</v>
      </c>
      <c r="B118" s="29"/>
      <c r="C118" s="29"/>
      <c r="D118" s="29"/>
      <c r="E118" s="29"/>
      <c r="F118" s="29"/>
      <c r="G118" s="36" t="s">
        <v>816</v>
      </c>
      <c r="H118" s="36" t="s">
        <v>4037</v>
      </c>
      <c r="I118" s="634"/>
      <c r="J118" s="635" t="str">
        <f>IF(ISBLANK(HLOOKUP(CaseName,CaseData,MATCH($G118,cases!$G$3:$G$2464,0),FALSE)),"",HLOOKUP(CaseName,CaseData,MATCH($G118,cases!$G$3:$G$2464,0),FALSE))</f>
        <v/>
      </c>
      <c r="K118" s="352">
        <f>(L126+L138/L21)*L18</f>
        <v>1.9706873102852476E-6</v>
      </c>
      <c r="L118" s="636">
        <f t="shared" si="4"/>
        <v>1.9706873102852476E-6</v>
      </c>
      <c r="M118" s="29" t="s">
        <v>1488</v>
      </c>
      <c r="N118" s="29"/>
      <c r="O118" s="36"/>
    </row>
    <row r="119" spans="1:15" ht="12.75" customHeight="1" x14ac:dyDescent="0.3">
      <c r="A119" s="36" t="s">
        <v>70</v>
      </c>
      <c r="B119" s="29"/>
      <c r="C119" s="29"/>
      <c r="D119" s="29"/>
      <c r="E119" s="29"/>
      <c r="F119" s="29"/>
      <c r="G119" s="36" t="s">
        <v>817</v>
      </c>
      <c r="H119" s="36" t="s">
        <v>4037</v>
      </c>
      <c r="I119" s="634"/>
      <c r="J119" s="635" t="str">
        <f>IF(ISBLANK(HLOOKUP(CaseName,CaseData,MATCH($G119,cases!$G$3:$G$2464,0),FALSE)),"",HLOOKUP(CaseName,CaseData,MATCH($G119,cases!$G$3:$G$2464,0),FALSE))</f>
        <v/>
      </c>
      <c r="K119" s="352">
        <f>(L126+L138/L21)*L19</f>
        <v>3.2844788504754116E-7</v>
      </c>
      <c r="L119" s="636">
        <f t="shared" si="4"/>
        <v>3.2844788504754116E-7</v>
      </c>
      <c r="M119" s="29" t="s">
        <v>1488</v>
      </c>
      <c r="N119" s="29"/>
      <c r="O119" s="36"/>
    </row>
    <row r="120" spans="1:15" ht="12.75" customHeight="1" x14ac:dyDescent="0.3">
      <c r="A120" s="36" t="s">
        <v>71</v>
      </c>
      <c r="B120" s="29"/>
      <c r="C120" s="29"/>
      <c r="D120" s="29"/>
      <c r="E120" s="29"/>
      <c r="F120" s="29"/>
      <c r="G120" s="36" t="s">
        <v>349</v>
      </c>
      <c r="H120" s="36" t="s">
        <v>4037</v>
      </c>
      <c r="I120" s="634"/>
      <c r="J120" s="635" t="str">
        <f>IF(ISBLANK(HLOOKUP(CaseName,CaseData,MATCH($G120,cases!$G$3:$G$2464,0),FALSE)),"",HLOOKUP(CaseName,CaseData,MATCH($G120,cases!$G$3:$G$2464,0),FALSE))</f>
        <v/>
      </c>
      <c r="K120" s="352">
        <f>L139/L22</f>
        <v>1.893474429147487E-12</v>
      </c>
      <c r="L120" s="636">
        <f>IF(ISBLANK(I120),IF(ISNUMBER(J120)=FALSE,K120,J120),I120)</f>
        <v>1.893474429147487E-12</v>
      </c>
      <c r="M120" s="29" t="s">
        <v>1488</v>
      </c>
      <c r="N120" s="29"/>
      <c r="O120" s="36"/>
    </row>
    <row r="121" spans="1:15" ht="12.75" customHeight="1" x14ac:dyDescent="0.3">
      <c r="A121" s="36" t="s">
        <v>71</v>
      </c>
      <c r="B121" s="29"/>
      <c r="C121" s="29"/>
      <c r="D121" s="29"/>
      <c r="E121" s="29"/>
      <c r="F121" s="29"/>
      <c r="G121" s="36" t="s">
        <v>818</v>
      </c>
      <c r="H121" s="36" t="s">
        <v>4037</v>
      </c>
      <c r="I121" s="634"/>
      <c r="J121" s="635" t="str">
        <f>IF(ISBLANK(HLOOKUP(CaseName,CaseData,MATCH($G121,cases!$G$3:$G$2464,0),FALSE)),"",HLOOKUP(CaseName,CaseData,MATCH($G121,cases!$G$3:$G$2464,0),FALSE))</f>
        <v/>
      </c>
      <c r="K121" s="352">
        <f>L140/L23</f>
        <v>6.3022450457971401E-11</v>
      </c>
      <c r="L121" s="636">
        <f t="shared" si="4"/>
        <v>6.3022450457971401E-11</v>
      </c>
      <c r="M121" s="29" t="s">
        <v>1488</v>
      </c>
      <c r="N121" s="29"/>
      <c r="O121" s="36"/>
    </row>
    <row r="122" spans="1:15" ht="12.75" customHeight="1" x14ac:dyDescent="0.3">
      <c r="A122" s="36" t="s">
        <v>72</v>
      </c>
      <c r="B122" s="29"/>
      <c r="C122" s="29"/>
      <c r="D122" s="29"/>
      <c r="E122" s="29"/>
      <c r="F122" s="29"/>
      <c r="G122" s="36" t="s">
        <v>819</v>
      </c>
      <c r="H122" s="36" t="s">
        <v>4037</v>
      </c>
      <c r="I122" s="634"/>
      <c r="J122" s="635" t="str">
        <f>IF(ISBLANK(HLOOKUP(CaseName,CaseData,MATCH($G122,cases!$G$3:$G$2464,0),FALSE)),"",HLOOKUP(CaseName,CaseData,MATCH($G122,cases!$G$3:$G$2464,0),FALSE))</f>
        <v/>
      </c>
      <c r="K122" s="352">
        <f>L141/L24</f>
        <v>9.1840332849195498E-13</v>
      </c>
      <c r="L122" s="636">
        <f t="shared" si="4"/>
        <v>9.1840332849195498E-13</v>
      </c>
      <c r="M122" s="29" t="s">
        <v>1488</v>
      </c>
      <c r="N122" s="29"/>
      <c r="O122" s="36"/>
    </row>
    <row r="123" spans="1:15" ht="12.75" customHeight="1" x14ac:dyDescent="0.3">
      <c r="A123" s="36" t="s">
        <v>73</v>
      </c>
      <c r="B123" s="29"/>
      <c r="C123" s="29"/>
      <c r="D123" s="29"/>
      <c r="E123" s="29"/>
      <c r="F123" s="29"/>
      <c r="G123" s="36" t="s">
        <v>820</v>
      </c>
      <c r="H123" s="36" t="s">
        <v>4037</v>
      </c>
      <c r="I123" s="634"/>
      <c r="J123" s="635" t="str">
        <f>IF(ISBLANK(HLOOKUP(CaseName,CaseData,MATCH($G123,cases!$G$3:$G$2464,0),FALSE)),"",HLOOKUP(CaseName,CaseData,MATCH($G123,cases!$G$3:$G$2464,0),FALSE))</f>
        <v/>
      </c>
      <c r="K123" s="352">
        <f>L144/L27</f>
        <v>4.2270403804875319E-11</v>
      </c>
      <c r="L123" s="636">
        <f t="shared" si="4"/>
        <v>4.2270403804875319E-11</v>
      </c>
      <c r="M123" s="29" t="s">
        <v>1488</v>
      </c>
      <c r="N123" s="29"/>
      <c r="O123" s="36"/>
    </row>
    <row r="124" spans="1:15" ht="12.75" customHeight="1" x14ac:dyDescent="0.3">
      <c r="A124" s="36" t="s">
        <v>74</v>
      </c>
      <c r="B124" s="29"/>
      <c r="C124" s="29"/>
      <c r="D124" s="29"/>
      <c r="E124" s="29"/>
      <c r="F124" s="29"/>
      <c r="G124" s="36" t="s">
        <v>821</v>
      </c>
      <c r="H124" s="36" t="s">
        <v>4037</v>
      </c>
      <c r="I124" s="634"/>
      <c r="J124" s="635" t="str">
        <f>IF(ISBLANK(HLOOKUP(CaseName,CaseData,MATCH($G124,cases!$G$3:$G$2464,0),FALSE)),"",HLOOKUP(CaseName,CaseData,MATCH($G124,cases!$G$3:$G$2464,0),FALSE))</f>
        <v/>
      </c>
      <c r="K124" s="352">
        <f>L145/L28</f>
        <v>1.9185761529896352E-11</v>
      </c>
      <c r="L124" s="636">
        <f t="shared" si="4"/>
        <v>1.9185761529896352E-11</v>
      </c>
      <c r="M124" s="29" t="s">
        <v>1488</v>
      </c>
      <c r="N124" s="29"/>
      <c r="O124" s="36"/>
    </row>
    <row r="125" spans="1:15" ht="12.75" customHeight="1" x14ac:dyDescent="0.3">
      <c r="A125" s="36" t="s">
        <v>75</v>
      </c>
      <c r="B125" s="29"/>
      <c r="C125" s="29"/>
      <c r="D125" s="29"/>
      <c r="E125" s="29"/>
      <c r="F125" s="29"/>
      <c r="G125" s="36" t="s">
        <v>822</v>
      </c>
      <c r="H125" s="36" t="s">
        <v>4037</v>
      </c>
      <c r="I125" s="634"/>
      <c r="J125" s="635" t="str">
        <f>IF(ISBLANK(HLOOKUP(CaseName,CaseData,MATCH($G125,cases!$G$3:$G$2464,0),FALSE)),"",HLOOKUP(CaseName,CaseData,MATCH($G125,cases!$G$3:$G$2464,0),FALSE))</f>
        <v/>
      </c>
      <c r="K125" s="352">
        <f>L146/L29</f>
        <v>4.2161483400515841E-11</v>
      </c>
      <c r="L125" s="636">
        <f t="shared" si="4"/>
        <v>4.2161483400515841E-11</v>
      </c>
      <c r="M125" s="29" t="s">
        <v>1488</v>
      </c>
      <c r="N125" s="29"/>
      <c r="O125" s="36"/>
    </row>
    <row r="126" spans="1:15" ht="12.75" customHeight="1" x14ac:dyDescent="0.3">
      <c r="A126" s="36"/>
      <c r="B126" s="36" t="s">
        <v>3975</v>
      </c>
      <c r="C126" s="29"/>
      <c r="D126" s="29"/>
      <c r="E126" s="29"/>
      <c r="F126" s="29"/>
      <c r="G126" s="37" t="s">
        <v>2264</v>
      </c>
      <c r="H126" s="36" t="s">
        <v>4037</v>
      </c>
      <c r="I126" s="634"/>
      <c r="J126" s="635" t="str">
        <f>IF(ISBLANK(HLOOKUP(CaseName,CaseData,MATCH($G126,cases!$G$3:$G$2464,0),FALSE)),"",HLOOKUP(CaseName,CaseData,MATCH($G126,cases!$G$3:$G$2464,0),FALSE))</f>
        <v/>
      </c>
      <c r="K126" s="352">
        <f>L127-SUM((L137*(L15+L16+L20)+L138*(L17+L18+L19))/L21,L203,L44,L45)</f>
        <v>5.7610849776266043E-6</v>
      </c>
      <c r="L126" s="636">
        <f t="shared" si="4"/>
        <v>5.7610849776266043E-6</v>
      </c>
      <c r="M126" s="29" t="s">
        <v>1488</v>
      </c>
      <c r="N126" s="29"/>
      <c r="O126" s="36"/>
    </row>
    <row r="127" spans="1:15" ht="12.75" customHeight="1" x14ac:dyDescent="0.3">
      <c r="A127" s="36"/>
      <c r="B127" s="36"/>
      <c r="C127" s="29" t="s">
        <v>3976</v>
      </c>
      <c r="D127" s="29"/>
      <c r="E127" s="29"/>
      <c r="F127" s="29"/>
      <c r="G127" s="37" t="s">
        <v>2265</v>
      </c>
      <c r="H127" s="36" t="s">
        <v>4037</v>
      </c>
      <c r="I127" s="634"/>
      <c r="J127" s="635" t="str">
        <f>IF(ISBLANK(HLOOKUP(CaseName,CaseData,MATCH($G127,cases!$G$3:$G$2464,0),FALSE)),"",HLOOKUP(CaseName,CaseData,MATCH($G127,cases!$G$3:$G$2464,0),FALSE))</f>
        <v/>
      </c>
      <c r="K127" s="352">
        <f>((1/L128)*L130/(L130+L131)+(1/L129)*L131/(L130+L131)-((1/L129-1/L128)^2/(L130+L131))*(1-EXP(-L128*L130))*(1-EXP(-L129*L131))/(1-EXP(-L128*L130-L129*L131)))^-1</f>
        <v>1.8970235933272708E-5</v>
      </c>
      <c r="L127" s="636">
        <f t="shared" si="4"/>
        <v>1.8970235933272708E-5</v>
      </c>
      <c r="M127" s="29" t="s">
        <v>1488</v>
      </c>
      <c r="N127" s="29"/>
      <c r="O127" s="36"/>
    </row>
    <row r="128" spans="1:15" ht="12.75" customHeight="1" x14ac:dyDescent="0.3">
      <c r="A128" s="36"/>
      <c r="B128" s="36"/>
      <c r="C128" s="36"/>
      <c r="D128" s="36" t="s">
        <v>3977</v>
      </c>
      <c r="E128" s="29"/>
      <c r="F128" s="29"/>
      <c r="G128" s="37" t="s">
        <v>998</v>
      </c>
      <c r="H128" s="36" t="s">
        <v>4037</v>
      </c>
      <c r="I128" s="634"/>
      <c r="J128" s="635" t="str">
        <f>IF(ISBLANK(HLOOKUP(CaseName,CaseData,MATCH($G128,cases!$G$3:$G$2464,0),FALSE)),"",HLOOKUP(CaseName,CaseData,MATCH($G128,cases!$G$3:$G$2464,0),FALSE))</f>
        <v/>
      </c>
      <c r="K128" s="352">
        <f>L132/L21 + SUM((L137*(L15+L16+L20)+L138*(L17+L18+L19))/L21,L203,L44,L45)</f>
        <v>1.323307806240651E-5</v>
      </c>
      <c r="L128" s="636">
        <f t="shared" si="4"/>
        <v>1.323307806240651E-5</v>
      </c>
      <c r="M128" s="29" t="s">
        <v>1488</v>
      </c>
      <c r="N128" s="29"/>
      <c r="O128" s="36"/>
    </row>
    <row r="129" spans="1:15" ht="12.75" customHeight="1" x14ac:dyDescent="0.3">
      <c r="A129" s="36"/>
      <c r="B129" s="36"/>
      <c r="C129" s="36"/>
      <c r="D129" s="36" t="s">
        <v>3978</v>
      </c>
      <c r="E129" s="29"/>
      <c r="F129" s="29"/>
      <c r="G129" s="37" t="s">
        <v>999</v>
      </c>
      <c r="H129" s="36" t="s">
        <v>4037</v>
      </c>
      <c r="I129" s="634"/>
      <c r="J129" s="635" t="str">
        <f>IF(ISBLANK(HLOOKUP(CaseName,CaseData,MATCH($G129,cases!$G$3:$G$2464,0),FALSE)),"",HLOOKUP(CaseName,CaseData,MATCH($G129,cases!$G$3:$G$2464,0),FALSE))</f>
        <v/>
      </c>
      <c r="K129" s="352">
        <f>(L133+L134)/L21 + SUM((L137*(L15+L16+L20)+L138*(L17+L18+L19))/L21,L203,L44,L45)</f>
        <v>7.3604692909586206E-3</v>
      </c>
      <c r="L129" s="636">
        <f t="shared" si="4"/>
        <v>7.3604692909586206E-3</v>
      </c>
      <c r="M129" s="29" t="s">
        <v>1488</v>
      </c>
      <c r="N129" s="29"/>
      <c r="O129" s="36"/>
    </row>
    <row r="130" spans="1:15" ht="12.75" customHeight="1" x14ac:dyDescent="0.3">
      <c r="A130" s="36"/>
      <c r="B130" s="29" t="s">
        <v>929</v>
      </c>
      <c r="C130" s="29"/>
      <c r="D130" s="29"/>
      <c r="E130" s="29"/>
      <c r="F130" s="29"/>
      <c r="G130" s="29" t="s">
        <v>1000</v>
      </c>
      <c r="H130" s="29" t="s">
        <v>2192</v>
      </c>
      <c r="I130" s="634"/>
      <c r="J130" s="635" t="str">
        <f>IF(ISBLANK(HLOOKUP(CaseName,CaseData,MATCH($G130,cases!$G$3:$G$2464,0),FALSE)),"",HLOOKUP(CaseName,CaseData,MATCH($G130,cases!$G$3:$G$2464,0),FALSE))</f>
        <v/>
      </c>
      <c r="K130" s="352">
        <f>3.3*24</f>
        <v>79.199999999999989</v>
      </c>
      <c r="L130" s="636">
        <f>IF(ISBLANK(I130),IF(ISNUMBER(J130)=FALSE,K130*3600,J130*3600),I130*3600)</f>
        <v>285119.99999999994</v>
      </c>
      <c r="M130" s="29" t="s">
        <v>1488</v>
      </c>
      <c r="N130" s="29"/>
      <c r="O130" s="36"/>
    </row>
    <row r="131" spans="1:15" ht="12.75" customHeight="1" x14ac:dyDescent="0.3">
      <c r="A131" s="36"/>
      <c r="B131" s="29" t="s">
        <v>931</v>
      </c>
      <c r="C131" s="29"/>
      <c r="D131" s="29"/>
      <c r="E131" s="29"/>
      <c r="F131" s="29"/>
      <c r="G131" s="29" t="s">
        <v>1001</v>
      </c>
      <c r="H131" s="29" t="s">
        <v>2192</v>
      </c>
      <c r="I131" s="634"/>
      <c r="J131" s="635" t="str">
        <f>IF(ISBLANK(HLOOKUP(CaseName,CaseData,MATCH($G131,cases!$G$3:$G$2464,0),FALSE)),"",HLOOKUP(CaseName,CaseData,MATCH($G131,cases!$G$3:$G$2464,0),FALSE))</f>
        <v/>
      </c>
      <c r="K131" s="352">
        <f>3.3*24*(0.06/(1-0.06))</f>
        <v>5.0553191489361691</v>
      </c>
      <c r="L131" s="636">
        <f>IF(ISBLANK(I131),IF(ISNUMBER(J131)=FALSE,K131*3600,J131*3600),I131*3600)</f>
        <v>18199.148936170208</v>
      </c>
      <c r="M131" s="29" t="s">
        <v>1488</v>
      </c>
      <c r="N131" s="29"/>
      <c r="O131" s="36"/>
    </row>
    <row r="132" spans="1:15" ht="12.75" customHeight="1" x14ac:dyDescent="0.3">
      <c r="A132" s="36"/>
      <c r="B132" s="36" t="s">
        <v>493</v>
      </c>
      <c r="C132" s="29"/>
      <c r="D132" s="29"/>
      <c r="E132" s="29"/>
      <c r="F132" s="29"/>
      <c r="G132" s="94" t="s">
        <v>459</v>
      </c>
      <c r="H132" s="95" t="s">
        <v>4045</v>
      </c>
      <c r="I132" s="634"/>
      <c r="J132" s="635" t="str">
        <f>IF(ISBLANK(HLOOKUP(CaseName,CaseData,MATCH($G132,cases!$G$3:$G$2464,0),FALSE)),"",HLOOKUP(CaseName,CaseData,MATCH($G132,cases!$G$3:$G$2464,0),FALSE))</f>
        <v/>
      </c>
      <c r="K132" s="352">
        <f>L135*(L67+L68)</f>
        <v>2.3927106760405139E-5</v>
      </c>
      <c r="L132" s="636">
        <f t="shared" si="4"/>
        <v>2.3927106760405139E-5</v>
      </c>
      <c r="M132" s="29" t="s">
        <v>1490</v>
      </c>
      <c r="N132" s="29"/>
      <c r="O132" s="36"/>
    </row>
    <row r="133" spans="1:15" ht="12.75" customHeight="1" x14ac:dyDescent="0.3">
      <c r="A133" s="36"/>
      <c r="B133" s="36" t="s">
        <v>745</v>
      </c>
      <c r="C133" s="29"/>
      <c r="D133" s="29"/>
      <c r="E133" s="29"/>
      <c r="F133" s="29"/>
      <c r="G133" s="37" t="s">
        <v>1291</v>
      </c>
      <c r="H133" s="95" t="s">
        <v>4045</v>
      </c>
      <c r="I133" s="634"/>
      <c r="J133" s="635" t="str">
        <f>IF(ISBLANK(HLOOKUP(CaseName,CaseData,MATCH($G133,cases!$G$3:$G$2464,0),FALSE)),"",HLOOKUP(CaseName,CaseData,MATCH($G133,cases!$G$3:$G$2464,0),FALSE))</f>
        <v/>
      </c>
      <c r="K133" s="352">
        <f>L68*(L130+L131)/L131*RAINrate.C*L136</f>
        <v>1.7409729390052175E-3</v>
      </c>
      <c r="L133" s="636">
        <f t="shared" si="4"/>
        <v>1.7409729390052175E-3</v>
      </c>
      <c r="M133" s="29" t="s">
        <v>1490</v>
      </c>
      <c r="N133" s="29"/>
      <c r="O133" s="36"/>
    </row>
    <row r="134" spans="1:15" ht="12.75" customHeight="1" x14ac:dyDescent="0.3">
      <c r="A134" s="36"/>
      <c r="B134" s="36" t="s">
        <v>746</v>
      </c>
      <c r="C134" s="29"/>
      <c r="D134" s="29"/>
      <c r="E134" s="29"/>
      <c r="F134" s="29"/>
      <c r="G134" s="37" t="s">
        <v>934</v>
      </c>
      <c r="H134" s="95" t="s">
        <v>4045</v>
      </c>
      <c r="I134" s="634"/>
      <c r="J134" s="635" t="str">
        <f>IF(ISBLANK(HLOOKUP(CaseName,CaseData,MATCH($G134,cases!$G$3:$G$2464,0),FALSE)),"",HLOOKUP(CaseName,CaseData,MATCH($G134,cases!$G$3:$G$2464,0),FALSE))</f>
        <v/>
      </c>
      <c r="K134" s="352">
        <f>L66*(L130+L131)/L131*RAINrate.C/(L69*FRorig.aerw)</f>
        <v>7.3455191670639692</v>
      </c>
      <c r="L134" s="636">
        <f t="shared" si="4"/>
        <v>7.3455191670639692</v>
      </c>
      <c r="M134" s="29" t="s">
        <v>1490</v>
      </c>
      <c r="N134" s="29"/>
      <c r="O134" s="36"/>
    </row>
    <row r="135" spans="1:15" ht="12.75" customHeight="1" x14ac:dyDescent="0.3">
      <c r="A135" s="36"/>
      <c r="B135" s="29"/>
      <c r="C135" s="95" t="s">
        <v>747</v>
      </c>
      <c r="D135" s="95"/>
      <c r="E135" s="95"/>
      <c r="F135" s="95"/>
      <c r="G135" s="94" t="s">
        <v>460</v>
      </c>
      <c r="H135" s="95" t="s">
        <v>4045</v>
      </c>
      <c r="I135" s="634"/>
      <c r="J135" s="635" t="str">
        <f>IF(ISBLANK(HLOOKUP(CaseName,CaseData,MATCH($G135,cases!$G$3:$G$2464,0),FALSE)),"",HLOOKUP(CaseName,CaseData,MATCH($G135,cases!$G$3:$G$2464,0),FALSE))</f>
        <v/>
      </c>
      <c r="K135" s="352">
        <v>1E-3</v>
      </c>
      <c r="L135" s="636">
        <f t="shared" si="4"/>
        <v>1E-3</v>
      </c>
      <c r="M135" s="29" t="s">
        <v>1490</v>
      </c>
      <c r="N135" s="29"/>
      <c r="O135" s="36"/>
    </row>
    <row r="136" spans="1:15" ht="12.75" customHeight="1" x14ac:dyDescent="0.3">
      <c r="A136" s="36"/>
      <c r="B136" s="29"/>
      <c r="C136" s="36" t="s">
        <v>444</v>
      </c>
      <c r="D136" s="29"/>
      <c r="E136" s="29"/>
      <c r="F136" s="29"/>
      <c r="G136" s="94" t="s">
        <v>1064</v>
      </c>
      <c r="H136" s="36" t="s">
        <v>36</v>
      </c>
      <c r="I136" s="634"/>
      <c r="J136" s="635" t="str">
        <f>IF(ISBLANK(HLOOKUP(CaseName,CaseData,MATCH($G136,cases!$G$3:$G$2464,0),FALSE)),"",HLOOKUP(CaseName,CaseData,MATCH($G136,cases!$G$3:$G$2464,0),FALSE))</f>
        <v/>
      </c>
      <c r="K136" s="352">
        <v>200000</v>
      </c>
      <c r="L136" s="636">
        <f t="shared" si="4"/>
        <v>200000</v>
      </c>
      <c r="M136" s="36" t="s">
        <v>486</v>
      </c>
      <c r="N136" s="29"/>
      <c r="O136" s="36"/>
    </row>
    <row r="137" spans="1:15" ht="12.75" customHeight="1" x14ac:dyDescent="0.3">
      <c r="A137" s="36"/>
      <c r="B137" s="36" t="s">
        <v>2218</v>
      </c>
      <c r="C137" s="29"/>
      <c r="D137" s="29"/>
      <c r="E137" s="95"/>
      <c r="F137" s="95"/>
      <c r="G137" s="37" t="s">
        <v>2238</v>
      </c>
      <c r="H137" s="36" t="s">
        <v>4046</v>
      </c>
      <c r="I137" s="634"/>
      <c r="J137" s="635" t="str">
        <f>IF(ISBLANK(HLOOKUP(CaseName,CaseData,MATCH($G137,cases!$G$3:$G$2464,0),FALSE)),"",HLOOKUP(CaseName,CaseData,MATCH($G137,cases!$G$3:$G$2464,0),FALSE))</f>
        <v/>
      </c>
      <c r="K137" s="352">
        <f>L66*(L142*L143/(FRorig.w1*L142*L69+L143))</f>
        <v>3.7735276288031836E-3</v>
      </c>
      <c r="L137" s="636">
        <f t="shared" ref="L137:L151" si="5">IF(ISBLANK(I137),IF(ISNUMBER(J137)=FALSE,K137,J137),I137)</f>
        <v>3.7735276288031836E-3</v>
      </c>
      <c r="M137" s="36" t="s">
        <v>4047</v>
      </c>
      <c r="N137" s="29"/>
      <c r="O137" s="36"/>
    </row>
    <row r="138" spans="1:15" ht="12.75" customHeight="1" x14ac:dyDescent="0.3">
      <c r="A138" s="36"/>
      <c r="B138" s="36" t="s">
        <v>2219</v>
      </c>
      <c r="C138" s="29"/>
      <c r="D138" s="29"/>
      <c r="E138" s="95"/>
      <c r="F138" s="95"/>
      <c r="G138" s="37" t="s">
        <v>2239</v>
      </c>
      <c r="H138" s="36" t="s">
        <v>4046</v>
      </c>
      <c r="I138" s="634"/>
      <c r="J138" s="635" t="str">
        <f>IF(ISBLANK(HLOOKUP(CaseName,CaseData,MATCH($G138,cases!$G$3:$G$2464,0),FALSE)),"",HLOOKUP(CaseName,CaseData,MATCH($G138,cases!$G$3:$G$2464,0),FALSE))</f>
        <v/>
      </c>
      <c r="K138" s="352">
        <f>L66*(L147*L148)/(L147*((L69*FRorig.s1w)/L96)+L148)</f>
        <v>1.0222970376939818E-3</v>
      </c>
      <c r="L138" s="636">
        <f t="shared" si="5"/>
        <v>1.0222970376939818E-3</v>
      </c>
      <c r="M138" s="36" t="s">
        <v>4047</v>
      </c>
      <c r="N138" s="29"/>
      <c r="O138" s="36"/>
    </row>
    <row r="139" spans="1:15" ht="12.75" customHeight="1" x14ac:dyDescent="0.3">
      <c r="A139" s="36"/>
      <c r="B139" s="36" t="s">
        <v>2212</v>
      </c>
      <c r="C139" s="29"/>
      <c r="D139" s="29"/>
      <c r="E139" s="95"/>
      <c r="F139" s="95"/>
      <c r="G139" s="37" t="s">
        <v>2240</v>
      </c>
      <c r="H139" s="36" t="s">
        <v>4046</v>
      </c>
      <c r="I139" s="634"/>
      <c r="J139" s="635" t="str">
        <f>IF(ISBLANK(HLOOKUP(CaseName,CaseData,MATCH($G139,cases!$G$3:$G$2464,0),FALSE)),"",HLOOKUP(CaseName,CaseData,MATCH($G139,cases!$G$3:$G$2464,0),FALSE))</f>
        <v/>
      </c>
      <c r="K139" s="352">
        <f>(L142*L143/(FRorig.w1*L142*L69+L143))*L69*(L72*FRorig.w1)</f>
        <v>1.893474429147487E-10</v>
      </c>
      <c r="L139" s="636">
        <f t="shared" si="5"/>
        <v>1.893474429147487E-10</v>
      </c>
      <c r="M139" s="36" t="s">
        <v>4047</v>
      </c>
      <c r="N139" s="29"/>
      <c r="O139" s="36"/>
    </row>
    <row r="140" spans="1:15" ht="12.75" customHeight="1" x14ac:dyDescent="0.3">
      <c r="A140" s="36"/>
      <c r="B140" s="36" t="s">
        <v>2213</v>
      </c>
      <c r="C140" s="29"/>
      <c r="D140" s="29"/>
      <c r="E140" s="95"/>
      <c r="F140" s="95"/>
      <c r="G140" s="37" t="s">
        <v>2241</v>
      </c>
      <c r="H140" s="36" t="s">
        <v>4046</v>
      </c>
      <c r="I140" s="634"/>
      <c r="J140" s="635" t="str">
        <f>IF(ISBLANK(HLOOKUP(CaseName,CaseData,MATCH($G140,cases!$G$3:$G$2464,0),FALSE)),"",HLOOKUP(CaseName,CaseData,MATCH($G140,cases!$G$3:$G$2464,0),FALSE))</f>
        <v/>
      </c>
      <c r="K140" s="352">
        <f>(L142*L143/(FRorig.w1*L142*L69+L143))*L69*(L78*FRorig.w1)</f>
        <v>1.890673513739142E-10</v>
      </c>
      <c r="L140" s="636">
        <f t="shared" si="5"/>
        <v>1.890673513739142E-10</v>
      </c>
      <c r="M140" s="36" t="s">
        <v>4047</v>
      </c>
      <c r="N140" s="29"/>
      <c r="O140" s="36"/>
    </row>
    <row r="141" spans="1:15" ht="12.75" customHeight="1" x14ac:dyDescent="0.3">
      <c r="A141" s="36"/>
      <c r="B141" s="36" t="s">
        <v>2214</v>
      </c>
      <c r="C141" s="29"/>
      <c r="D141" s="29"/>
      <c r="E141" s="29"/>
      <c r="F141" s="29"/>
      <c r="G141" s="37" t="s">
        <v>2242</v>
      </c>
      <c r="H141" s="36" t="s">
        <v>4046</v>
      </c>
      <c r="I141" s="634"/>
      <c r="J141" s="635" t="str">
        <f>IF(ISBLANK(HLOOKUP(CaseName,CaseData,MATCH($G141,cases!$G$3:$G$2464,0),FALSE)),"",HLOOKUP(CaseName,CaseData,MATCH($G141,cases!$G$3:$G$2464,0),FALSE))</f>
        <v/>
      </c>
      <c r="K141" s="352">
        <f>(L142*L143/(FRorig.w2*L142*L69+L143))*L69*(L84*FRorig.w2)</f>
        <v>1.8368066569839099E-10</v>
      </c>
      <c r="L141" s="636">
        <f t="shared" si="5"/>
        <v>1.8368066569839099E-10</v>
      </c>
      <c r="M141" s="36" t="s">
        <v>4047</v>
      </c>
      <c r="N141" s="29"/>
      <c r="O141" s="36"/>
    </row>
    <row r="142" spans="1:15" ht="12.75" customHeight="1" x14ac:dyDescent="0.3">
      <c r="A142" s="36"/>
      <c r="B142" s="36"/>
      <c r="C142" s="29" t="s">
        <v>1077</v>
      </c>
      <c r="D142" s="29"/>
      <c r="E142" s="95"/>
      <c r="F142" s="95"/>
      <c r="G142" s="29" t="s">
        <v>3988</v>
      </c>
      <c r="H142" s="95" t="s">
        <v>4045</v>
      </c>
      <c r="I142" s="634"/>
      <c r="J142" s="635" t="str">
        <f>IF(ISBLANK(HLOOKUP(CaseName,CaseData,MATCH($G142,cases!$G$3:$G$2464,0),FALSE)),"",HLOOKUP(CaseName,CaseData,MATCH($G142,cases!$G$3:$G$2464,0),FALSE))</f>
        <v/>
      </c>
      <c r="K142" s="352">
        <f>0.01*(0.3+0.2*WINDspeed.C)*((0.018/Molweight)^(0.67*0.5))</f>
        <v>3.8661873187415758E-3</v>
      </c>
      <c r="L142" s="636">
        <f t="shared" si="5"/>
        <v>3.8661873187415758E-3</v>
      </c>
      <c r="M142" s="29" t="s">
        <v>1490</v>
      </c>
      <c r="N142" s="29"/>
      <c r="O142" s="36"/>
    </row>
    <row r="143" spans="1:15" ht="12.75" customHeight="1" x14ac:dyDescent="0.3">
      <c r="A143" s="36"/>
      <c r="B143" s="36"/>
      <c r="C143" s="29" t="s">
        <v>1048</v>
      </c>
      <c r="D143" s="29"/>
      <c r="E143" s="95"/>
      <c r="F143" s="95"/>
      <c r="G143" s="29" t="s">
        <v>3989</v>
      </c>
      <c r="H143" s="95" t="s">
        <v>4045</v>
      </c>
      <c r="I143" s="634"/>
      <c r="J143" s="635" t="str">
        <f>IF(ISBLANK(HLOOKUP(CaseName,CaseData,MATCH($G143,cases!$G$3:$G$2464,0),FALSE)),"",HLOOKUP(CaseName,CaseData,MATCH($G143,cases!$G$3:$G$2464,0),FALSE))</f>
        <v/>
      </c>
      <c r="K143" s="352">
        <f>0.01*(0.0004+0.00004*WINDspeed.C^2)*((0.032/Molweight)^(0.5*0.5))</f>
        <v>4.6712434275245704E-6</v>
      </c>
      <c r="L143" s="636">
        <f t="shared" si="5"/>
        <v>4.6712434275245704E-6</v>
      </c>
      <c r="M143" s="29" t="s">
        <v>1490</v>
      </c>
      <c r="N143" s="29"/>
      <c r="O143" s="36"/>
    </row>
    <row r="144" spans="1:15" ht="12.75" customHeight="1" x14ac:dyDescent="0.3">
      <c r="A144" s="36"/>
      <c r="B144" s="36" t="s">
        <v>2215</v>
      </c>
      <c r="C144" s="29"/>
      <c r="D144" s="29"/>
      <c r="E144" s="95"/>
      <c r="F144" s="95"/>
      <c r="G144" s="37" t="s">
        <v>2243</v>
      </c>
      <c r="H144" s="36" t="s">
        <v>4046</v>
      </c>
      <c r="I144" s="634"/>
      <c r="J144" s="635" t="str">
        <f>IF(ISBLANK(HLOOKUP(CaseName,CaseData,MATCH($G144,cases!$G$3:$G$2464,0),FALSE)),"",HLOOKUP(CaseName,CaseData,MATCH($G144,cases!$G$3:$G$2464,0),FALSE))</f>
        <v/>
      </c>
      <c r="K144" s="352">
        <f>(L147*L148)/(L147+L148/((L69*FRorig.s1w)/L96))*L149</f>
        <v>2.1135201902437659E-12</v>
      </c>
      <c r="L144" s="636">
        <f t="shared" si="5"/>
        <v>2.1135201902437659E-12</v>
      </c>
      <c r="M144" s="36" t="s">
        <v>4047</v>
      </c>
      <c r="N144" s="128"/>
      <c r="O144" s="36"/>
    </row>
    <row r="145" spans="1:15" ht="12.75" customHeight="1" x14ac:dyDescent="0.3">
      <c r="A145" s="36"/>
      <c r="B145" s="36" t="s">
        <v>2216</v>
      </c>
      <c r="C145" s="29"/>
      <c r="D145" s="29"/>
      <c r="E145" s="95"/>
      <c r="F145" s="95"/>
      <c r="G145" s="37" t="s">
        <v>2244</v>
      </c>
      <c r="H145" s="36" t="s">
        <v>4046</v>
      </c>
      <c r="I145" s="634"/>
      <c r="J145" s="635" t="str">
        <f>IF(ISBLANK(HLOOKUP(CaseName,CaseData,MATCH($G145,cases!$G$3:$G$2464,0),FALSE)),"",HLOOKUP(CaseName,CaseData,MATCH($G145,cases!$G$3:$G$2464,0),FALSE))</f>
        <v/>
      </c>
      <c r="K145" s="656">
        <f>(L147*L148)/(L147+L148/((L69*FRorig.s2w)/L101))*L150</f>
        <v>3.8371523059792708E-12</v>
      </c>
      <c r="L145" s="636">
        <f t="shared" si="5"/>
        <v>3.8371523059792708E-12</v>
      </c>
      <c r="M145" s="36" t="s">
        <v>4047</v>
      </c>
      <c r="N145" s="29"/>
      <c r="O145" s="36"/>
    </row>
    <row r="146" spans="1:15" ht="12.75" customHeight="1" x14ac:dyDescent="0.3">
      <c r="A146" s="36"/>
      <c r="B146" s="36" t="s">
        <v>2217</v>
      </c>
      <c r="C146" s="29"/>
      <c r="D146" s="29"/>
      <c r="E146" s="95"/>
      <c r="F146" s="95"/>
      <c r="G146" s="37" t="s">
        <v>2245</v>
      </c>
      <c r="H146" s="36" t="s">
        <v>4046</v>
      </c>
      <c r="I146" s="634"/>
      <c r="J146" s="635" t="str">
        <f>IF(ISBLANK(HLOOKUP(CaseName,CaseData,MATCH($G146,cases!$G$3:$G$2464,0),FALSE)),"",HLOOKUP(CaseName,CaseData,MATCH($G146,cases!$G$3:$G$2464,0),FALSE))</f>
        <v/>
      </c>
      <c r="K146" s="656">
        <f>(L147*L148)/(L147+L148/((L69*FRorig.s3w)/L106))*L151</f>
        <v>2.1080741700257921E-12</v>
      </c>
      <c r="L146" s="636">
        <f t="shared" si="5"/>
        <v>2.1080741700257921E-12</v>
      </c>
      <c r="M146" s="36" t="s">
        <v>4047</v>
      </c>
      <c r="N146" s="29"/>
      <c r="O146" s="36"/>
    </row>
    <row r="147" spans="1:15" ht="12.75" customHeight="1" x14ac:dyDescent="0.3">
      <c r="A147" s="36"/>
      <c r="B147" s="36"/>
      <c r="C147" s="29" t="s">
        <v>1049</v>
      </c>
      <c r="D147" s="29"/>
      <c r="E147" s="95"/>
      <c r="F147" s="95"/>
      <c r="G147" s="29" t="s">
        <v>3990</v>
      </c>
      <c r="H147" s="95" t="s">
        <v>4045</v>
      </c>
      <c r="I147" s="634"/>
      <c r="J147" s="635" t="str">
        <f>IF(ISBLANK(HLOOKUP(CaseName,CaseData,MATCH($G147,cases!$G$3:$G$2464,0),FALSE)),"",HLOOKUP(CaseName,CaseData,MATCH($G147,cases!$G$3:$G$2464,0),FALSE))</f>
        <v/>
      </c>
      <c r="K147" s="352">
        <f>0.43/(24*3600)/0.00475</f>
        <v>1.0477582846003899E-3</v>
      </c>
      <c r="L147" s="636">
        <f t="shared" si="5"/>
        <v>1.0477582846003899E-3</v>
      </c>
      <c r="M147" s="29" t="s">
        <v>1490</v>
      </c>
      <c r="N147" s="29"/>
      <c r="O147" s="36"/>
    </row>
    <row r="148" spans="1:15" ht="12.75" customHeight="1" x14ac:dyDescent="0.3">
      <c r="A148" s="36"/>
      <c r="B148" s="36"/>
      <c r="C148" s="29" t="s">
        <v>872</v>
      </c>
      <c r="D148" s="29"/>
      <c r="E148" s="29"/>
      <c r="F148" s="95"/>
      <c r="G148" s="29" t="s">
        <v>3991</v>
      </c>
      <c r="H148" s="95" t="s">
        <v>4045</v>
      </c>
      <c r="I148" s="634"/>
      <c r="J148" s="635" t="str">
        <f>IF(ISBLANK(HLOOKUP(CaseName,CaseData,MATCH($G148,cases!$G$3:$G$2464,0),FALSE)),"",HLOOKUP(CaseName,CaseData,MATCH($G148,cases!$G$3:$G$2464,0),FALSE))</f>
        <v/>
      </c>
      <c r="K148" s="352">
        <f>0.1*L215</f>
        <v>4.3455503205058606E-9</v>
      </c>
      <c r="L148" s="636">
        <f t="shared" si="5"/>
        <v>4.3455503205058606E-9</v>
      </c>
      <c r="M148" s="29" t="s">
        <v>1490</v>
      </c>
      <c r="N148" s="29" t="s">
        <v>1415</v>
      </c>
      <c r="O148" s="36"/>
    </row>
    <row r="149" spans="1:15" ht="12.75" customHeight="1" x14ac:dyDescent="0.3">
      <c r="A149" s="36"/>
      <c r="B149" s="36"/>
      <c r="C149" s="29" t="s">
        <v>185</v>
      </c>
      <c r="D149" s="29"/>
      <c r="E149" s="95"/>
      <c r="F149" s="95"/>
      <c r="G149" s="37" t="s">
        <v>1473</v>
      </c>
      <c r="H149" s="29" t="s">
        <v>36</v>
      </c>
      <c r="I149" s="634"/>
      <c r="J149" s="635" t="str">
        <f>IF(ISBLANK(HLOOKUP(CaseName,CaseData,MATCH($G149,cases!$G$3:$G$2464,0),FALSE)),"",HLOOKUP(CaseName,CaseData,MATCH($G149,cases!$G$3:$G$2464,0),FALSE))</f>
        <v/>
      </c>
      <c r="K149" s="352">
        <f>(EXP((-1/0.1)*0)*(1/0.1)*L27/(1-EXP((-1/0.1)*L27)))</f>
        <v>1.2707470412683992</v>
      </c>
      <c r="L149" s="636">
        <f t="shared" si="5"/>
        <v>1.2707470412683992</v>
      </c>
      <c r="M149" s="29" t="s">
        <v>486</v>
      </c>
      <c r="N149" s="29" t="s">
        <v>995</v>
      </c>
      <c r="O149" s="36"/>
    </row>
    <row r="150" spans="1:15" ht="12.75" customHeight="1" x14ac:dyDescent="0.3">
      <c r="A150" s="36"/>
      <c r="B150" s="36"/>
      <c r="C150" s="29" t="s">
        <v>185</v>
      </c>
      <c r="D150" s="29"/>
      <c r="E150" s="95"/>
      <c r="F150" s="95"/>
      <c r="G150" s="37" t="s">
        <v>1474</v>
      </c>
      <c r="H150" s="29" t="s">
        <v>36</v>
      </c>
      <c r="I150" s="634"/>
      <c r="J150" s="635" t="str">
        <f>IF(ISBLANK(HLOOKUP(CaseName,CaseData,MATCH($G150,cases!$G$3:$G$2464,0),FALSE)),"",HLOOKUP(CaseName,CaseData,MATCH($G150,cases!$G$3:$G$2464,0),FALSE))</f>
        <v/>
      </c>
      <c r="K150" s="352">
        <f>(EXP((-1/0.1)*0)*(1/0.1)*L28/(1-EXP((-1/0.1)*L28)))</f>
        <v>2.3130352854993315</v>
      </c>
      <c r="L150" s="636">
        <f t="shared" si="5"/>
        <v>2.3130352854993315</v>
      </c>
      <c r="M150" s="29" t="s">
        <v>486</v>
      </c>
      <c r="N150" s="29" t="s">
        <v>995</v>
      </c>
      <c r="O150" s="36"/>
    </row>
    <row r="151" spans="1:15" ht="12.75" customHeight="1" x14ac:dyDescent="0.3">
      <c r="A151" s="36"/>
      <c r="B151" s="36"/>
      <c r="C151" s="29" t="s">
        <v>185</v>
      </c>
      <c r="D151" s="29"/>
      <c r="E151" s="95"/>
      <c r="F151" s="95"/>
      <c r="G151" s="37" t="s">
        <v>907</v>
      </c>
      <c r="H151" s="29" t="s">
        <v>36</v>
      </c>
      <c r="I151" s="634"/>
      <c r="J151" s="635" t="str">
        <f>IF(ISBLANK(HLOOKUP(CaseName,CaseData,MATCH($G151,cases!$G$3:$G$2464,0),FALSE)),"",HLOOKUP(CaseName,CaseData,MATCH($G151,cases!$G$3:$G$2464,0),FALSE))</f>
        <v/>
      </c>
      <c r="K151" s="352">
        <f>(EXP((-1/0.1)*0)*(1/0.1)*L29/(1-EXP((-1/0.1)*L29)))</f>
        <v>1.2707470412683992</v>
      </c>
      <c r="L151" s="636">
        <f t="shared" si="5"/>
        <v>1.2707470412683992</v>
      </c>
      <c r="M151" s="29" t="s">
        <v>486</v>
      </c>
      <c r="N151" s="29" t="s">
        <v>995</v>
      </c>
      <c r="O151" s="36"/>
    </row>
    <row r="152" spans="1:15" ht="12.75" customHeight="1" x14ac:dyDescent="0.3">
      <c r="A152" s="36"/>
      <c r="B152" s="29"/>
      <c r="C152" s="36"/>
      <c r="D152" s="95"/>
      <c r="E152" s="95"/>
      <c r="F152" s="29"/>
      <c r="G152" s="94"/>
      <c r="H152" s="94"/>
      <c r="I152" s="635"/>
      <c r="J152" s="353"/>
      <c r="K152" s="353"/>
      <c r="L152" s="353"/>
      <c r="M152" s="29"/>
      <c r="N152" s="29"/>
      <c r="O152" s="36"/>
    </row>
    <row r="153" spans="1:15" ht="12.75" customHeight="1" x14ac:dyDescent="0.3">
      <c r="A153" s="36" t="s">
        <v>76</v>
      </c>
      <c r="B153" s="29"/>
      <c r="C153" s="29"/>
      <c r="D153" s="29"/>
      <c r="E153" s="29"/>
      <c r="F153" s="29"/>
      <c r="G153" s="37" t="s">
        <v>823</v>
      </c>
      <c r="H153" s="36" t="s">
        <v>4037</v>
      </c>
      <c r="I153" s="639"/>
      <c r="J153" s="635" t="str">
        <f>IF(ISBLANK(HLOOKUP(CaseName,CaseData,MATCH($G153,cases!$G$3:$G$2464,0),FALSE)),"",HLOOKUP(CaseName,CaseData,MATCH($G153,cases!$G$3:$G$2464,0),FALSE))</f>
        <v/>
      </c>
      <c r="K153" s="352">
        <f>(L157+L168)/L23</f>
        <v>2.6453105432102753E-8</v>
      </c>
      <c r="L153" s="636">
        <f t="shared" ref="L153:L173" si="6">IF(ISBLANK(I153),IF(ISNUMBER(J153)=FALSE,K153,J153),I153)</f>
        <v>2.6453105432102753E-8</v>
      </c>
      <c r="M153" s="29" t="s">
        <v>1488</v>
      </c>
      <c r="N153" s="29"/>
      <c r="O153" s="36"/>
    </row>
    <row r="154" spans="1:15" ht="12.75" customHeight="1" x14ac:dyDescent="0.3">
      <c r="A154" s="36" t="s">
        <v>77</v>
      </c>
      <c r="B154" s="29"/>
      <c r="C154" s="29"/>
      <c r="D154" s="29"/>
      <c r="E154" s="29"/>
      <c r="F154" s="29"/>
      <c r="G154" s="37" t="s">
        <v>824</v>
      </c>
      <c r="H154" s="36" t="s">
        <v>4037</v>
      </c>
      <c r="I154" s="639"/>
      <c r="J154" s="635" t="str">
        <f>IF(ISBLANK(HLOOKUP(CaseName,CaseData,MATCH($G154,cases!$G$3:$G$2464,0),FALSE)),"",HLOOKUP(CaseName,CaseData,MATCH($G154,cases!$G$3:$G$2464,0),FALSE))</f>
        <v/>
      </c>
      <c r="K154" s="352">
        <f>(L159+L170)/L24</f>
        <v>2.4746177511986306E-10</v>
      </c>
      <c r="L154" s="636">
        <f t="shared" si="6"/>
        <v>2.4746177511986306E-10</v>
      </c>
      <c r="M154" s="29" t="s">
        <v>1488</v>
      </c>
      <c r="N154" s="29"/>
      <c r="O154" s="36"/>
    </row>
    <row r="155" spans="1:15" ht="12.75" customHeight="1" x14ac:dyDescent="0.3">
      <c r="A155" s="36" t="s">
        <v>78</v>
      </c>
      <c r="B155" s="29"/>
      <c r="C155" s="29"/>
      <c r="D155" s="29"/>
      <c r="E155" s="29"/>
      <c r="F155" s="29"/>
      <c r="G155" s="37" t="s">
        <v>825</v>
      </c>
      <c r="H155" s="36" t="s">
        <v>4037</v>
      </c>
      <c r="I155" s="639"/>
      <c r="J155" s="635" t="str">
        <f>IF(ISBLANK(HLOOKUP(CaseName,CaseData,MATCH($G155,cases!$G$3:$G$2464,0),FALSE)),"",HLOOKUP(CaseName,CaseData,MATCH($G155,cases!$G$3:$G$2464,0),FALSE))</f>
        <v/>
      </c>
      <c r="K155" s="352">
        <f>(L158+L169)/L25</f>
        <v>6.077694390583737E-8</v>
      </c>
      <c r="L155" s="636">
        <f t="shared" si="6"/>
        <v>6.077694390583737E-8</v>
      </c>
      <c r="M155" s="29" t="s">
        <v>1488</v>
      </c>
      <c r="N155" s="29"/>
      <c r="O155" s="36"/>
    </row>
    <row r="156" spans="1:15" ht="12.75" customHeight="1" x14ac:dyDescent="0.3">
      <c r="A156" s="36" t="s">
        <v>79</v>
      </c>
      <c r="B156" s="29"/>
      <c r="C156" s="29"/>
      <c r="D156" s="29"/>
      <c r="E156" s="29"/>
      <c r="F156" s="29"/>
      <c r="G156" s="37" t="s">
        <v>826</v>
      </c>
      <c r="H156" s="36" t="s">
        <v>4037</v>
      </c>
      <c r="I156" s="639"/>
      <c r="J156" s="635" t="str">
        <f>IF(ISBLANK(HLOOKUP(CaseName,CaseData,MATCH($G156,cases!$G$3:$G$2464,0),FALSE)),"",HLOOKUP(CaseName,CaseData,MATCH($G156,cases!$G$3:$G$2464,0),FALSE))</f>
        <v/>
      </c>
      <c r="K156" s="352">
        <f>(L160+L171)/L26</f>
        <v>4.3682943293576994E-8</v>
      </c>
      <c r="L156" s="636">
        <f t="shared" si="6"/>
        <v>4.3682943293576994E-8</v>
      </c>
      <c r="M156" s="29" t="s">
        <v>1488</v>
      </c>
      <c r="N156" s="29"/>
      <c r="O156" s="36"/>
    </row>
    <row r="157" spans="1:15" ht="12.75" customHeight="1" x14ac:dyDescent="0.3">
      <c r="A157" s="36"/>
      <c r="B157" s="36" t="s">
        <v>2230</v>
      </c>
      <c r="C157" s="29"/>
      <c r="D157" s="29"/>
      <c r="E157" s="29"/>
      <c r="F157" s="29"/>
      <c r="G157" s="37" t="s">
        <v>2246</v>
      </c>
      <c r="H157" s="36" t="s">
        <v>4046</v>
      </c>
      <c r="I157" s="639"/>
      <c r="J157" s="635" t="str">
        <f>IF(ISBLANK(HLOOKUP(CaseName,CaseData,MATCH($G157,cases!$G$3:$G$2464,0),FALSE)),"",HLOOKUP(CaseName,CaseData,MATCH($G157,cases!$G$3:$G$2464,0),FALSE))</f>
        <v/>
      </c>
      <c r="K157" s="352">
        <f>L163*(1-L78)</f>
        <v>5.1903703961662373E-8</v>
      </c>
      <c r="L157" s="636">
        <f t="shared" si="6"/>
        <v>5.1903703961662373E-8</v>
      </c>
      <c r="M157" s="36" t="s">
        <v>4047</v>
      </c>
      <c r="N157" s="325"/>
      <c r="O157" s="36"/>
    </row>
    <row r="158" spans="1:15" ht="12.75" customHeight="1" x14ac:dyDescent="0.3">
      <c r="A158" s="36"/>
      <c r="B158" s="36" t="s">
        <v>2231</v>
      </c>
      <c r="C158" s="29"/>
      <c r="D158" s="29"/>
      <c r="E158" s="29"/>
      <c r="F158" s="29"/>
      <c r="G158" s="37" t="s">
        <v>2247</v>
      </c>
      <c r="H158" s="36" t="s">
        <v>4046</v>
      </c>
      <c r="I158" s="639"/>
      <c r="J158" s="635" t="str">
        <f>IF(ISBLANK(HLOOKUP(CaseName,CaseData,MATCH($G158,cases!$G$3:$G$2464,0),FALSE)),"",HLOOKUP(CaseName,CaseData,MATCH($G158,cases!$G$3:$G$2464,0),FALSE))</f>
        <v/>
      </c>
      <c r="K158" s="352">
        <f>L161-L164</f>
        <v>7.8182870370094893E-10</v>
      </c>
      <c r="L158" s="636">
        <f t="shared" si="6"/>
        <v>7.8182870370094893E-10</v>
      </c>
      <c r="M158" s="36" t="s">
        <v>4047</v>
      </c>
      <c r="N158" s="29"/>
      <c r="O158" s="36"/>
    </row>
    <row r="159" spans="1:15" ht="12.75" customHeight="1" x14ac:dyDescent="0.3">
      <c r="A159" s="36"/>
      <c r="B159" s="36" t="s">
        <v>2232</v>
      </c>
      <c r="C159" s="29"/>
      <c r="D159" s="29"/>
      <c r="E159" s="29"/>
      <c r="F159" s="29"/>
      <c r="G159" s="37" t="s">
        <v>2248</v>
      </c>
      <c r="H159" s="36" t="s">
        <v>4046</v>
      </c>
      <c r="I159" s="639"/>
      <c r="J159" s="635" t="str">
        <f>IF(ISBLANK(HLOOKUP(CaseName,CaseData,MATCH($G159,cases!$G$3:$G$2464,0),FALSE)),"",HLOOKUP(CaseName,CaseData,MATCH($G159,cases!$G$3:$G$2464,0),FALSE))</f>
        <v/>
      </c>
      <c r="K159" s="352">
        <f>L163*(1-L84)</f>
        <v>2.20083250063939E-8</v>
      </c>
      <c r="L159" s="636">
        <f t="shared" si="6"/>
        <v>2.20083250063939E-8</v>
      </c>
      <c r="M159" s="36" t="s">
        <v>4047</v>
      </c>
      <c r="N159" s="325"/>
      <c r="O159" s="36"/>
    </row>
    <row r="160" spans="1:15" ht="12.75" customHeight="1" x14ac:dyDescent="0.3">
      <c r="A160" s="36"/>
      <c r="B160" s="36" t="s">
        <v>2233</v>
      </c>
      <c r="C160" s="29"/>
      <c r="D160" s="29"/>
      <c r="E160" s="29"/>
      <c r="F160" s="29"/>
      <c r="G160" s="37" t="s">
        <v>2249</v>
      </c>
      <c r="H160" s="36" t="s">
        <v>4046</v>
      </c>
      <c r="I160" s="639"/>
      <c r="J160" s="635" t="str">
        <f>IF(ISBLANK(HLOOKUP(CaseName,CaseData,MATCH($G160,cases!$G$3:$G$2464,0),FALSE)),"",HLOOKUP(CaseName,CaseData,MATCH($G160,cases!$G$3:$G$2464,0),FALSE))</f>
        <v/>
      </c>
      <c r="K160" s="352">
        <f>L162-L165</f>
        <v>2.6192305460425681E-10</v>
      </c>
      <c r="L160" s="636">
        <f t="shared" si="6"/>
        <v>2.6192305460425681E-10</v>
      </c>
      <c r="M160" s="36" t="s">
        <v>4047</v>
      </c>
      <c r="N160" s="29"/>
      <c r="O160" s="36"/>
    </row>
    <row r="161" spans="1:15" ht="12.75" customHeight="1" x14ac:dyDescent="0.3">
      <c r="A161" s="36"/>
      <c r="B161" s="36"/>
      <c r="C161" s="36" t="s">
        <v>1228</v>
      </c>
      <c r="D161" s="29"/>
      <c r="E161" s="29"/>
      <c r="F161" s="29"/>
      <c r="G161" s="94" t="s">
        <v>1062</v>
      </c>
      <c r="H161" s="95" t="s">
        <v>4045</v>
      </c>
      <c r="I161" s="638"/>
      <c r="J161" s="635" t="str">
        <f>IF(ISBLANK(HLOOKUP(CaseName,CaseData,MATCH($G161,cases!$G$3:$G$2464,0),FALSE)),"",HLOOKUP(CaseName,CaseData,MATCH($G161,cases!$G$3:$G$2464,0),FALSE))</f>
        <v/>
      </c>
      <c r="K161" s="352">
        <f>IF(L163*L81/(L42*RHOsolid)&gt;L164,L163*L81/(L42*RHOsolid),L164)</f>
        <v>8.6805555555555575E-10</v>
      </c>
      <c r="L161" s="636">
        <f t="shared" si="6"/>
        <v>8.6805555555555575E-10</v>
      </c>
      <c r="M161" s="29" t="s">
        <v>1490</v>
      </c>
      <c r="N161" s="29"/>
      <c r="O161" s="36"/>
    </row>
    <row r="162" spans="1:15" ht="12.75" customHeight="1" x14ac:dyDescent="0.3">
      <c r="A162" s="36"/>
      <c r="B162" s="36"/>
      <c r="C162" s="36" t="s">
        <v>1229</v>
      </c>
      <c r="D162" s="29"/>
      <c r="E162" s="29"/>
      <c r="F162" s="29"/>
      <c r="G162" s="94" t="s">
        <v>498</v>
      </c>
      <c r="H162" s="95" t="s">
        <v>4045</v>
      </c>
      <c r="I162" s="638"/>
      <c r="J162" s="635" t="str">
        <f>IF(ISBLANK(HLOOKUP(CaseName,CaseData,MATCH($G162,cases!$G$3:$G$2464,0),FALSE)),"",HLOOKUP(CaseName,CaseData,MATCH($G162,cases!$G$3:$G$2464,0),FALSE))</f>
        <v/>
      </c>
      <c r="K162" s="352">
        <f>IF(L163*L87/(L42*RHOsolid)&gt;L165,L163*L87/(L42*RHOsolid),L165)</f>
        <v>2.893518518518519E-10</v>
      </c>
      <c r="L162" s="636">
        <f t="shared" si="6"/>
        <v>2.893518518518519E-10</v>
      </c>
      <c r="M162" s="29" t="s">
        <v>1490</v>
      </c>
      <c r="N162" s="29"/>
      <c r="O162" s="36"/>
    </row>
    <row r="163" spans="1:15" ht="12.75" customHeight="1" x14ac:dyDescent="0.3">
      <c r="A163" s="36"/>
      <c r="B163" s="36"/>
      <c r="C163" s="29"/>
      <c r="D163" s="36" t="s">
        <v>582</v>
      </c>
      <c r="E163" s="95"/>
      <c r="F163" s="95"/>
      <c r="G163" s="94" t="s">
        <v>500</v>
      </c>
      <c r="H163" s="95" t="s">
        <v>4045</v>
      </c>
      <c r="I163" s="638"/>
      <c r="J163" s="635" t="str">
        <f>IF(ISBLANK(HLOOKUP(CaseName,CaseData,MATCH($G163,cases!$G$3:$G$2464,0),FALSE)),"",HLOOKUP(CaseName,CaseData,MATCH($G163,cases!$G$3:$G$2464,0),FALSE))</f>
        <v/>
      </c>
      <c r="K163" s="352">
        <f>2.5/(24*3600)</f>
        <v>2.8935185185185186E-5</v>
      </c>
      <c r="L163" s="636">
        <f t="shared" si="6"/>
        <v>2.8935185185185186E-5</v>
      </c>
      <c r="M163" s="29" t="s">
        <v>1490</v>
      </c>
      <c r="N163" s="29"/>
      <c r="O163" s="36"/>
    </row>
    <row r="164" spans="1:15" ht="12.75" customHeight="1" x14ac:dyDescent="0.3">
      <c r="A164" s="36"/>
      <c r="B164" s="36"/>
      <c r="C164" s="29"/>
      <c r="D164" s="36" t="s">
        <v>1329</v>
      </c>
      <c r="E164" s="95"/>
      <c r="F164" s="95"/>
      <c r="G164" s="94" t="s">
        <v>503</v>
      </c>
      <c r="H164" s="95" t="s">
        <v>4045</v>
      </c>
      <c r="I164" s="638"/>
      <c r="J164" s="635" t="str">
        <f>IF(ISBLANK(HLOOKUP(CaseName,CaseData,MATCH($G164,cases!$G$3:$G$2464,0),FALSE)),"",HLOOKUP(CaseName,CaseData,MATCH($G164,cases!$G$3:$G$2464,0),FALSE))</f>
        <v/>
      </c>
      <c r="K164" s="352">
        <v>8.6226851854606775E-11</v>
      </c>
      <c r="L164" s="636">
        <f t="shared" si="6"/>
        <v>8.6226851854606775E-11</v>
      </c>
      <c r="M164" s="29" t="s">
        <v>1490</v>
      </c>
      <c r="N164" s="29" t="s">
        <v>923</v>
      </c>
      <c r="O164" s="36"/>
    </row>
    <row r="165" spans="1:15" ht="12.75" customHeight="1" x14ac:dyDescent="0.3">
      <c r="A165" s="36"/>
      <c r="B165" s="36"/>
      <c r="C165" s="29"/>
      <c r="D165" s="36" t="s">
        <v>436</v>
      </c>
      <c r="E165" s="95"/>
      <c r="F165" s="95"/>
      <c r="G165" s="94" t="s">
        <v>660</v>
      </c>
      <c r="H165" s="95" t="s">
        <v>4045</v>
      </c>
      <c r="I165" s="638"/>
      <c r="J165" s="635" t="str">
        <f>IF(ISBLANK(HLOOKUP(CaseName,CaseData,MATCH($G165,cases!$G$3:$G$2464,0),FALSE)),"",HLOOKUP(CaseName,CaseData,MATCH($G165,cases!$G$3:$G$2464,0),FALSE))</f>
        <v/>
      </c>
      <c r="K165" s="656">
        <v>2.7428797247595103E-11</v>
      </c>
      <c r="L165" s="636">
        <f t="shared" si="6"/>
        <v>2.7428797247595103E-11</v>
      </c>
      <c r="M165" s="29" t="s">
        <v>1490</v>
      </c>
      <c r="N165" s="29" t="s">
        <v>923</v>
      </c>
      <c r="O165" s="36"/>
    </row>
    <row r="166" spans="1:15" ht="12.75" customHeight="1" x14ac:dyDescent="0.3">
      <c r="A166" s="36"/>
      <c r="B166" s="36"/>
      <c r="C166" s="29"/>
      <c r="D166" s="29"/>
      <c r="E166" s="36" t="s">
        <v>440</v>
      </c>
      <c r="F166" s="36"/>
      <c r="G166" s="94" t="s">
        <v>501</v>
      </c>
      <c r="H166" s="36" t="s">
        <v>4048</v>
      </c>
      <c r="I166" s="638"/>
      <c r="J166" s="635" t="str">
        <f>IF(ISBLANK(HLOOKUP(CaseName,CaseData,MATCH($G166,cases!$G$3:$G$2464,0),FALSE)),"",HLOOKUP(CaseName,CaseData,MATCH($G166,cases!$G$3:$G$2464,0),FALSE))</f>
        <v/>
      </c>
      <c r="K166" s="352">
        <v>10</v>
      </c>
      <c r="L166" s="636">
        <f>IF(ISBLANK(I166),IF(ISNUMBER(J166)=FALSE,K166/(1000*3600*24*365)*L16*L14,J166/(1000*3600*24*365)*L16*L14),I166/(1000*3600*24*365)*L16*L14)</f>
        <v>30.397196854388636</v>
      </c>
      <c r="M166" s="29" t="s">
        <v>1499</v>
      </c>
      <c r="N166" s="29"/>
      <c r="O166" s="36"/>
    </row>
    <row r="167" spans="1:15" ht="12.75" customHeight="1" x14ac:dyDescent="0.3">
      <c r="A167" s="36"/>
      <c r="B167" s="36"/>
      <c r="C167" s="29"/>
      <c r="D167" s="29"/>
      <c r="E167" s="36" t="s">
        <v>1378</v>
      </c>
      <c r="F167" s="36"/>
      <c r="G167" s="94" t="s">
        <v>502</v>
      </c>
      <c r="H167" s="36" t="s">
        <v>4048</v>
      </c>
      <c r="I167" s="638"/>
      <c r="J167" s="635" t="str">
        <f>IF(ISBLANK(HLOOKUP(CaseName,CaseData,MATCH($G167,cases!$G$3:$G$2464,0),FALSE)),"",HLOOKUP(CaseName,CaseData,MATCH($G167,cases!$G$3:$G$2464,0),FALSE))</f>
        <v/>
      </c>
      <c r="K167" s="352">
        <v>5</v>
      </c>
      <c r="L167" s="636">
        <f>IF(ISBLANK(I167),IF(ISNUMBER(J167)=FALSE,K167/(1000*3600*24*365)*L20*L14,J167/(1000*3600*24*365)*L20*L14),I167/(1000*3600*24*365)*L20*#REF!)</f>
        <v>588.75729325215627</v>
      </c>
      <c r="M167" s="29" t="s">
        <v>1499</v>
      </c>
      <c r="N167" s="29"/>
      <c r="O167" s="36"/>
    </row>
    <row r="168" spans="1:15" ht="12.75" customHeight="1" x14ac:dyDescent="0.3">
      <c r="A168" s="29"/>
      <c r="B168" s="29" t="s">
        <v>2234</v>
      </c>
      <c r="C168" s="95"/>
      <c r="D168" s="95"/>
      <c r="E168" s="29"/>
      <c r="F168" s="29"/>
      <c r="G168" s="37" t="s">
        <v>2250</v>
      </c>
      <c r="H168" s="36" t="s">
        <v>4046</v>
      </c>
      <c r="I168" s="639"/>
      <c r="J168" s="635" t="str">
        <f>IF(ISBLANK(HLOOKUP(CaseName,CaseData,MATCH($G168,cases!$G$3:$G$2464,0),FALSE)),"",HLOOKUP(CaseName,CaseData,MATCH($G168,cases!$G$3:$G$2464,0),FALSE))</f>
        <v/>
      </c>
      <c r="K168" s="352">
        <f>(L172*L173)/(L172+L173)*L78</f>
        <v>2.7455612334645883E-8</v>
      </c>
      <c r="L168" s="636">
        <f t="shared" si="6"/>
        <v>2.7455612334645883E-8</v>
      </c>
      <c r="M168" s="36" t="s">
        <v>4047</v>
      </c>
      <c r="N168" s="29"/>
      <c r="O168" s="36"/>
    </row>
    <row r="169" spans="1:15" ht="12.75" customHeight="1" x14ac:dyDescent="0.3">
      <c r="A169" s="29"/>
      <c r="B169" s="29" t="s">
        <v>2235</v>
      </c>
      <c r="C169" s="95"/>
      <c r="D169" s="95"/>
      <c r="E169" s="29"/>
      <c r="F169" s="29"/>
      <c r="G169" s="37" t="s">
        <v>2251</v>
      </c>
      <c r="H169" s="36" t="s">
        <v>4046</v>
      </c>
      <c r="I169" s="639"/>
      <c r="J169" s="635" t="str">
        <f>IF(ISBLANK(HLOOKUP(CaseName,CaseData,MATCH($G169,cases!$G$3:$G$2464,0),FALSE)),"",HLOOKUP(CaseName,CaseData,MATCH($G169,cases!$G$3:$G$2464,0),FALSE))</f>
        <v/>
      </c>
      <c r="K169" s="352">
        <f>((L172*L173)/(L172+L173))/L90</f>
        <v>1.0414796134741721E-9</v>
      </c>
      <c r="L169" s="636">
        <f t="shared" si="6"/>
        <v>1.0414796134741721E-9</v>
      </c>
      <c r="M169" s="36" t="s">
        <v>4047</v>
      </c>
      <c r="N169" s="29"/>
      <c r="O169" s="36"/>
    </row>
    <row r="170" spans="1:15" ht="12.75" customHeight="1" x14ac:dyDescent="0.3">
      <c r="A170" s="29"/>
      <c r="B170" s="29" t="s">
        <v>2236</v>
      </c>
      <c r="C170" s="95"/>
      <c r="D170" s="95"/>
      <c r="E170" s="29"/>
      <c r="F170" s="95"/>
      <c r="G170" s="37" t="s">
        <v>2252</v>
      </c>
      <c r="H170" s="36" t="s">
        <v>4046</v>
      </c>
      <c r="I170" s="639"/>
      <c r="J170" s="635" t="str">
        <f>IF(ISBLANK(HLOOKUP(CaseName,CaseData,MATCH($G170,cases!$G$3:$G$2464,0),FALSE)),"",HLOOKUP(CaseName,CaseData,MATCH($G170,cases!$G$3:$G$2464,0),FALSE))</f>
        <v/>
      </c>
      <c r="K170" s="352">
        <f>(L172*L173)/(L172+L173)*L84</f>
        <v>2.7484030017578716E-8</v>
      </c>
      <c r="L170" s="636">
        <f t="shared" si="6"/>
        <v>2.7484030017578716E-8</v>
      </c>
      <c r="M170" s="36" t="s">
        <v>4047</v>
      </c>
      <c r="N170" s="29"/>
      <c r="O170" s="36"/>
    </row>
    <row r="171" spans="1:15" ht="12.75" customHeight="1" x14ac:dyDescent="0.3">
      <c r="A171" s="29"/>
      <c r="B171" s="29" t="s">
        <v>2237</v>
      </c>
      <c r="C171" s="95"/>
      <c r="D171" s="95"/>
      <c r="E171" s="29"/>
      <c r="F171" s="95"/>
      <c r="G171" s="37" t="s">
        <v>2253</v>
      </c>
      <c r="H171" s="36" t="s">
        <v>4046</v>
      </c>
      <c r="I171" s="639"/>
      <c r="J171" s="635" t="str">
        <f>IF(ISBLANK(HLOOKUP(CaseName,CaseData,MATCH($G171,cases!$G$3:$G$2464,0),FALSE)),"",HLOOKUP(CaseName,CaseData,MATCH($G171,cases!$G$3:$G$2464,0),FALSE))</f>
        <v/>
      </c>
      <c r="K171" s="352">
        <f>((L172*L173)/(L172+L173))/L93</f>
        <v>1.0485652442030529E-9</v>
      </c>
      <c r="L171" s="636">
        <f t="shared" si="6"/>
        <v>1.0485652442030529E-9</v>
      </c>
      <c r="M171" s="36" t="s">
        <v>4047</v>
      </c>
      <c r="N171" s="29"/>
      <c r="O171" s="36"/>
    </row>
    <row r="172" spans="1:15" ht="12.75" customHeight="1" x14ac:dyDescent="0.3">
      <c r="A172" s="36"/>
      <c r="B172" s="36"/>
      <c r="C172" s="29" t="s">
        <v>1076</v>
      </c>
      <c r="D172" s="29"/>
      <c r="E172" s="95"/>
      <c r="F172" s="95"/>
      <c r="G172" s="29" t="s">
        <v>665</v>
      </c>
      <c r="H172" s="95" t="s">
        <v>4045</v>
      </c>
      <c r="I172" s="638"/>
      <c r="J172" s="635" t="str">
        <f>IF(ISBLANK(HLOOKUP(CaseName,CaseData,MATCH($G172,cases!$G$3:$G$2464,0),FALSE)),"",HLOOKUP(CaseName,CaseData,MATCH($G172,cases!$G$3:$G$2464,0),FALSE))</f>
        <v/>
      </c>
      <c r="K172" s="352">
        <v>2.7779999999999999E-6</v>
      </c>
      <c r="L172" s="636">
        <f t="shared" si="6"/>
        <v>2.7779999999999999E-6</v>
      </c>
      <c r="M172" s="29" t="s">
        <v>1490</v>
      </c>
      <c r="N172" s="29"/>
      <c r="O172" s="36"/>
    </row>
    <row r="173" spans="1:15" ht="12.75" customHeight="1" x14ac:dyDescent="0.3">
      <c r="A173" s="36"/>
      <c r="B173" s="36"/>
      <c r="C173" s="29" t="s">
        <v>1230</v>
      </c>
      <c r="D173" s="29"/>
      <c r="E173" s="95"/>
      <c r="F173" s="95"/>
      <c r="G173" s="29" t="s">
        <v>666</v>
      </c>
      <c r="H173" s="95" t="s">
        <v>4045</v>
      </c>
      <c r="I173" s="638"/>
      <c r="J173" s="635" t="str">
        <f>IF(ISBLANK(HLOOKUP(CaseName,CaseData,MATCH($G173,cases!$G$3:$G$2464,0),FALSE)),"",HLOOKUP(CaseName,CaseData,MATCH($G173,cases!$G$3:$G$2464,0),FALSE))</f>
        <v/>
      </c>
      <c r="K173" s="352">
        <v>2.7779999999999998E-8</v>
      </c>
      <c r="L173" s="636">
        <f t="shared" si="6"/>
        <v>2.7779999999999998E-8</v>
      </c>
      <c r="M173" s="29" t="s">
        <v>1490</v>
      </c>
      <c r="N173" s="29"/>
      <c r="O173" s="36"/>
    </row>
    <row r="174" spans="1:15" ht="12.75" customHeight="1" x14ac:dyDescent="0.3">
      <c r="A174" s="36"/>
      <c r="B174" s="29"/>
      <c r="C174" s="36"/>
      <c r="D174" s="95"/>
      <c r="E174" s="95"/>
      <c r="F174" s="29"/>
      <c r="G174" s="94"/>
      <c r="H174" s="94"/>
      <c r="I174" s="635"/>
      <c r="J174" s="353"/>
      <c r="K174" s="353"/>
      <c r="L174" s="353"/>
      <c r="M174" s="29"/>
      <c r="N174" s="29"/>
      <c r="O174" s="36"/>
    </row>
    <row r="175" spans="1:15" ht="12.75" customHeight="1" x14ac:dyDescent="0.3">
      <c r="A175" s="36" t="s">
        <v>80</v>
      </c>
      <c r="B175" s="29"/>
      <c r="C175" s="29"/>
      <c r="D175" s="29"/>
      <c r="E175" s="29"/>
      <c r="F175" s="29"/>
      <c r="G175" s="37" t="s">
        <v>827</v>
      </c>
      <c r="H175" s="36" t="s">
        <v>4037</v>
      </c>
      <c r="I175" s="639"/>
      <c r="J175" s="635" t="str">
        <f>IF(ISBLANK(HLOOKUP(CaseName,CaseData,MATCH($G175,cases!$G$3:$G$2464,0),FALSE)),"",HLOOKUP(CaseName,CaseData,MATCH($G175,cases!$G$3:$G$2464,0),FALSE))</f>
        <v/>
      </c>
      <c r="K175" s="352">
        <f>(RAINrate.C*L184/L96+L181)*L187/L27*L16/(L16+L15)</f>
        <v>4.1985331810591978E-9</v>
      </c>
      <c r="L175" s="636">
        <f t="shared" ref="L175:L177" si="7">IF(ISBLANK(I175),IF(ISNUMBER(J175)=FALSE,K175,J175),I175)</f>
        <v>4.1985331810591978E-9</v>
      </c>
      <c r="M175" s="29" t="s">
        <v>1488</v>
      </c>
      <c r="N175" s="29"/>
      <c r="O175" s="36"/>
    </row>
    <row r="176" spans="1:15" ht="12.75" customHeight="1" x14ac:dyDescent="0.3">
      <c r="A176" s="36" t="s">
        <v>81</v>
      </c>
      <c r="B176" s="29"/>
      <c r="C176" s="29"/>
      <c r="D176" s="29"/>
      <c r="E176" s="29"/>
      <c r="F176" s="29"/>
      <c r="G176" s="37" t="s">
        <v>828</v>
      </c>
      <c r="H176" s="36" t="s">
        <v>4037</v>
      </c>
      <c r="I176" s="639"/>
      <c r="J176" s="635" t="str">
        <f>IF(ISBLANK(HLOOKUP(CaseName,CaseData,MATCH($G176,cases!$G$3:$G$2464,0),FALSE)),"",HLOOKUP(CaseName,CaseData,MATCH($G176,cases!$G$3:$G$2464,0),FALSE))</f>
        <v/>
      </c>
      <c r="K176" s="352">
        <f>(RAINrate.C*L185/L101+L182)*L188/L28*L16/(L16+L15)</f>
        <v>1.9120199778154223E-9</v>
      </c>
      <c r="L176" s="636">
        <f t="shared" si="7"/>
        <v>1.9120199778154223E-9</v>
      </c>
      <c r="M176" s="29" t="s">
        <v>1488</v>
      </c>
      <c r="N176" s="29"/>
      <c r="O176" s="36"/>
    </row>
    <row r="177" spans="1:15" ht="12.75" customHeight="1" x14ac:dyDescent="0.3">
      <c r="A177" s="36" t="s">
        <v>82</v>
      </c>
      <c r="B177" s="29"/>
      <c r="C177" s="29"/>
      <c r="D177" s="29"/>
      <c r="E177" s="29"/>
      <c r="F177" s="29"/>
      <c r="G177" s="37" t="s">
        <v>829</v>
      </c>
      <c r="H177" s="36" t="s">
        <v>4037</v>
      </c>
      <c r="I177" s="639"/>
      <c r="J177" s="635" t="str">
        <f>IF(ISBLANK(HLOOKUP(CaseName,CaseData,MATCH($G177,cases!$G$3:$G$2464,0),FALSE)),"",HLOOKUP(CaseName,CaseData,MATCH($G177,cases!$G$3:$G$2464,0),FALSE))</f>
        <v/>
      </c>
      <c r="K177" s="352">
        <f>(RAINrate.C*L186/L106+L183)*L189/L29*L16/(L16+L15)</f>
        <v>4.2017408811478684E-9</v>
      </c>
      <c r="L177" s="636">
        <f t="shared" si="7"/>
        <v>4.2017408811478684E-9</v>
      </c>
      <c r="M177" s="29" t="s">
        <v>1488</v>
      </c>
      <c r="N177" s="29"/>
      <c r="O177" s="36"/>
    </row>
    <row r="178" spans="1:15" ht="12.75" customHeight="1" x14ac:dyDescent="0.3">
      <c r="A178" s="36" t="s">
        <v>80</v>
      </c>
      <c r="B178" s="29"/>
      <c r="C178" s="29"/>
      <c r="D178" s="29"/>
      <c r="E178" s="29"/>
      <c r="F178" s="29"/>
      <c r="G178" s="37" t="s">
        <v>3933</v>
      </c>
      <c r="H178" s="36" t="s">
        <v>4037</v>
      </c>
      <c r="I178" s="639"/>
      <c r="J178" s="635" t="str">
        <f>IF(ISBLANK(HLOOKUP(CaseName,CaseData,MATCH($G178,cases!$G$3:$G$2464,0),FALSE)),"",HLOOKUP(CaseName,CaseData,MATCH($G178,cases!$G$3:$G$2464,0),FALSE))</f>
        <v/>
      </c>
      <c r="K178" s="352">
        <f>(RAINrate.C*L184/L96+L181)*L187/L27*L15/(L16+L15)</f>
        <v>3.8168483464174528E-10</v>
      </c>
      <c r="L178" s="636">
        <f t="shared" ref="L178:L180" si="8">IF(ISBLANK(I178),IF(ISNUMBER(J178)=FALSE,K178,J178),I178)</f>
        <v>3.8168483464174528E-10</v>
      </c>
      <c r="M178" s="29" t="s">
        <v>1488</v>
      </c>
      <c r="N178" s="29"/>
      <c r="O178" s="36"/>
    </row>
    <row r="179" spans="1:15" ht="12.75" customHeight="1" x14ac:dyDescent="0.3">
      <c r="A179" s="36" t="s">
        <v>81</v>
      </c>
      <c r="B179" s="29"/>
      <c r="C179" s="29"/>
      <c r="D179" s="29"/>
      <c r="E179" s="29"/>
      <c r="F179" s="29"/>
      <c r="G179" s="37" t="s">
        <v>3934</v>
      </c>
      <c r="H179" s="36" t="s">
        <v>4037</v>
      </c>
      <c r="I179" s="639"/>
      <c r="J179" s="635" t="str">
        <f>IF(ISBLANK(HLOOKUP(CaseName,CaseData,MATCH($G179,cases!$G$3:$G$2464,0),FALSE)),"",HLOOKUP(CaseName,CaseData,MATCH($G179,cases!$G$3:$G$2464,0),FALSE))</f>
        <v/>
      </c>
      <c r="K179" s="352">
        <f>(RAINrate.C*L185/L101+L182)*L188/L28*L15/(L16+L15)</f>
        <v>1.7381999798322021E-10</v>
      </c>
      <c r="L179" s="636">
        <f t="shared" si="8"/>
        <v>1.7381999798322021E-10</v>
      </c>
      <c r="M179" s="29" t="s">
        <v>1488</v>
      </c>
      <c r="N179" s="29"/>
      <c r="O179" s="36"/>
    </row>
    <row r="180" spans="1:15" ht="12.75" customHeight="1" x14ac:dyDescent="0.3">
      <c r="A180" s="36" t="s">
        <v>82</v>
      </c>
      <c r="B180" s="29"/>
      <c r="C180" s="29"/>
      <c r="D180" s="29"/>
      <c r="E180" s="29"/>
      <c r="F180" s="29"/>
      <c r="G180" s="37" t="s">
        <v>3935</v>
      </c>
      <c r="H180" s="36" t="s">
        <v>4037</v>
      </c>
      <c r="I180" s="639"/>
      <c r="J180" s="635" t="str">
        <f>IF(ISBLANK(HLOOKUP(CaseName,CaseData,MATCH($G180,cases!$G$3:$G$2464,0),FALSE)),"",HLOOKUP(CaseName,CaseData,MATCH($G180,cases!$G$3:$G$2464,0),FALSE))</f>
        <v/>
      </c>
      <c r="K180" s="352">
        <f>(RAINrate.C*L186/L106+L183)*L189/L29*L15/(L16+L15)</f>
        <v>3.8197644374071538E-10</v>
      </c>
      <c r="L180" s="636">
        <f t="shared" si="8"/>
        <v>3.8197644374071538E-10</v>
      </c>
      <c r="M180" s="29" t="s">
        <v>1488</v>
      </c>
      <c r="N180" s="29"/>
      <c r="O180" s="36"/>
    </row>
    <row r="181" spans="1:15" ht="12.75" customHeight="1" x14ac:dyDescent="0.3">
      <c r="A181" s="36"/>
      <c r="B181" s="95" t="s">
        <v>1087</v>
      </c>
      <c r="C181" s="29"/>
      <c r="D181" s="95"/>
      <c r="E181" s="95"/>
      <c r="F181" s="95"/>
      <c r="G181" s="94" t="s">
        <v>570</v>
      </c>
      <c r="H181" s="95" t="s">
        <v>4045</v>
      </c>
      <c r="I181" s="638"/>
      <c r="J181" s="635" t="str">
        <f>IF(ISBLANK(HLOOKUP(CaseName,CaseData,MATCH($G181,cases!$G$3:$G$2464,0),FALSE)),"",HLOOKUP(CaseName,CaseData,MATCH($G181,cases!$G$3:$G$2464,0),FALSE))</f>
        <v/>
      </c>
      <c r="K181" s="352">
        <f>EROSION.C</f>
        <v>9.5129375951293754E-13</v>
      </c>
      <c r="L181" s="636">
        <f>IF(ISBLANK(I181),IF(ISNUMBER(J181)=FALSE,K181,J181),I181)</f>
        <v>9.5129375951293754E-13</v>
      </c>
      <c r="M181" s="29" t="s">
        <v>1490</v>
      </c>
      <c r="N181" s="29"/>
      <c r="O181" s="36"/>
    </row>
    <row r="182" spans="1:15" ht="12.75" customHeight="1" x14ac:dyDescent="0.3">
      <c r="A182" s="36"/>
      <c r="B182" s="95" t="s">
        <v>1088</v>
      </c>
      <c r="C182" s="29"/>
      <c r="D182" s="95"/>
      <c r="E182" s="95"/>
      <c r="F182" s="95"/>
      <c r="G182" s="94" t="s">
        <v>571</v>
      </c>
      <c r="H182" s="95" t="s">
        <v>4045</v>
      </c>
      <c r="I182" s="638"/>
      <c r="J182" s="635" t="str">
        <f>IF(ISBLANK(HLOOKUP(CaseName,CaseData,MATCH($G182,cases!$G$3:$G$2464,0),FALSE)),"",HLOOKUP(CaseName,CaseData,MATCH($G182,cases!$G$3:$G$2464,0),FALSE))</f>
        <v/>
      </c>
      <c r="K182" s="352">
        <f>EROSION.C</f>
        <v>9.5129375951293754E-13</v>
      </c>
      <c r="L182" s="636">
        <f t="shared" ref="L182:L183" si="9">IF(ISBLANK(I182),IF(ISNUMBER(J182)=FALSE,K182,J182),I182)</f>
        <v>9.5129375951293754E-13</v>
      </c>
      <c r="M182" s="29" t="s">
        <v>1490</v>
      </c>
      <c r="N182" s="29"/>
      <c r="O182" s="36"/>
    </row>
    <row r="183" spans="1:15" ht="12.75" customHeight="1" x14ac:dyDescent="0.3">
      <c r="A183" s="36"/>
      <c r="B183" s="95" t="s">
        <v>461</v>
      </c>
      <c r="C183" s="29"/>
      <c r="D183" s="95"/>
      <c r="E183" s="95"/>
      <c r="F183" s="95"/>
      <c r="G183" s="94" t="s">
        <v>1541</v>
      </c>
      <c r="H183" s="95" t="s">
        <v>4045</v>
      </c>
      <c r="I183" s="639"/>
      <c r="J183" s="635" t="str">
        <f>IF(ISBLANK(HLOOKUP(CaseName,CaseData,MATCH($G183,cases!$G$3:$G$2464,0),FALSE)),"",HLOOKUP(CaseName,CaseData,MATCH($G183,cases!$G$3:$G$2464,0),FALSE))</f>
        <v/>
      </c>
      <c r="K183" s="352">
        <f>EROSION.C</f>
        <v>9.5129375951293754E-13</v>
      </c>
      <c r="L183" s="636">
        <f t="shared" si="9"/>
        <v>9.5129375951293754E-13</v>
      </c>
      <c r="M183" s="29" t="s">
        <v>1490</v>
      </c>
      <c r="N183" s="29"/>
      <c r="O183" s="36"/>
    </row>
    <row r="184" spans="1:15" ht="12.75" customHeight="1" x14ac:dyDescent="0.3">
      <c r="A184" s="36"/>
      <c r="B184" s="36" t="s">
        <v>17</v>
      </c>
      <c r="C184" s="29"/>
      <c r="D184" s="95"/>
      <c r="E184" s="95"/>
      <c r="F184" s="95"/>
      <c r="G184" s="94" t="s">
        <v>1009</v>
      </c>
      <c r="H184" s="36" t="s">
        <v>36</v>
      </c>
      <c r="I184" s="638"/>
      <c r="J184" s="635" t="str">
        <f>IF(ISBLANK(HLOOKUP(CaseName,CaseData,MATCH($G184,cases!$G$3:$G$2464,0),FALSE)),"",HLOOKUP(CaseName,CaseData,MATCH($G184,cases!$G$3:$G$2464,0),FALSE))</f>
        <v/>
      </c>
      <c r="K184" s="352">
        <f>FRACrun.C</f>
        <v>0.25</v>
      </c>
      <c r="L184" s="636">
        <f t="shared" ref="L184:L189" si="10">IF(ISBLANK(I184),IF(ISNUMBER(J184)=FALSE,K184,J184),I184)</f>
        <v>0.25</v>
      </c>
      <c r="M184" s="29" t="s">
        <v>486</v>
      </c>
      <c r="N184" s="29"/>
      <c r="O184" s="36"/>
    </row>
    <row r="185" spans="1:15" ht="12.75" customHeight="1" x14ac:dyDescent="0.3">
      <c r="A185" s="36"/>
      <c r="B185" s="36" t="s">
        <v>733</v>
      </c>
      <c r="C185" s="29"/>
      <c r="D185" s="95"/>
      <c r="E185" s="95"/>
      <c r="F185" s="95"/>
      <c r="G185" s="94" t="s">
        <v>1010</v>
      </c>
      <c r="H185" s="36" t="s">
        <v>36</v>
      </c>
      <c r="I185" s="638"/>
      <c r="J185" s="635" t="str">
        <f>IF(ISBLANK(HLOOKUP(CaseName,CaseData,MATCH($G185,cases!$G$3:$G$2464,0),FALSE)),"",HLOOKUP(CaseName,CaseData,MATCH($G185,cases!$G$3:$G$2464,0),FALSE))</f>
        <v/>
      </c>
      <c r="K185" s="352">
        <f>FRACrun.C</f>
        <v>0.25</v>
      </c>
      <c r="L185" s="636">
        <f t="shared" si="10"/>
        <v>0.25</v>
      </c>
      <c r="M185" s="29" t="s">
        <v>486</v>
      </c>
      <c r="N185" s="29"/>
      <c r="O185" s="36"/>
    </row>
    <row r="186" spans="1:15" ht="12.75" customHeight="1" x14ac:dyDescent="0.3">
      <c r="A186" s="36"/>
      <c r="B186" s="36" t="s">
        <v>870</v>
      </c>
      <c r="C186" s="29"/>
      <c r="D186" s="95"/>
      <c r="E186" s="95"/>
      <c r="F186" s="95"/>
      <c r="G186" s="94" t="s">
        <v>1011</v>
      </c>
      <c r="H186" s="36" t="s">
        <v>36</v>
      </c>
      <c r="I186" s="638"/>
      <c r="J186" s="635" t="str">
        <f>IF(ISBLANK(HLOOKUP(CaseName,CaseData,MATCH($G186,cases!$G$3:$G$2464,0),FALSE)),"",HLOOKUP(CaseName,CaseData,MATCH($G186,cases!$G$3:$G$2464,0),FALSE))</f>
        <v/>
      </c>
      <c r="K186" s="352">
        <f>FRACrun.C</f>
        <v>0.25</v>
      </c>
      <c r="L186" s="636">
        <f t="shared" si="10"/>
        <v>0.25</v>
      </c>
      <c r="M186" s="29" t="s">
        <v>486</v>
      </c>
      <c r="N186" s="29"/>
      <c r="O186" s="36"/>
    </row>
    <row r="187" spans="1:15" ht="12.75" customHeight="1" x14ac:dyDescent="0.3">
      <c r="A187" s="36"/>
      <c r="B187" s="29" t="s">
        <v>185</v>
      </c>
      <c r="C187" s="29"/>
      <c r="D187" s="95"/>
      <c r="E187" s="95"/>
      <c r="F187" s="95"/>
      <c r="G187" s="37" t="s">
        <v>908</v>
      </c>
      <c r="H187" s="29" t="s">
        <v>36</v>
      </c>
      <c r="I187" s="639"/>
      <c r="J187" s="635" t="str">
        <f>IF(ISBLANK(HLOOKUP(CaseName,CaseData,MATCH($G187,cases!$G$3:$G$2464,0),FALSE)),"",HLOOKUP(CaseName,CaseData,MATCH($G187,cases!$G$3:$G$2464,0),FALSE))</f>
        <v/>
      </c>
      <c r="K187" s="352">
        <f>(EXP((-1/0.1)*0)*(1/0.1)*L27/(1-EXP((-1/0.1)*L27)))</f>
        <v>1.2707470412683992</v>
      </c>
      <c r="L187" s="636">
        <f t="shared" si="10"/>
        <v>1.2707470412683992</v>
      </c>
      <c r="M187" s="29" t="s">
        <v>486</v>
      </c>
      <c r="N187" s="29" t="s">
        <v>995</v>
      </c>
      <c r="O187" s="36"/>
    </row>
    <row r="188" spans="1:15" ht="12.75" customHeight="1" x14ac:dyDescent="0.3">
      <c r="A188" s="36"/>
      <c r="B188" s="29" t="s">
        <v>185</v>
      </c>
      <c r="C188" s="29"/>
      <c r="D188" s="95"/>
      <c r="E188" s="95"/>
      <c r="F188" s="95"/>
      <c r="G188" s="37" t="s">
        <v>909</v>
      </c>
      <c r="H188" s="29" t="s">
        <v>36</v>
      </c>
      <c r="I188" s="639"/>
      <c r="J188" s="635" t="str">
        <f>IF(ISBLANK(HLOOKUP(CaseName,CaseData,MATCH($G188,cases!$G$3:$G$2464,0),FALSE)),"",HLOOKUP(CaseName,CaseData,MATCH($G188,cases!$G$3:$G$2464,0),FALSE))</f>
        <v/>
      </c>
      <c r="K188" s="352">
        <f>(EXP((-1/0.1)*0)*(1/0.1)*L28/(1-EXP((-1/0.1)*L28)))</f>
        <v>2.3130352854993315</v>
      </c>
      <c r="L188" s="636">
        <f t="shared" si="10"/>
        <v>2.3130352854993315</v>
      </c>
      <c r="M188" s="29" t="s">
        <v>486</v>
      </c>
      <c r="N188" s="29" t="s">
        <v>995</v>
      </c>
      <c r="O188" s="36"/>
    </row>
    <row r="189" spans="1:15" ht="12.75" customHeight="1" x14ac:dyDescent="0.3">
      <c r="A189" s="36"/>
      <c r="B189" s="29" t="s">
        <v>185</v>
      </c>
      <c r="C189" s="29"/>
      <c r="D189" s="95"/>
      <c r="E189" s="95"/>
      <c r="F189" s="95"/>
      <c r="G189" s="37" t="s">
        <v>910</v>
      </c>
      <c r="H189" s="29" t="s">
        <v>36</v>
      </c>
      <c r="I189" s="639"/>
      <c r="J189" s="635" t="str">
        <f>IF(ISBLANK(HLOOKUP(CaseName,CaseData,MATCH($G189,cases!$G$3:$G$2464,0),FALSE)),"",HLOOKUP(CaseName,CaseData,MATCH($G189,cases!$G$3:$G$2464,0),FALSE))</f>
        <v/>
      </c>
      <c r="K189" s="352">
        <f>(EXP((-1/0.1)*0)*(1/0.1)*L29/(1-EXP((-1/0.1)*L29)))</f>
        <v>1.2707470412683992</v>
      </c>
      <c r="L189" s="636">
        <f t="shared" si="10"/>
        <v>1.2707470412683992</v>
      </c>
      <c r="M189" s="29" t="s">
        <v>486</v>
      </c>
      <c r="N189" s="29" t="s">
        <v>995</v>
      </c>
      <c r="O189" s="36"/>
    </row>
    <row r="190" spans="1:15" ht="12.75" customHeight="1" x14ac:dyDescent="0.3">
      <c r="A190" s="29"/>
      <c r="B190" s="29"/>
      <c r="C190" s="29"/>
      <c r="D190" s="29"/>
      <c r="E190" s="29"/>
      <c r="F190" s="29"/>
      <c r="G190" s="29"/>
      <c r="H190" s="29"/>
      <c r="I190" s="635"/>
      <c r="J190" s="353"/>
      <c r="K190" s="353"/>
      <c r="L190" s="353"/>
      <c r="M190" s="29"/>
      <c r="N190" s="29"/>
      <c r="O190" s="36"/>
    </row>
    <row r="191" spans="1:15" ht="12.75" customHeight="1" x14ac:dyDescent="0.3">
      <c r="A191" s="98" t="s">
        <v>419</v>
      </c>
      <c r="B191" s="97"/>
      <c r="C191" s="97"/>
      <c r="D191" s="97"/>
      <c r="E191" s="97"/>
      <c r="F191" s="97"/>
      <c r="G191" s="98" t="s">
        <v>1008</v>
      </c>
      <c r="H191" s="98" t="s">
        <v>968</v>
      </c>
      <c r="I191" s="364" t="s">
        <v>754</v>
      </c>
      <c r="J191" s="340" t="s">
        <v>37</v>
      </c>
      <c r="K191" s="340" t="s">
        <v>753</v>
      </c>
      <c r="L191" s="340" t="s">
        <v>1358</v>
      </c>
      <c r="M191" s="97"/>
      <c r="N191" s="98" t="s">
        <v>1371</v>
      </c>
      <c r="O191" s="36"/>
    </row>
    <row r="192" spans="1:15" ht="12.75" customHeight="1" x14ac:dyDescent="0.3">
      <c r="A192" s="36"/>
      <c r="B192" s="29"/>
      <c r="C192" s="29"/>
      <c r="D192" s="29"/>
      <c r="E192" s="29"/>
      <c r="F192" s="29"/>
      <c r="G192" s="29"/>
      <c r="H192" s="29"/>
      <c r="I192" s="635"/>
      <c r="J192" s="353"/>
      <c r="K192" s="353"/>
      <c r="L192" s="353"/>
      <c r="M192" s="29"/>
      <c r="N192" s="29"/>
      <c r="O192" s="36"/>
    </row>
    <row r="193" spans="1:15" ht="12.75" customHeight="1" x14ac:dyDescent="0.3">
      <c r="A193" s="36" t="s">
        <v>224</v>
      </c>
      <c r="B193" s="29"/>
      <c r="C193" s="29"/>
      <c r="D193" s="29"/>
      <c r="E193" s="29"/>
      <c r="F193" s="29"/>
      <c r="G193" s="37" t="s">
        <v>830</v>
      </c>
      <c r="H193" s="36" t="s">
        <v>4037</v>
      </c>
      <c r="I193" s="639"/>
      <c r="J193" s="635" t="str">
        <f>IF(ISBLANK(HLOOKUP(CaseName,CaseData,MATCH($G193,cases!$G$3:$G$2464,0),FALSE)),"",HLOOKUP(CaseName,CaseData,MATCH($G193,cases!$G$3:$G$2464,0),FALSE))</f>
        <v/>
      </c>
      <c r="K193" s="352">
        <f>L202+L203</f>
        <v>9.0459815058013851E-6</v>
      </c>
      <c r="L193" s="636">
        <f t="shared" ref="L193:L217" si="11">IF(ISBLANK(I193),IF(ISNUMBER(J193)=FALSE,K193,J193),I193)</f>
        <v>9.0459815058013851E-6</v>
      </c>
      <c r="M193" s="29" t="s">
        <v>1488</v>
      </c>
      <c r="N193" s="29"/>
      <c r="O193" s="36"/>
    </row>
    <row r="194" spans="1:15" ht="12.75" customHeight="1" x14ac:dyDescent="0.3">
      <c r="A194" s="36" t="s">
        <v>304</v>
      </c>
      <c r="B194" s="29"/>
      <c r="C194" s="29"/>
      <c r="D194" s="29"/>
      <c r="E194" s="29"/>
      <c r="F194" s="29"/>
      <c r="G194" s="37" t="s">
        <v>353</v>
      </c>
      <c r="H194" s="36" t="s">
        <v>4037</v>
      </c>
      <c r="I194" s="639"/>
      <c r="J194" s="635" t="str">
        <f>IF(ISBLANK(HLOOKUP(CaseName,CaseData,MATCH($G194,cases!$G$3:$G$2464,0),FALSE)),"",HLOOKUP(CaseName,CaseData,MATCH($G194,cases!$G$3:$G$2464,0),FALSE))</f>
        <v/>
      </c>
      <c r="K194" s="352">
        <f>L206</f>
        <v>8.685696044300724E-8</v>
      </c>
      <c r="L194" s="636">
        <f>IF(ISBLANK(I194),IF(ISNUMBER(J194)=FALSE,K194,J194),I194)</f>
        <v>8.685696044300724E-8</v>
      </c>
      <c r="M194" s="29" t="s">
        <v>1488</v>
      </c>
      <c r="N194" s="29"/>
      <c r="O194" s="36"/>
    </row>
    <row r="195" spans="1:15" ht="12.75" customHeight="1" x14ac:dyDescent="0.3">
      <c r="A195" s="36" t="s">
        <v>253</v>
      </c>
      <c r="B195" s="29"/>
      <c r="C195" s="29"/>
      <c r="D195" s="29"/>
      <c r="E195" s="29"/>
      <c r="F195" s="29"/>
      <c r="G195" s="37" t="s">
        <v>831</v>
      </c>
      <c r="H195" s="36" t="s">
        <v>4037</v>
      </c>
      <c r="I195" s="639"/>
      <c r="J195" s="635" t="str">
        <f>IF(ISBLANK(HLOOKUP(CaseName,CaseData,MATCH($G195,cases!$G$3:$G$2464,0),FALSE)),"",HLOOKUP(CaseName,CaseData,MATCH($G195,cases!$G$3:$G$2464,0),FALSE))</f>
        <v/>
      </c>
      <c r="K195" s="352">
        <f>L207</f>
        <v>8.6728477588904822E-8</v>
      </c>
      <c r="L195" s="636">
        <f t="shared" si="11"/>
        <v>8.6728477588904822E-8</v>
      </c>
      <c r="M195" s="29" t="s">
        <v>1488</v>
      </c>
      <c r="N195" s="29"/>
      <c r="O195" s="36"/>
    </row>
    <row r="196" spans="1:15" ht="12.75" customHeight="1" x14ac:dyDescent="0.3">
      <c r="A196" s="36" t="s">
        <v>254</v>
      </c>
      <c r="B196" s="29"/>
      <c r="C196" s="29"/>
      <c r="D196" s="29"/>
      <c r="E196" s="29"/>
      <c r="F196" s="29"/>
      <c r="G196" s="37" t="s">
        <v>832</v>
      </c>
      <c r="H196" s="36" t="s">
        <v>4037</v>
      </c>
      <c r="I196" s="639"/>
      <c r="J196" s="635" t="str">
        <f>IF(ISBLANK(HLOOKUP(CaseName,CaseData,MATCH($G196,cases!$G$3:$G$2464,0),FALSE)),"",HLOOKUP(CaseName,CaseData,MATCH($G196,cases!$G$3:$G$2464,0),FALSE))</f>
        <v/>
      </c>
      <c r="K196" s="352">
        <f>L208</f>
        <v>8.6818245114295561E-8</v>
      </c>
      <c r="L196" s="636">
        <f t="shared" si="11"/>
        <v>8.6818245114295561E-8</v>
      </c>
      <c r="M196" s="29" t="s">
        <v>1488</v>
      </c>
      <c r="N196" s="29"/>
      <c r="O196" s="36"/>
    </row>
    <row r="197" spans="1:15" ht="12.75" customHeight="1" x14ac:dyDescent="0.3">
      <c r="A197" s="36" t="s">
        <v>256</v>
      </c>
      <c r="B197" s="29"/>
      <c r="C197" s="29"/>
      <c r="D197" s="29"/>
      <c r="E197" s="29"/>
      <c r="F197" s="29"/>
      <c r="G197" s="37" t="s">
        <v>833</v>
      </c>
      <c r="H197" s="36" t="s">
        <v>4037</v>
      </c>
      <c r="I197" s="639"/>
      <c r="J197" s="635" t="str">
        <f>IF(ISBLANK(HLOOKUP(CaseName,CaseData,MATCH($G197,cases!$G$3:$G$2464,0),FALSE)),"",HLOOKUP(CaseName,CaseData,MATCH($G197,cases!$G$3:$G$2464,0),FALSE))</f>
        <v/>
      </c>
      <c r="K197" s="352">
        <f>L213+L164/L25</f>
        <v>1.254003191179276E-8</v>
      </c>
      <c r="L197" s="636">
        <f t="shared" si="11"/>
        <v>1.254003191179276E-8</v>
      </c>
      <c r="M197" s="29" t="s">
        <v>1488</v>
      </c>
      <c r="N197" s="29"/>
      <c r="O197" s="36"/>
    </row>
    <row r="198" spans="1:15" ht="12.75" customHeight="1" x14ac:dyDescent="0.3">
      <c r="A198" s="36" t="s">
        <v>257</v>
      </c>
      <c r="B198" s="29"/>
      <c r="C198" s="29"/>
      <c r="D198" s="29"/>
      <c r="E198" s="29"/>
      <c r="F198" s="29"/>
      <c r="G198" s="37" t="s">
        <v>834</v>
      </c>
      <c r="H198" s="36" t="s">
        <v>4037</v>
      </c>
      <c r="I198" s="639"/>
      <c r="J198" s="635" t="str">
        <f>IF(ISBLANK(HLOOKUP(CaseName,CaseData,MATCH($G198,cases!$G$3:$G$2464,0),FALSE)),"",HLOOKUP(CaseName,CaseData,MATCH($G198,cases!$G$3:$G$2464,0),FALSE))</f>
        <v/>
      </c>
      <c r="K198" s="352">
        <f>L214+L165/L26</f>
        <v>1.0580096758225705E-8</v>
      </c>
      <c r="L198" s="636">
        <f t="shared" si="11"/>
        <v>1.0580096758225705E-8</v>
      </c>
      <c r="M198" s="29" t="s">
        <v>1488</v>
      </c>
      <c r="N198" s="29"/>
      <c r="O198" s="36"/>
    </row>
    <row r="199" spans="1:15" ht="12.75" customHeight="1" x14ac:dyDescent="0.3">
      <c r="A199" s="36" t="s">
        <v>226</v>
      </c>
      <c r="B199" s="29"/>
      <c r="C199" s="29"/>
      <c r="D199" s="29"/>
      <c r="E199" s="29"/>
      <c r="F199" s="29"/>
      <c r="G199" s="37" t="s">
        <v>835</v>
      </c>
      <c r="H199" s="36" t="s">
        <v>4037</v>
      </c>
      <c r="I199" s="639"/>
      <c r="J199" s="635" t="str">
        <f>IF(ISBLANK(HLOOKUP(CaseName,CaseData,MATCH($G199,cases!$G$3:$G$2464,0),FALSE)),"",HLOOKUP(CaseName,CaseData,MATCH($G199,cases!$G$3:$G$2464,0),FALSE))</f>
        <v/>
      </c>
      <c r="K199" s="352">
        <f>L215+L218*RAINrate.C/L96*L221/L27</f>
        <v>4.3486201567445368E-8</v>
      </c>
      <c r="L199" s="636">
        <f t="shared" si="11"/>
        <v>4.3486201567445368E-8</v>
      </c>
      <c r="M199" s="29" t="s">
        <v>1488</v>
      </c>
      <c r="N199" s="29"/>
      <c r="O199" s="36"/>
    </row>
    <row r="200" spans="1:15" ht="12.75" customHeight="1" x14ac:dyDescent="0.3">
      <c r="A200" s="36" t="s">
        <v>226</v>
      </c>
      <c r="B200" s="29"/>
      <c r="C200" s="29"/>
      <c r="D200" s="29"/>
      <c r="E200" s="29"/>
      <c r="F200" s="29"/>
      <c r="G200" s="37" t="s">
        <v>836</v>
      </c>
      <c r="H200" s="36" t="s">
        <v>4037</v>
      </c>
      <c r="I200" s="639"/>
      <c r="J200" s="635" t="str">
        <f>IF(ISBLANK(HLOOKUP(CaseName,CaseData,MATCH($G200,cases!$G$3:$G$2464,0),FALSE)),"",HLOOKUP(CaseName,CaseData,MATCH($G200,cases!$G$3:$G$2464,0),FALSE))</f>
        <v/>
      </c>
      <c r="K200" s="352">
        <f>L216+L219*RAINrate.C/L101*L222/L28</f>
        <v>4.3469483354178676E-8</v>
      </c>
      <c r="L200" s="636">
        <f t="shared" si="11"/>
        <v>4.3469483354178676E-8</v>
      </c>
      <c r="M200" s="29" t="s">
        <v>1488</v>
      </c>
      <c r="N200" s="29"/>
      <c r="O200" s="36"/>
    </row>
    <row r="201" spans="1:15" ht="12.75" customHeight="1" x14ac:dyDescent="0.3">
      <c r="A201" s="36" t="s">
        <v>226</v>
      </c>
      <c r="B201" s="29"/>
      <c r="C201" s="29"/>
      <c r="D201" s="29"/>
      <c r="E201" s="29"/>
      <c r="F201" s="29"/>
      <c r="G201" s="37" t="s">
        <v>837</v>
      </c>
      <c r="H201" s="36" t="s">
        <v>4037</v>
      </c>
      <c r="I201" s="639"/>
      <c r="J201" s="635" t="str">
        <f>IF(ISBLANK(HLOOKUP(CaseName,CaseData,MATCH($G201,cases!$G$3:$G$2464,0),FALSE)),"",HLOOKUP(CaseName,CaseData,MATCH($G201,cases!$G$3:$G$2464,0),FALSE))</f>
        <v/>
      </c>
      <c r="K201" s="352">
        <f>L217+L220*RAINrate.C/L106*L223/L29</f>
        <v>4.3486225145605207E-8</v>
      </c>
      <c r="L201" s="636">
        <f t="shared" si="11"/>
        <v>4.3486225145605207E-8</v>
      </c>
      <c r="M201" s="29" t="s">
        <v>1488</v>
      </c>
      <c r="N201" s="29"/>
      <c r="O201" s="36"/>
    </row>
    <row r="202" spans="1:15" ht="12.75" customHeight="1" x14ac:dyDescent="0.3">
      <c r="A202" s="36"/>
      <c r="B202" s="36" t="s">
        <v>796</v>
      </c>
      <c r="C202" s="95"/>
      <c r="D202" s="29"/>
      <c r="E202" s="29"/>
      <c r="F202" s="29"/>
      <c r="G202" s="94" t="s">
        <v>197</v>
      </c>
      <c r="H202" s="36" t="s">
        <v>4037</v>
      </c>
      <c r="I202" s="639"/>
      <c r="J202" s="635" t="str">
        <f>IF(ISBLANK(HLOOKUP(CaseName,CaseData,MATCH($G202,cases!$G$3:$G$2464,0),FALSE)),"",HLOOKUP(CaseName,CaseData,MATCH($G202,cases!$G$3:$G$2464,0),FALSE))</f>
        <v/>
      </c>
      <c r="K202" s="352">
        <f>LN(2)/(60*365*24*3600)</f>
        <v>3.663258818281463E-10</v>
      </c>
      <c r="L202" s="636">
        <f t="shared" si="11"/>
        <v>3.663258818281463E-10</v>
      </c>
      <c r="M202" s="36" t="s">
        <v>1488</v>
      </c>
      <c r="N202" s="29"/>
      <c r="O202" s="36"/>
    </row>
    <row r="203" spans="1:15" ht="12.75" customHeight="1" x14ac:dyDescent="0.3">
      <c r="A203" s="36"/>
      <c r="B203" s="36" t="s">
        <v>797</v>
      </c>
      <c r="C203" s="29"/>
      <c r="D203" s="29"/>
      <c r="E203" s="29"/>
      <c r="F203" s="29"/>
      <c r="G203" s="37" t="s">
        <v>1203</v>
      </c>
      <c r="H203" s="36" t="s">
        <v>4037</v>
      </c>
      <c r="I203" s="638"/>
      <c r="J203" s="635" t="str">
        <f>IF(ISBLANK(HLOOKUP(CaseName,CaseData,MATCH($G203,cases!$G$3:$G$2464,0),FALSE)),"",HLOOKUP(CaseName,CaseData,MATCH($G203,cases!$G$3:$G$2464,0),FALSE))</f>
        <v/>
      </c>
      <c r="K203" s="352">
        <f>L66*kdeg.air*(L204/C.OHrad)*L205</f>
        <v>9.0456151799195571E-6</v>
      </c>
      <c r="L203" s="636">
        <f t="shared" si="11"/>
        <v>9.0456151799195571E-6</v>
      </c>
      <c r="M203" s="36" t="s">
        <v>1488</v>
      </c>
      <c r="N203" s="29"/>
      <c r="O203" s="36"/>
    </row>
    <row r="204" spans="1:15" ht="12.75" customHeight="1" x14ac:dyDescent="0.3">
      <c r="A204" s="95"/>
      <c r="B204" s="95"/>
      <c r="C204" s="36" t="s">
        <v>187</v>
      </c>
      <c r="D204" s="29"/>
      <c r="E204" s="29"/>
      <c r="F204" s="29"/>
      <c r="G204" s="37" t="s">
        <v>188</v>
      </c>
      <c r="H204" s="36" t="s">
        <v>4049</v>
      </c>
      <c r="I204" s="638"/>
      <c r="J204" s="635" t="str">
        <f>IF(ISBLANK(HLOOKUP(CaseName,CaseData,MATCH($G204,cases!$G$3:$G$2464,0),FALSE)),"",HLOOKUP(CaseName,CaseData,MATCH($G204,cases!$G$3:$G$2464,0),FALSE))</f>
        <v/>
      </c>
      <c r="K204" s="352">
        <v>500000</v>
      </c>
      <c r="L204" s="636">
        <f t="shared" si="11"/>
        <v>500000</v>
      </c>
      <c r="M204" s="36" t="s">
        <v>1500</v>
      </c>
      <c r="N204" s="29"/>
      <c r="O204" s="36"/>
    </row>
    <row r="205" spans="1:15" ht="12.75" customHeight="1" x14ac:dyDescent="0.3">
      <c r="A205" s="95"/>
      <c r="B205" s="95"/>
      <c r="C205" s="36" t="s">
        <v>35</v>
      </c>
      <c r="D205" s="29"/>
      <c r="E205" s="29"/>
      <c r="F205" s="29"/>
      <c r="G205" s="37" t="s">
        <v>189</v>
      </c>
      <c r="H205" s="36" t="s">
        <v>36</v>
      </c>
      <c r="I205" s="638"/>
      <c r="J205" s="635" t="str">
        <f>IF(ISBLANK(HLOOKUP(CaseName,CaseData,MATCH($G205,cases!$G$3:$G$2464,0),FALSE)),"",HLOOKUP(CaseName,CaseData,MATCH($G205,cases!$G$3:$G$2464,0),FALSE))</f>
        <v/>
      </c>
      <c r="K205" s="352">
        <f>EXP((Ea.OHrad/8.314)*(TEMP.C-298)/298^2)</f>
        <v>0.89974332049812744</v>
      </c>
      <c r="L205" s="647">
        <f t="shared" si="11"/>
        <v>0.89974332049812744</v>
      </c>
      <c r="M205" s="36" t="s">
        <v>486</v>
      </c>
      <c r="N205" s="29"/>
      <c r="O205" s="36"/>
    </row>
    <row r="206" spans="1:15" ht="12.75" customHeight="1" x14ac:dyDescent="0.3">
      <c r="A206" s="36"/>
      <c r="B206" s="36" t="s">
        <v>325</v>
      </c>
      <c r="C206" s="29"/>
      <c r="D206" s="29"/>
      <c r="E206" s="29"/>
      <c r="F206" s="29"/>
      <c r="G206" s="37" t="s">
        <v>354</v>
      </c>
      <c r="H206" s="36" t="s">
        <v>4037</v>
      </c>
      <c r="I206" s="634"/>
      <c r="J206" s="635" t="str">
        <f>IF(ISBLANK(HLOOKUP(CaseName,CaseData,MATCH($G206,cases!$G$3:$G$2464,0),FALSE)),"",HLOOKUP(CaseName,CaseData,MATCH($G206,cases!$G$3:$G$2464,0),FALSE))</f>
        <v/>
      </c>
      <c r="K206" s="352">
        <f>kdeg.water*L212*(L209/BACT.test)*L72</f>
        <v>8.685696044300724E-8</v>
      </c>
      <c r="L206" s="636">
        <f>IF(ISBLANK(I206),IF(ISNUMBER(J206)=FALSE,K206,J206),I206)</f>
        <v>8.685696044300724E-8</v>
      </c>
      <c r="M206" s="36" t="s">
        <v>1488</v>
      </c>
      <c r="N206" s="29"/>
      <c r="O206" s="36"/>
    </row>
    <row r="207" spans="1:15" ht="12.75" customHeight="1" x14ac:dyDescent="0.3">
      <c r="A207" s="36"/>
      <c r="B207" s="36" t="s">
        <v>798</v>
      </c>
      <c r="C207" s="29"/>
      <c r="D207" s="29"/>
      <c r="E207" s="29"/>
      <c r="F207" s="29"/>
      <c r="G207" s="37" t="s">
        <v>1012</v>
      </c>
      <c r="H207" s="36" t="s">
        <v>4037</v>
      </c>
      <c r="I207" s="638"/>
      <c r="J207" s="635" t="str">
        <f>IF(ISBLANK(HLOOKUP(CaseName,CaseData,MATCH($G207,cases!$G$3:$G$2464,0),FALSE)),"",HLOOKUP(CaseName,CaseData,MATCH($G207,cases!$G$3:$G$2464,0),FALSE))</f>
        <v/>
      </c>
      <c r="K207" s="352">
        <f>kdeg.water*L212*(L210/BACT.test)*L78</f>
        <v>8.6728477588904822E-8</v>
      </c>
      <c r="L207" s="636">
        <f t="shared" si="11"/>
        <v>8.6728477588904822E-8</v>
      </c>
      <c r="M207" s="36" t="s">
        <v>1488</v>
      </c>
      <c r="N207" s="29"/>
      <c r="O207" s="36"/>
    </row>
    <row r="208" spans="1:15" ht="12.75" customHeight="1" x14ac:dyDescent="0.3">
      <c r="A208" s="36"/>
      <c r="B208" s="36" t="s">
        <v>799</v>
      </c>
      <c r="C208" s="29"/>
      <c r="D208" s="29"/>
      <c r="E208" s="29"/>
      <c r="F208" s="29"/>
      <c r="G208" s="37" t="s">
        <v>1013</v>
      </c>
      <c r="H208" s="36" t="s">
        <v>4037</v>
      </c>
      <c r="I208" s="638"/>
      <c r="J208" s="635" t="str">
        <f>IF(ISBLANK(HLOOKUP(CaseName,CaseData,MATCH($G208,cases!$G$3:$G$2464,0),FALSE)),"",HLOOKUP(CaseName,CaseData,MATCH($G208,cases!$G$3:$G$2464,0),FALSE))</f>
        <v/>
      </c>
      <c r="K208" s="352">
        <f>kdeg.water*L212*(L211/BACT.test)*L84</f>
        <v>8.6818245114295561E-8</v>
      </c>
      <c r="L208" s="636">
        <f t="shared" si="11"/>
        <v>8.6818245114295561E-8</v>
      </c>
      <c r="M208" s="36" t="s">
        <v>1488</v>
      </c>
      <c r="N208" s="29"/>
      <c r="O208" s="36"/>
    </row>
    <row r="209" spans="1:15" ht="12.75" customHeight="1" x14ac:dyDescent="0.3">
      <c r="A209" s="36"/>
      <c r="B209" s="36"/>
      <c r="C209" s="36" t="s">
        <v>326</v>
      </c>
      <c r="D209" s="29"/>
      <c r="E209" s="29"/>
      <c r="F209" s="29"/>
      <c r="G209" s="94" t="s">
        <v>355</v>
      </c>
      <c r="H209" s="36" t="s">
        <v>730</v>
      </c>
      <c r="I209" s="634"/>
      <c r="J209" s="635" t="str">
        <f>IF(ISBLANK(HLOOKUP(CaseName,CaseData,MATCH($G209,cases!$G$3:$G$2464,0),FALSE)),"",HLOOKUP(CaseName,CaseData,MATCH($G209,cases!$G$3:$G$2464,0),FALSE))</f>
        <v/>
      </c>
      <c r="K209" s="352">
        <v>40000</v>
      </c>
      <c r="L209" s="636">
        <f>IF(ISBLANK(I209),IF(ISNUMBER(J209)=FALSE,K209,J209),I209)</f>
        <v>40000</v>
      </c>
      <c r="M209" s="36" t="s">
        <v>1501</v>
      </c>
      <c r="N209" s="29"/>
      <c r="O209" s="36"/>
    </row>
    <row r="210" spans="1:15" ht="12.75" customHeight="1" x14ac:dyDescent="0.3">
      <c r="A210" s="36"/>
      <c r="B210" s="36"/>
      <c r="C210" s="36" t="s">
        <v>585</v>
      </c>
      <c r="D210" s="29"/>
      <c r="E210" s="29"/>
      <c r="F210" s="29"/>
      <c r="G210" s="94" t="s">
        <v>686</v>
      </c>
      <c r="H210" s="36" t="s">
        <v>730</v>
      </c>
      <c r="I210" s="638"/>
      <c r="J210" s="635" t="str">
        <f>IF(ISBLANK(HLOOKUP(CaseName,CaseData,MATCH($G210,cases!$G$3:$G$2464,0),FALSE)),"",HLOOKUP(CaseName,CaseData,MATCH($G210,cases!$G$3:$G$2464,0),FALSE))</f>
        <v/>
      </c>
      <c r="K210" s="352">
        <v>40000</v>
      </c>
      <c r="L210" s="636">
        <f t="shared" si="11"/>
        <v>40000</v>
      </c>
      <c r="M210" s="36" t="s">
        <v>731</v>
      </c>
      <c r="N210" s="29"/>
      <c r="O210" s="36"/>
    </row>
    <row r="211" spans="1:15" ht="12.75" customHeight="1" x14ac:dyDescent="0.3">
      <c r="A211" s="36"/>
      <c r="B211" s="36"/>
      <c r="C211" s="36" t="s">
        <v>1451</v>
      </c>
      <c r="D211" s="29"/>
      <c r="E211" s="29"/>
      <c r="F211" s="29"/>
      <c r="G211" s="94" t="s">
        <v>687</v>
      </c>
      <c r="H211" s="36" t="s">
        <v>730</v>
      </c>
      <c r="I211" s="638"/>
      <c r="J211" s="635" t="str">
        <f>IF(ISBLANK(HLOOKUP(CaseName,CaseData,MATCH($G211,cases!$G$3:$G$2464,0),FALSE)),"",HLOOKUP(CaseName,CaseData,MATCH($G211,cases!$G$3:$G$2464,0),FALSE))</f>
        <v/>
      </c>
      <c r="K211" s="352">
        <v>40000</v>
      </c>
      <c r="L211" s="636">
        <f t="shared" si="11"/>
        <v>40000</v>
      </c>
      <c r="M211" s="36" t="s">
        <v>731</v>
      </c>
      <c r="N211" s="29"/>
      <c r="O211" s="36"/>
    </row>
    <row r="212" spans="1:15" ht="12.75" customHeight="1" x14ac:dyDescent="0.3">
      <c r="A212" s="95"/>
      <c r="B212" s="95"/>
      <c r="C212" s="36" t="s">
        <v>766</v>
      </c>
      <c r="D212" s="29"/>
      <c r="E212" s="29"/>
      <c r="F212" s="29"/>
      <c r="G212" s="37" t="s">
        <v>540</v>
      </c>
      <c r="H212" s="36" t="s">
        <v>36</v>
      </c>
      <c r="I212" s="638"/>
      <c r="J212" s="635" t="str">
        <f>IF(ISBLANK(HLOOKUP(CaseName,CaseData,MATCH($G212,cases!$G$3:$G$2464,0),FALSE)),"",HLOOKUP(CaseName,CaseData,MATCH($G212,cases!$G$3:$G$2464,0),FALSE))</f>
        <v/>
      </c>
      <c r="K212" s="352">
        <f>Q.10^((TEMP.C-298)/10)</f>
        <v>0.40612619817811774</v>
      </c>
      <c r="L212" s="636">
        <f t="shared" si="11"/>
        <v>0.40612619817811774</v>
      </c>
      <c r="M212" s="36" t="s">
        <v>486</v>
      </c>
      <c r="N212" s="29"/>
      <c r="O212" s="36"/>
    </row>
    <row r="213" spans="1:15" ht="12.75" customHeight="1" x14ac:dyDescent="0.3">
      <c r="A213" s="36"/>
      <c r="B213" s="36" t="s">
        <v>800</v>
      </c>
      <c r="C213" s="29"/>
      <c r="D213" s="29"/>
      <c r="E213" s="29"/>
      <c r="F213" s="29"/>
      <c r="G213" s="37" t="s">
        <v>1014</v>
      </c>
      <c r="H213" s="36" t="s">
        <v>4037</v>
      </c>
      <c r="I213" s="638"/>
      <c r="J213" s="635" t="str">
        <f>IF(ISBLANK(HLOOKUP(CaseName,CaseData,MATCH($G213,cases!$G$3:$G$2464,0),FALSE)),"",HLOOKUP(CaseName,CaseData,MATCH($G213,cases!$G$3:$G$2464,0),FALSE))</f>
        <v/>
      </c>
      <c r="K213" s="366">
        <f>L212*kdeg.sed</f>
        <v>9.6658035166392018E-9</v>
      </c>
      <c r="L213" s="636">
        <f t="shared" si="11"/>
        <v>9.6658035166392018E-9</v>
      </c>
      <c r="M213" s="36" t="s">
        <v>1488</v>
      </c>
      <c r="N213" s="29"/>
      <c r="O213" s="36"/>
    </row>
    <row r="214" spans="1:15" ht="12.75" customHeight="1" x14ac:dyDescent="0.3">
      <c r="A214" s="36"/>
      <c r="B214" s="36" t="s">
        <v>801</v>
      </c>
      <c r="C214" s="29"/>
      <c r="D214" s="29"/>
      <c r="E214" s="29"/>
      <c r="F214" s="29"/>
      <c r="G214" s="37" t="s">
        <v>1292</v>
      </c>
      <c r="H214" s="36" t="s">
        <v>4037</v>
      </c>
      <c r="I214" s="638"/>
      <c r="J214" s="635" t="str">
        <f>IF(ISBLANK(HLOOKUP(CaseName,CaseData,MATCH($G214,cases!$G$3:$G$2464,0),FALSE)),"",HLOOKUP(CaseName,CaseData,MATCH($G214,cases!$G$3:$G$2464,0),FALSE))</f>
        <v/>
      </c>
      <c r="K214" s="366">
        <f>L212*kdeg.sed</f>
        <v>9.6658035166392018E-9</v>
      </c>
      <c r="L214" s="636">
        <f t="shared" si="11"/>
        <v>9.6658035166392018E-9</v>
      </c>
      <c r="M214" s="36" t="s">
        <v>1488</v>
      </c>
      <c r="N214" s="29"/>
      <c r="O214" s="36"/>
    </row>
    <row r="215" spans="1:15" ht="12.75" customHeight="1" x14ac:dyDescent="0.3">
      <c r="A215" s="36"/>
      <c r="B215" s="36" t="s">
        <v>802</v>
      </c>
      <c r="C215" s="29"/>
      <c r="D215" s="29"/>
      <c r="E215" s="29"/>
      <c r="F215" s="29"/>
      <c r="G215" s="37" t="s">
        <v>1293</v>
      </c>
      <c r="H215" s="36" t="s">
        <v>4037</v>
      </c>
      <c r="I215" s="638"/>
      <c r="J215" s="635" t="str">
        <f>IF(ISBLANK(HLOOKUP(CaseName,CaseData,MATCH($G215,cases!$G$3:$G$2464,0),FALSE)),"",HLOOKUP(CaseName,CaseData,MATCH($G215,cases!$G$3:$G$2464,0),FALSE))</f>
        <v/>
      </c>
      <c r="K215" s="366">
        <f>L212*kdeg.soil</f>
        <v>4.3455503205058602E-8</v>
      </c>
      <c r="L215" s="636">
        <f t="shared" si="11"/>
        <v>4.3455503205058602E-8</v>
      </c>
      <c r="M215" s="36" t="s">
        <v>1488</v>
      </c>
      <c r="N215" s="29"/>
      <c r="O215" s="36"/>
    </row>
    <row r="216" spans="1:15" ht="12.75" customHeight="1" x14ac:dyDescent="0.3">
      <c r="A216" s="36"/>
      <c r="B216" s="36" t="s">
        <v>426</v>
      </c>
      <c r="C216" s="29"/>
      <c r="D216" s="29"/>
      <c r="E216" s="29"/>
      <c r="F216" s="29"/>
      <c r="G216" s="37" t="s">
        <v>1294</v>
      </c>
      <c r="H216" s="36" t="s">
        <v>4037</v>
      </c>
      <c r="I216" s="638"/>
      <c r="J216" s="635" t="str">
        <f>IF(ISBLANK(HLOOKUP(CaseName,CaseData,MATCH($G216,cases!$G$3:$G$2464,0),FALSE)),"",HLOOKUP(CaseName,CaseData,MATCH($G216,cases!$G$3:$G$2464,0),FALSE))</f>
        <v/>
      </c>
      <c r="K216" s="366">
        <f>L212*kdeg.soil</f>
        <v>4.3455503205058602E-8</v>
      </c>
      <c r="L216" s="636">
        <f t="shared" si="11"/>
        <v>4.3455503205058602E-8</v>
      </c>
      <c r="M216" s="36" t="s">
        <v>1488</v>
      </c>
      <c r="N216" s="29"/>
      <c r="O216" s="36"/>
    </row>
    <row r="217" spans="1:15" ht="12.75" customHeight="1" x14ac:dyDescent="0.3">
      <c r="A217" s="36"/>
      <c r="B217" s="36" t="s">
        <v>433</v>
      </c>
      <c r="C217" s="29"/>
      <c r="D217" s="29"/>
      <c r="E217" s="29"/>
      <c r="F217" s="29"/>
      <c r="G217" s="37" t="s">
        <v>1202</v>
      </c>
      <c r="H217" s="36" t="s">
        <v>4037</v>
      </c>
      <c r="I217" s="638"/>
      <c r="J217" s="635" t="str">
        <f>IF(ISBLANK(HLOOKUP(CaseName,CaseData,MATCH($G217,cases!$G$3:$G$2464,0),FALSE)),"",HLOOKUP(CaseName,CaseData,MATCH($G217,cases!$G$3:$G$2464,0),FALSE))</f>
        <v/>
      </c>
      <c r="K217" s="366">
        <f>L212*kdeg.soil</f>
        <v>4.3455503205058602E-8</v>
      </c>
      <c r="L217" s="636">
        <f t="shared" si="11"/>
        <v>4.3455503205058602E-8</v>
      </c>
      <c r="M217" s="36" t="s">
        <v>1488</v>
      </c>
      <c r="N217" s="29"/>
      <c r="O217" s="36"/>
    </row>
    <row r="218" spans="1:15" ht="12.75" customHeight="1" x14ac:dyDescent="0.3">
      <c r="A218" s="36"/>
      <c r="B218" s="36" t="s">
        <v>1057</v>
      </c>
      <c r="C218" s="29"/>
      <c r="D218" s="29"/>
      <c r="E218" s="29"/>
      <c r="F218" s="29"/>
      <c r="G218" s="94" t="s">
        <v>423</v>
      </c>
      <c r="H218" s="36" t="s">
        <v>36</v>
      </c>
      <c r="I218" s="638"/>
      <c r="J218" s="635" t="str">
        <f>IF(ISBLANK(HLOOKUP(CaseName,CaseData,MATCH($G218,cases!$G$3:$G$2464,0),FALSE)),"",HLOOKUP(CaseName,CaseData,MATCH($G218,cases!$G$3:$G$2464,0),FALSE))</f>
        <v/>
      </c>
      <c r="K218" s="352">
        <f>FRACinf.C</f>
        <v>0.25</v>
      </c>
      <c r="L218" s="636">
        <f t="shared" ref="L218:L223" si="12">IF(ISBLANK(I218),IF(ISNUMBER(J218)=FALSE,K218,J218),I218)</f>
        <v>0.25</v>
      </c>
      <c r="M218" s="36" t="s">
        <v>486</v>
      </c>
      <c r="N218" s="29"/>
      <c r="O218" s="36"/>
    </row>
    <row r="219" spans="1:15" ht="12.75" customHeight="1" x14ac:dyDescent="0.3">
      <c r="A219" s="36"/>
      <c r="B219" s="36" t="s">
        <v>1058</v>
      </c>
      <c r="C219" s="29"/>
      <c r="D219" s="29"/>
      <c r="E219" s="29"/>
      <c r="F219" s="29"/>
      <c r="G219" s="94" t="s">
        <v>424</v>
      </c>
      <c r="H219" s="36" t="s">
        <v>36</v>
      </c>
      <c r="I219" s="638"/>
      <c r="J219" s="635" t="str">
        <f>IF(ISBLANK(HLOOKUP(CaseName,CaseData,MATCH($G219,cases!$G$3:$G$2464,0),FALSE)),"",HLOOKUP(CaseName,CaseData,MATCH($G219,cases!$G$3:$G$2464,0),FALSE))</f>
        <v/>
      </c>
      <c r="K219" s="352">
        <f>FRACinf.C</f>
        <v>0.25</v>
      </c>
      <c r="L219" s="636">
        <f t="shared" si="12"/>
        <v>0.25</v>
      </c>
      <c r="M219" s="36" t="s">
        <v>486</v>
      </c>
      <c r="N219" s="29"/>
      <c r="O219" s="36"/>
    </row>
    <row r="220" spans="1:15" ht="12.75" customHeight="1" x14ac:dyDescent="0.3">
      <c r="A220" s="29"/>
      <c r="B220" s="36" t="s">
        <v>584</v>
      </c>
      <c r="C220" s="29"/>
      <c r="D220" s="29"/>
      <c r="E220" s="29"/>
      <c r="F220" s="29"/>
      <c r="G220" s="94" t="s">
        <v>425</v>
      </c>
      <c r="H220" s="36" t="s">
        <v>36</v>
      </c>
      <c r="I220" s="638"/>
      <c r="J220" s="635" t="str">
        <f>IF(ISBLANK(HLOOKUP(CaseName,CaseData,MATCH($G220,cases!$G$3:$G$2464,0),FALSE)),"",HLOOKUP(CaseName,CaseData,MATCH($G220,cases!$G$3:$G$2464,0),FALSE))</f>
        <v/>
      </c>
      <c r="K220" s="352">
        <f>FRACinf.C</f>
        <v>0.25</v>
      </c>
      <c r="L220" s="636">
        <f t="shared" si="12"/>
        <v>0.25</v>
      </c>
      <c r="M220" s="36" t="s">
        <v>486</v>
      </c>
      <c r="N220" s="29"/>
      <c r="O220" s="36"/>
    </row>
    <row r="221" spans="1:15" ht="12.75" customHeight="1" x14ac:dyDescent="0.3">
      <c r="A221" s="36"/>
      <c r="B221" s="29" t="s">
        <v>185</v>
      </c>
      <c r="C221" s="29"/>
      <c r="D221" s="95"/>
      <c r="E221" s="95"/>
      <c r="F221" s="95"/>
      <c r="G221" s="37" t="s">
        <v>911</v>
      </c>
      <c r="H221" s="29" t="s">
        <v>36</v>
      </c>
      <c r="I221" s="639"/>
      <c r="J221" s="635" t="str">
        <f>IF(ISBLANK(HLOOKUP(CaseName,CaseData,MATCH($G221,cases!$G$3:$G$2464,0),FALSE)),"",HLOOKUP(CaseName,CaseData,MATCH($G221,cases!$G$3:$G$2464,0),FALSE))</f>
        <v/>
      </c>
      <c r="K221" s="352">
        <f>(EXP((-1/0.1)*0.5)*(1/0.1)*L27/(1-EXP((-1/0.1)*L27)))</f>
        <v>8.5622262133111474E-3</v>
      </c>
      <c r="L221" s="636">
        <f t="shared" si="12"/>
        <v>8.5622262133111474E-3</v>
      </c>
      <c r="M221" s="29" t="s">
        <v>486</v>
      </c>
      <c r="N221" s="29" t="s">
        <v>995</v>
      </c>
      <c r="O221" s="36"/>
    </row>
    <row r="222" spans="1:15" ht="12.75" customHeight="1" x14ac:dyDescent="0.3">
      <c r="A222" s="36"/>
      <c r="B222" s="29" t="s">
        <v>185</v>
      </c>
      <c r="C222" s="29"/>
      <c r="D222" s="95"/>
      <c r="E222" s="95"/>
      <c r="F222" s="95"/>
      <c r="G222" s="37" t="s">
        <v>912</v>
      </c>
      <c r="H222" s="29" t="s">
        <v>36</v>
      </c>
      <c r="I222" s="639"/>
      <c r="J222" s="635" t="str">
        <f>IF(ISBLANK(HLOOKUP(CaseName,CaseData,MATCH($G222,cases!$G$3:$G$2464,0),FALSE)),"",HLOOKUP(CaseName,CaseData,MATCH($G222,cases!$G$3:$G$2464,0),FALSE))</f>
        <v/>
      </c>
      <c r="K222" s="352">
        <f>(EXP((-1/0.1)*0.5)*(1/0.1)*L28/(1-EXP((-1/0.1)*L28)))</f>
        <v>1.5585109160709019E-2</v>
      </c>
      <c r="L222" s="636">
        <f t="shared" si="12"/>
        <v>1.5585109160709019E-2</v>
      </c>
      <c r="M222" s="29" t="s">
        <v>486</v>
      </c>
      <c r="N222" s="29" t="s">
        <v>995</v>
      </c>
      <c r="O222" s="36"/>
    </row>
    <row r="223" spans="1:15" ht="12.75" customHeight="1" x14ac:dyDescent="0.3">
      <c r="A223" s="36"/>
      <c r="B223" s="29" t="s">
        <v>185</v>
      </c>
      <c r="C223" s="29"/>
      <c r="D223" s="95"/>
      <c r="E223" s="95"/>
      <c r="F223" s="95"/>
      <c r="G223" s="37" t="s">
        <v>913</v>
      </c>
      <c r="H223" s="29" t="s">
        <v>36</v>
      </c>
      <c r="I223" s="639"/>
      <c r="J223" s="635" t="str">
        <f>IF(ISBLANK(HLOOKUP(CaseName,CaseData,MATCH($G223,cases!$G$3:$G$2464,0),FALSE)),"",HLOOKUP(CaseName,CaseData,MATCH($G223,cases!$G$3:$G$2464,0),FALSE))</f>
        <v/>
      </c>
      <c r="K223" s="352">
        <f>(EXP((-1/0.1)*0.5)*(1/0.1)*L29/(1-EXP((-1/0.1)*L29)))</f>
        <v>8.5622262133111474E-3</v>
      </c>
      <c r="L223" s="636">
        <f t="shared" si="12"/>
        <v>8.5622262133111474E-3</v>
      </c>
      <c r="M223" s="29" t="s">
        <v>486</v>
      </c>
      <c r="N223" s="29" t="s">
        <v>995</v>
      </c>
      <c r="O223" s="36"/>
    </row>
    <row r="224" spans="1:15" ht="12.75" customHeight="1" x14ac:dyDescent="0.3">
      <c r="A224" s="134"/>
      <c r="B224" s="134"/>
      <c r="C224" s="134"/>
      <c r="D224" s="134"/>
      <c r="E224" s="134"/>
      <c r="F224" s="134"/>
      <c r="G224" s="115"/>
      <c r="H224" s="115"/>
      <c r="I224" s="356"/>
      <c r="J224" s="367"/>
      <c r="K224" s="643"/>
      <c r="L224" s="643"/>
      <c r="M224" s="134"/>
      <c r="N224" s="134"/>
      <c r="O224" s="36"/>
    </row>
    <row r="225" spans="1:15" ht="12.75" customHeight="1" x14ac:dyDescent="0.3">
      <c r="A225" s="29"/>
      <c r="B225" s="29"/>
      <c r="C225" s="29"/>
      <c r="D225" s="29"/>
      <c r="E225" s="29"/>
      <c r="F225" s="29"/>
      <c r="G225" s="36"/>
      <c r="H225" s="36"/>
      <c r="I225" s="339"/>
      <c r="J225" s="363"/>
      <c r="K225" s="353"/>
      <c r="L225" s="353"/>
      <c r="M225" s="29"/>
      <c r="N225" s="29"/>
      <c r="O225" s="36"/>
    </row>
  </sheetData>
  <customSheetViews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2" transitionEvaluation="1" transitionEntry="1" codeName="Sheet4"/>
  <dimension ref="A1:O414"/>
  <sheetViews>
    <sheetView topLeftCell="A82" zoomScaleNormal="100" workbookViewId="0">
      <selection activeCell="K95" sqref="K95"/>
    </sheetView>
  </sheetViews>
  <sheetFormatPr defaultColWidth="10.6640625" defaultRowHeight="12.75" customHeight="1" x14ac:dyDescent="0.3"/>
  <cols>
    <col min="1" max="5" width="1.6640625" customWidth="1"/>
    <col min="6" max="6" width="60.6640625" customWidth="1"/>
    <col min="7" max="7" width="22.6640625" customWidth="1"/>
    <col min="8" max="8" width="10.6640625" style="79" customWidth="1"/>
    <col min="9" max="12" width="9.109375" style="644" customWidth="1"/>
    <col min="13" max="13" width="9.109375" customWidth="1"/>
    <col min="14" max="14" width="83" bestFit="1" customWidth="1"/>
    <col min="15" max="15" width="2.6640625" customWidth="1"/>
  </cols>
  <sheetData>
    <row r="1" spans="1:15" ht="12.75" customHeight="1" x14ac:dyDescent="0.3">
      <c r="A1" s="62" t="s">
        <v>1326</v>
      </c>
      <c r="B1" s="29"/>
      <c r="C1" s="29"/>
      <c r="D1" s="29"/>
      <c r="E1" s="29"/>
      <c r="F1" s="29"/>
      <c r="G1" s="36"/>
      <c r="H1" s="36"/>
      <c r="I1" s="645"/>
      <c r="J1" s="645"/>
      <c r="K1" s="353"/>
      <c r="L1" s="353"/>
      <c r="M1" s="29"/>
      <c r="N1" s="29"/>
      <c r="O1" s="36"/>
    </row>
    <row r="2" spans="1:15" ht="12.75" customHeight="1" x14ac:dyDescent="0.3">
      <c r="A2" s="96"/>
      <c r="B2" s="29"/>
      <c r="C2" s="29"/>
      <c r="D2" s="29"/>
      <c r="E2" s="29"/>
      <c r="F2" s="29"/>
      <c r="G2" s="36"/>
      <c r="H2" s="36"/>
      <c r="I2" s="353"/>
      <c r="J2" s="353"/>
      <c r="K2" s="353"/>
      <c r="L2" s="353"/>
      <c r="M2" s="29"/>
      <c r="N2" s="29"/>
      <c r="O2" s="36"/>
    </row>
    <row r="3" spans="1:15" ht="12.75" customHeight="1" x14ac:dyDescent="0.3">
      <c r="A3" s="97" t="s">
        <v>1310</v>
      </c>
      <c r="B3" s="97"/>
      <c r="C3" s="97"/>
      <c r="D3" s="97"/>
      <c r="E3" s="97"/>
      <c r="F3" s="97"/>
      <c r="G3" s="98" t="s">
        <v>1008</v>
      </c>
      <c r="H3" s="98" t="s">
        <v>968</v>
      </c>
      <c r="I3" s="364" t="s">
        <v>754</v>
      </c>
      <c r="J3" s="340" t="s">
        <v>37</v>
      </c>
      <c r="K3" s="340" t="s">
        <v>753</v>
      </c>
      <c r="L3" s="340" t="s">
        <v>1358</v>
      </c>
      <c r="M3" s="97"/>
      <c r="N3" s="98" t="s">
        <v>1371</v>
      </c>
      <c r="O3" s="36"/>
    </row>
    <row r="4" spans="1:15" ht="12.75" customHeight="1" x14ac:dyDescent="0.3">
      <c r="A4" s="29"/>
      <c r="B4" s="29"/>
      <c r="C4" s="29"/>
      <c r="D4" s="29"/>
      <c r="E4" s="29"/>
      <c r="F4" s="29"/>
      <c r="G4" s="29"/>
      <c r="H4" s="36"/>
      <c r="I4" s="645"/>
      <c r="J4" s="645"/>
      <c r="K4" s="353"/>
      <c r="L4" s="353"/>
      <c r="M4" s="29"/>
      <c r="N4" s="29"/>
      <c r="O4" s="36"/>
    </row>
    <row r="5" spans="1:15" ht="12.75" customHeight="1" x14ac:dyDescent="0.3">
      <c r="A5" s="36" t="s">
        <v>1089</v>
      </c>
      <c r="B5" s="29"/>
      <c r="C5" s="29"/>
      <c r="D5" s="29"/>
      <c r="E5" s="29"/>
      <c r="F5" s="29"/>
      <c r="G5" s="37" t="s">
        <v>32</v>
      </c>
      <c r="H5" s="29" t="s">
        <v>4035</v>
      </c>
      <c r="I5" s="638"/>
      <c r="J5" s="635" t="str">
        <f>IF(ISBLANK(HLOOKUP(CaseName,CaseData,MATCH($G5,cases!$G$3:$G$2464,0),FALSE)),"",HLOOKUP(CaseName,CaseData,MATCH($G5,cases!$G$3:$G$2464,0),FALSE))</f>
        <v/>
      </c>
      <c r="K5" s="352">
        <f>L10*L13</f>
        <v>7.757118E+16</v>
      </c>
      <c r="L5" s="636">
        <f>IF(ISBLANK(I5),IF(ISNUMBER(J5)=FALSE,K5,J5),I5)</f>
        <v>7.757118E+16</v>
      </c>
      <c r="M5" s="36" t="s">
        <v>1496</v>
      </c>
      <c r="N5" s="29"/>
      <c r="O5" s="36"/>
    </row>
    <row r="6" spans="1:15" ht="12.75" customHeight="1" x14ac:dyDescent="0.3">
      <c r="A6" s="36" t="s">
        <v>937</v>
      </c>
      <c r="B6" s="29"/>
      <c r="C6" s="29"/>
      <c r="D6" s="29"/>
      <c r="E6" s="29"/>
      <c r="F6" s="29"/>
      <c r="G6" s="37" t="s">
        <v>936</v>
      </c>
      <c r="H6" s="29" t="s">
        <v>4035</v>
      </c>
      <c r="I6" s="638"/>
      <c r="J6" s="635" t="str">
        <f>IF(ISBLANK(HLOOKUP(CaseName,CaseData,MATCH($G6,cases!$G$3:$G$2464,0),FALSE)),"",HLOOKUP(CaseName,CaseData,MATCH($G6,cases!$G$3:$G$2464,0),FALSE))</f>
        <v/>
      </c>
      <c r="K6" s="352">
        <f>L10*L14*L11</f>
        <v>3878559000000000</v>
      </c>
      <c r="L6" s="636">
        <f>IF(ISBLANK(I6),IF(ISNUMBER(J6)=FALSE,K6,J6),I6)</f>
        <v>3878559000000000</v>
      </c>
      <c r="M6" s="36" t="s">
        <v>1496</v>
      </c>
      <c r="N6" s="29"/>
      <c r="O6" s="36"/>
    </row>
    <row r="7" spans="1:15" ht="12.75" customHeight="1" x14ac:dyDescent="0.3">
      <c r="A7" s="36" t="s">
        <v>939</v>
      </c>
      <c r="B7" s="29"/>
      <c r="C7" s="29"/>
      <c r="D7" s="29"/>
      <c r="E7" s="29"/>
      <c r="F7" s="29"/>
      <c r="G7" s="37" t="s">
        <v>938</v>
      </c>
      <c r="H7" s="29" t="s">
        <v>4035</v>
      </c>
      <c r="I7" s="638"/>
      <c r="J7" s="635" t="str">
        <f>IF(ISBLANK(HLOOKUP(CaseName,CaseData,MATCH($G7,cases!$G$3:$G$2464,0),FALSE)),"",HLOOKUP(CaseName,CaseData,MATCH($G7,cases!$G$3:$G$2464,0),FALSE))</f>
        <v/>
      </c>
      <c r="K7" s="352">
        <f>L10*L15*L11</f>
        <v>1.1635677E+17</v>
      </c>
      <c r="L7" s="636">
        <f>IF(ISBLANK(I7),IF(ISNUMBER(J7)=FALSE,K7,J7),I7)</f>
        <v>1.1635677E+17</v>
      </c>
      <c r="M7" s="36" t="s">
        <v>1496</v>
      </c>
      <c r="N7" s="29"/>
      <c r="O7" s="36"/>
    </row>
    <row r="8" spans="1:15" ht="12.75" customHeight="1" x14ac:dyDescent="0.3">
      <c r="A8" s="36" t="s">
        <v>734</v>
      </c>
      <c r="B8" s="29"/>
      <c r="C8" s="29"/>
      <c r="D8" s="29"/>
      <c r="E8" s="29"/>
      <c r="F8" s="29"/>
      <c r="G8" s="37" t="s">
        <v>33</v>
      </c>
      <c r="H8" s="29" t="s">
        <v>4035</v>
      </c>
      <c r="I8" s="638"/>
      <c r="J8" s="635" t="str">
        <f>IF(ISBLANK(HLOOKUP(CaseName,CaseData,MATCH($G8,cases!$G$3:$G$2464,0),FALSE)),"",HLOOKUP(CaseName,CaseData,MATCH($G8,cases!$G$3:$G$2464,0),FALSE))</f>
        <v/>
      </c>
      <c r="K8" s="352">
        <f>L10*L16*L11</f>
        <v>1163567700000</v>
      </c>
      <c r="L8" s="636">
        <f>IF(ISBLANK(I8),IF(ISNUMBER(J8)=FALSE,K8,J8),I8)</f>
        <v>1163567700000</v>
      </c>
      <c r="M8" s="36" t="s">
        <v>1496</v>
      </c>
      <c r="N8" s="29"/>
      <c r="O8" s="36"/>
    </row>
    <row r="9" spans="1:15" ht="12.75" customHeight="1" x14ac:dyDescent="0.3">
      <c r="A9" s="36" t="s">
        <v>735</v>
      </c>
      <c r="B9" s="29"/>
      <c r="C9" s="29"/>
      <c r="D9" s="29"/>
      <c r="E9" s="29"/>
      <c r="F9" s="29"/>
      <c r="G9" s="37" t="s">
        <v>1185</v>
      </c>
      <c r="H9" s="29" t="s">
        <v>4035</v>
      </c>
      <c r="I9" s="638"/>
      <c r="J9" s="635" t="str">
        <f>IF(ISBLANK(HLOOKUP(CaseName,CaseData,MATCH($G9,cases!$G$3:$G$2464,0),FALSE)),"",HLOOKUP(CaseName,CaseData,MATCH($G9,cases!$G$3:$G$2464,0),FALSE))</f>
        <v/>
      </c>
      <c r="K9" s="352">
        <f>L10*L12*L17</f>
        <v>1939279500000</v>
      </c>
      <c r="L9" s="636">
        <f>IF(ISBLANK(I9),IF(ISNUMBER(J9)=FALSE,K9,J9),I9)</f>
        <v>1939279500000</v>
      </c>
      <c r="M9" s="36" t="s">
        <v>1496</v>
      </c>
      <c r="N9" s="29"/>
      <c r="O9" s="36"/>
    </row>
    <row r="10" spans="1:15" ht="12.75" customHeight="1" x14ac:dyDescent="0.3">
      <c r="A10" s="29"/>
      <c r="B10" s="36" t="s">
        <v>1020</v>
      </c>
      <c r="C10" s="29"/>
      <c r="D10" s="29"/>
      <c r="E10" s="29"/>
      <c r="F10" s="29"/>
      <c r="G10" s="37" t="s">
        <v>1186</v>
      </c>
      <c r="H10" s="29" t="s">
        <v>4036</v>
      </c>
      <c r="I10" s="639"/>
      <c r="J10" s="635" t="str">
        <f>IF(ISBLANK(HLOOKUP(CaseName,CaseData,MATCH($G10,cases!$G$3:$G$2464,0),FALSE)),"",HLOOKUP(CaseName,CaseData,MATCH($G10,cases!$G$3:$G$2464,0),FALSE))</f>
        <v/>
      </c>
      <c r="K10" s="352">
        <f>85000000-((SYSTEMAREA.C+SYSTEMAREA.R)/1000000)</f>
        <v>77571180</v>
      </c>
      <c r="L10" s="636">
        <f>IF(ISBLANK(I10),IF(ISNUMBER(J10)=FALSE,K10*1000000,J10*1000000),I10*1000000)</f>
        <v>77571180000000</v>
      </c>
      <c r="M10" s="36" t="s">
        <v>1492</v>
      </c>
      <c r="N10" s="29"/>
      <c r="O10" s="36"/>
    </row>
    <row r="11" spans="1:15" ht="12.75" customHeight="1" x14ac:dyDescent="0.3">
      <c r="A11" s="29"/>
      <c r="B11" s="36" t="s">
        <v>3992</v>
      </c>
      <c r="C11" s="29"/>
      <c r="D11" s="29"/>
      <c r="E11" s="29"/>
      <c r="F11" s="29"/>
      <c r="G11" s="94" t="s">
        <v>1187</v>
      </c>
      <c r="H11" s="29" t="s">
        <v>36</v>
      </c>
      <c r="I11" s="639"/>
      <c r="J11" s="635" t="str">
        <f>IF(ISBLANK(HLOOKUP(CaseName,CaseData,MATCH($G11,cases!$G$3:$G$2464,0),FALSE)),"",HLOOKUP(CaseName,CaseData,MATCH($G11,cases!$G$3:$G$2464,0),FALSE))</f>
        <v/>
      </c>
      <c r="K11" s="352">
        <v>0.5</v>
      </c>
      <c r="L11" s="636">
        <f>IF(ISBLANK(I11),IF(ISNUMBER(J11)=FALSE,K11,J11),I11)</f>
        <v>0.5</v>
      </c>
      <c r="M11" s="29" t="s">
        <v>486</v>
      </c>
      <c r="N11" s="29"/>
      <c r="O11" s="36"/>
    </row>
    <row r="12" spans="1:15" ht="12.75" customHeight="1" x14ac:dyDescent="0.3">
      <c r="A12" s="29"/>
      <c r="B12" s="36" t="s">
        <v>3993</v>
      </c>
      <c r="C12" s="29"/>
      <c r="D12" s="29"/>
      <c r="E12" s="29"/>
      <c r="F12" s="29"/>
      <c r="G12" s="94" t="s">
        <v>1188</v>
      </c>
      <c r="H12" s="29" t="s">
        <v>36</v>
      </c>
      <c r="I12" s="639"/>
      <c r="J12" s="635" t="str">
        <f>IF(ISBLANK(HLOOKUP(CaseName,CaseData,MATCH($G12,cases!$G$3:$G$2464,0),FALSE)),"",HLOOKUP(CaseName,CaseData,MATCH($G12,cases!$G$3:$G$2464,0),FALSE))</f>
        <v/>
      </c>
      <c r="K12" s="352">
        <f>1-L11</f>
        <v>0.5</v>
      </c>
      <c r="L12" s="636">
        <f>IF(ISBLANK(I12),IF(ISNUMBER(J12)=FALSE,K12,J12),I12)</f>
        <v>0.5</v>
      </c>
      <c r="M12" s="29" t="s">
        <v>486</v>
      </c>
      <c r="N12" s="29"/>
      <c r="O12" s="36"/>
    </row>
    <row r="13" spans="1:15" ht="12.75" customHeight="1" x14ac:dyDescent="0.3">
      <c r="A13" s="29"/>
      <c r="B13" s="29"/>
      <c r="C13" s="36" t="s">
        <v>767</v>
      </c>
      <c r="D13" s="29"/>
      <c r="E13" s="29"/>
      <c r="F13" s="29"/>
      <c r="G13" s="94" t="s">
        <v>1189</v>
      </c>
      <c r="H13" s="36" t="s">
        <v>719</v>
      </c>
      <c r="I13" s="638"/>
      <c r="J13" s="635" t="str">
        <f>IF(ISBLANK(HLOOKUP(CaseName,CaseData,MATCH($G13,cases!$G$3:$G$2464,0),FALSE)),"",HLOOKUP(CaseName,CaseData,MATCH($G13,cases!$G$3:$G$2464,0),FALSE))</f>
        <v/>
      </c>
      <c r="K13" s="352">
        <v>1000</v>
      </c>
      <c r="L13" s="636">
        <f>IF(ISBLANK(I13),IF(ISNUMBER(J13)=FALSE,K13,J13),I13)</f>
        <v>1000</v>
      </c>
      <c r="M13" s="36" t="s">
        <v>720</v>
      </c>
      <c r="N13" s="29"/>
      <c r="O13" s="36"/>
    </row>
    <row r="14" spans="1:15" ht="12.75" customHeight="1" x14ac:dyDescent="0.3">
      <c r="A14" s="29"/>
      <c r="B14" s="29"/>
      <c r="C14" s="36" t="s">
        <v>946</v>
      </c>
      <c r="D14" s="29"/>
      <c r="E14" s="29"/>
      <c r="F14" s="29"/>
      <c r="G14" s="94" t="s">
        <v>941</v>
      </c>
      <c r="H14" s="36" t="s">
        <v>719</v>
      </c>
      <c r="I14" s="639"/>
      <c r="J14" s="635" t="str">
        <f>IF(ISBLANK(HLOOKUP(CaseName,CaseData,MATCH($G14,cases!$G$3:$G$2464,0),FALSE)),"",HLOOKUP(CaseName,CaseData,MATCH($G14,cases!$G$3:$G$2464,0),FALSE))</f>
        <v/>
      </c>
      <c r="K14" s="352">
        <v>100</v>
      </c>
      <c r="L14" s="636">
        <f>IF(ISBLANK(I14),IF(ISNUMBER(J14)=FALSE,K14,J14),I14)</f>
        <v>100</v>
      </c>
      <c r="M14" s="36" t="s">
        <v>720</v>
      </c>
      <c r="N14" s="29"/>
      <c r="O14" s="36"/>
    </row>
    <row r="15" spans="1:15" ht="12.75" customHeight="1" x14ac:dyDescent="0.3">
      <c r="A15" s="29"/>
      <c r="B15" s="29"/>
      <c r="C15" s="36" t="s">
        <v>949</v>
      </c>
      <c r="D15" s="29"/>
      <c r="E15" s="29"/>
      <c r="F15" s="29"/>
      <c r="G15" s="94" t="s">
        <v>940</v>
      </c>
      <c r="H15" s="36" t="s">
        <v>719</v>
      </c>
      <c r="I15" s="639"/>
      <c r="J15" s="635" t="str">
        <f>IF(ISBLANK(HLOOKUP(CaseName,CaseData,MATCH($G15,cases!$G$3:$G$2464,0),FALSE)),"",HLOOKUP(CaseName,CaseData,MATCH($G15,cases!$G$3:$G$2464,0),FALSE))</f>
        <v/>
      </c>
      <c r="K15" s="352">
        <v>3000</v>
      </c>
      <c r="L15" s="636">
        <f>IF(ISBLANK(I15),IF(ISNUMBER(J15)=FALSE,K15,J15),I15)</f>
        <v>3000</v>
      </c>
      <c r="M15" s="36" t="s">
        <v>720</v>
      </c>
      <c r="N15" s="29"/>
      <c r="O15" s="36"/>
    </row>
    <row r="16" spans="1:15" ht="12.75" customHeight="1" x14ac:dyDescent="0.3">
      <c r="A16" s="29"/>
      <c r="B16" s="29"/>
      <c r="C16" s="36" t="s">
        <v>1053</v>
      </c>
      <c r="D16" s="29"/>
      <c r="E16" s="29"/>
      <c r="F16" s="29"/>
      <c r="G16" s="94" t="s">
        <v>1353</v>
      </c>
      <c r="H16" s="36" t="s">
        <v>721</v>
      </c>
      <c r="I16" s="639"/>
      <c r="J16" s="635" t="str">
        <f>IF(ISBLANK(HLOOKUP(CaseName,CaseData,MATCH($G16,cases!$G$3:$G$2464,0),FALSE)),"",HLOOKUP(CaseName,CaseData,MATCH($G16,cases!$G$3:$G$2464,0),FALSE))</f>
        <v/>
      </c>
      <c r="K16" s="352">
        <v>3</v>
      </c>
      <c r="L16" s="636">
        <f>IF(ISBLANK(I16),IF(ISNUMBER(J16)=FALSE,K16/100,J16/100),I16/100)</f>
        <v>0.03</v>
      </c>
      <c r="M16" s="36" t="s">
        <v>720</v>
      </c>
      <c r="N16" s="29"/>
      <c r="O16" s="36"/>
    </row>
    <row r="17" spans="1:15" ht="12.75" customHeight="1" x14ac:dyDescent="0.3">
      <c r="A17" s="36"/>
      <c r="B17" s="29"/>
      <c r="C17" s="36" t="s">
        <v>3994</v>
      </c>
      <c r="D17" s="95"/>
      <c r="E17" s="95"/>
      <c r="F17" s="29"/>
      <c r="G17" s="94" t="s">
        <v>1354</v>
      </c>
      <c r="H17" s="36" t="s">
        <v>719</v>
      </c>
      <c r="I17" s="634"/>
      <c r="J17" s="635" t="str">
        <f>IF(ISBLANK(HLOOKUP(CaseName,CaseData,MATCH($G17,cases!$G$3:$G$2464,0),FALSE)),"",HLOOKUP(CaseName,CaseData,MATCH($G17,cases!$G$3:$G$2464,0),FALSE))</f>
        <v/>
      </c>
      <c r="K17" s="352">
        <v>0.05</v>
      </c>
      <c r="L17" s="636">
        <f t="shared" ref="L17:L24" si="0">IF(ISBLANK(I17),IF(ISNUMBER(J17)=FALSE,K17,J17),I17)</f>
        <v>0.05</v>
      </c>
      <c r="M17" s="29" t="s">
        <v>720</v>
      </c>
      <c r="N17" s="29"/>
      <c r="O17" s="36"/>
    </row>
    <row r="18" spans="1:15" ht="12.75" customHeight="1" x14ac:dyDescent="0.3">
      <c r="A18" s="29"/>
      <c r="B18" s="29"/>
      <c r="C18" s="29" t="s">
        <v>216</v>
      </c>
      <c r="D18" s="29"/>
      <c r="E18" s="29"/>
      <c r="F18" s="29"/>
      <c r="G18" s="36" t="s">
        <v>3995</v>
      </c>
      <c r="H18" s="36" t="s">
        <v>722</v>
      </c>
      <c r="I18" s="638"/>
      <c r="J18" s="635" t="str">
        <f>IF(ISBLANK(HLOOKUP(CaseName,CaseData,MATCH($G18,cases!$G$3:$G$2464,0),FALSE)),"",HLOOKUP(CaseName,CaseData,MATCH($G18,cases!$G$3:$G$2464,0),FALSE))</f>
        <v/>
      </c>
      <c r="K18" s="352">
        <v>1.9999999999999999E-11</v>
      </c>
      <c r="L18" s="636">
        <f t="shared" si="0"/>
        <v>1.9999999999999999E-11</v>
      </c>
      <c r="M18" s="36" t="s">
        <v>486</v>
      </c>
      <c r="N18" s="29" t="s">
        <v>2184</v>
      </c>
      <c r="O18" s="36"/>
    </row>
    <row r="19" spans="1:15" ht="12.75" customHeight="1" x14ac:dyDescent="0.3">
      <c r="A19" s="29"/>
      <c r="B19" s="29"/>
      <c r="C19" s="29" t="s">
        <v>217</v>
      </c>
      <c r="D19" s="29"/>
      <c r="E19" s="29"/>
      <c r="F19" s="29"/>
      <c r="G19" s="36" t="s">
        <v>3996</v>
      </c>
      <c r="H19" s="36" t="s">
        <v>722</v>
      </c>
      <c r="I19" s="638"/>
      <c r="J19" s="635" t="str">
        <f>IF(ISBLANK(HLOOKUP(CaseName,CaseData,MATCH($G19,cases!$G$3:$G$2464,0),FALSE)),"",HLOOKUP(CaseName,CaseData,MATCH($G19,cases!$G$3:$G$2464,0),FALSE))</f>
        <v/>
      </c>
      <c r="K19" s="352">
        <v>1.9999999999999999E-11</v>
      </c>
      <c r="L19" s="636">
        <f t="shared" si="0"/>
        <v>1.9999999999999999E-11</v>
      </c>
      <c r="M19" s="36" t="s">
        <v>486</v>
      </c>
      <c r="N19" s="29" t="s">
        <v>2184</v>
      </c>
      <c r="O19" s="36"/>
    </row>
    <row r="20" spans="1:15" ht="12.75" customHeight="1" x14ac:dyDescent="0.3">
      <c r="A20" s="36"/>
      <c r="B20" s="29"/>
      <c r="C20" s="36" t="s">
        <v>1054</v>
      </c>
      <c r="D20" s="95"/>
      <c r="E20" s="95"/>
      <c r="F20" s="29"/>
      <c r="G20" s="94" t="s">
        <v>659</v>
      </c>
      <c r="H20" s="36" t="s">
        <v>722</v>
      </c>
      <c r="I20" s="638"/>
      <c r="J20" s="635" t="str">
        <f>IF(ISBLANK(HLOOKUP(CaseName,CaseData,MATCH($G20,cases!$G$3:$G$2464,0),FALSE)),"",HLOOKUP(CaseName,CaseData,MATCH($G20,cases!$G$3:$G$2464,0),FALSE))</f>
        <v/>
      </c>
      <c r="K20" s="352">
        <v>0.2</v>
      </c>
      <c r="L20" s="636">
        <f t="shared" si="0"/>
        <v>0.2</v>
      </c>
      <c r="M20" s="29" t="s">
        <v>486</v>
      </c>
      <c r="N20" s="29"/>
      <c r="O20" s="36"/>
    </row>
    <row r="21" spans="1:15" ht="12.75" customHeight="1" x14ac:dyDescent="0.3">
      <c r="A21" s="29"/>
      <c r="B21" s="29"/>
      <c r="C21" s="36" t="s">
        <v>1055</v>
      </c>
      <c r="D21" s="29"/>
      <c r="E21" s="29"/>
      <c r="F21" s="29"/>
      <c r="G21" s="94" t="s">
        <v>590</v>
      </c>
      <c r="H21" s="36" t="s">
        <v>722</v>
      </c>
      <c r="I21" s="638"/>
      <c r="J21" s="635" t="str">
        <f>IF(ISBLANK(HLOOKUP(CaseName,CaseData,MATCH($G21,cases!$G$3:$G$2464,0),FALSE)),"",HLOOKUP(CaseName,CaseData,MATCH($G21,cases!$G$3:$G$2464,0),FALSE))</f>
        <v/>
      </c>
      <c r="K21" s="352">
        <v>0.2</v>
      </c>
      <c r="L21" s="636">
        <f t="shared" si="0"/>
        <v>0.2</v>
      </c>
      <c r="M21" s="29" t="s">
        <v>486</v>
      </c>
      <c r="N21" s="29"/>
      <c r="O21" s="36"/>
    </row>
    <row r="22" spans="1:15" ht="12.75" customHeight="1" x14ac:dyDescent="0.3">
      <c r="A22" s="29"/>
      <c r="B22" s="29"/>
      <c r="C22" s="36" t="s">
        <v>1056</v>
      </c>
      <c r="D22" s="29"/>
      <c r="E22" s="29"/>
      <c r="F22" s="29"/>
      <c r="G22" s="94" t="s">
        <v>591</v>
      </c>
      <c r="H22" s="36" t="s">
        <v>722</v>
      </c>
      <c r="I22" s="638"/>
      <c r="J22" s="635" t="str">
        <f>IF(ISBLANK(HLOOKUP(CaseName,CaseData,MATCH($G22,cases!$G$3:$G$2464,0),FALSE)),"",HLOOKUP(CaseName,CaseData,MATCH($G22,cases!$G$3:$G$2464,0),FALSE))</f>
        <v/>
      </c>
      <c r="K22" s="352">
        <f>1-L20-L21</f>
        <v>0.60000000000000009</v>
      </c>
      <c r="L22" s="636">
        <f t="shared" si="0"/>
        <v>0.60000000000000009</v>
      </c>
      <c r="M22" s="29" t="s">
        <v>486</v>
      </c>
      <c r="N22" s="29"/>
      <c r="O22" s="36"/>
    </row>
    <row r="23" spans="1:15" ht="12.75" customHeight="1" x14ac:dyDescent="0.3">
      <c r="A23" s="36"/>
      <c r="B23" s="29"/>
      <c r="C23" s="36" t="s">
        <v>434</v>
      </c>
      <c r="D23" s="95"/>
      <c r="E23" s="95"/>
      <c r="F23" s="29"/>
      <c r="G23" s="94" t="s">
        <v>592</v>
      </c>
      <c r="H23" s="36" t="s">
        <v>722</v>
      </c>
      <c r="I23" s="638"/>
      <c r="J23" s="635" t="str">
        <f>IF(ISBLANK(HLOOKUP(CaseName,CaseData,MATCH($G23,cases!$G$3:$G$2464,0),FALSE)),"",HLOOKUP(CaseName,CaseData,MATCH($G23,cases!$G$3:$G$2464,0),FALSE))</f>
        <v/>
      </c>
      <c r="K23" s="352">
        <v>0.8</v>
      </c>
      <c r="L23" s="636">
        <f t="shared" si="0"/>
        <v>0.8</v>
      </c>
      <c r="M23" s="36" t="s">
        <v>486</v>
      </c>
      <c r="N23" s="29"/>
      <c r="O23" s="36"/>
    </row>
    <row r="24" spans="1:15" ht="12.75" customHeight="1" x14ac:dyDescent="0.3">
      <c r="A24" s="36"/>
      <c r="B24" s="29"/>
      <c r="C24" s="36" t="s">
        <v>888</v>
      </c>
      <c r="D24" s="95"/>
      <c r="E24" s="95"/>
      <c r="F24" s="29"/>
      <c r="G24" s="94" t="s">
        <v>658</v>
      </c>
      <c r="H24" s="36" t="s">
        <v>722</v>
      </c>
      <c r="I24" s="638"/>
      <c r="J24" s="635" t="str">
        <f>IF(ISBLANK(HLOOKUP(CaseName,CaseData,MATCH($G24,cases!$G$3:$G$2464,0),FALSE)),"",HLOOKUP(CaseName,CaseData,MATCH($G24,cases!$G$3:$G$2464,0),FALSE))</f>
        <v/>
      </c>
      <c r="K24" s="345">
        <f>1-L23</f>
        <v>0.19999999999999996</v>
      </c>
      <c r="L24" s="636">
        <f t="shared" si="0"/>
        <v>0.19999999999999996</v>
      </c>
      <c r="M24" s="36" t="s">
        <v>486</v>
      </c>
      <c r="N24" s="29"/>
      <c r="O24" s="36"/>
    </row>
    <row r="25" spans="1:15" ht="12.75" customHeight="1" x14ac:dyDescent="0.3">
      <c r="A25" s="29"/>
      <c r="B25" s="29"/>
      <c r="C25" s="29"/>
      <c r="D25" s="29"/>
      <c r="E25" s="29"/>
      <c r="F25" s="29"/>
      <c r="G25" s="29"/>
      <c r="H25" s="29"/>
      <c r="I25" s="648"/>
      <c r="J25" s="635" t="str">
        <f>IF(ISBLANK(HLOOKUP(CaseName,CaseData,MATCH($G25,cases!$G$3:$G$2464,0),FALSE)),"",HLOOKUP(CaseName,CaseData,MATCH($G25,cases!$G$3:$G$2464,0),FALSE))</f>
        <v/>
      </c>
      <c r="K25" s="339"/>
      <c r="L25" s="339"/>
      <c r="M25" s="29"/>
      <c r="N25" s="29"/>
      <c r="O25" s="36"/>
    </row>
    <row r="26" spans="1:15" ht="12.75" customHeight="1" x14ac:dyDescent="0.3">
      <c r="A26" s="36" t="s">
        <v>90</v>
      </c>
      <c r="B26" s="29"/>
      <c r="C26" s="29"/>
      <c r="D26" s="29"/>
      <c r="E26" s="29"/>
      <c r="F26" s="29"/>
      <c r="G26" s="36" t="s">
        <v>838</v>
      </c>
      <c r="H26" s="36" t="s">
        <v>4037</v>
      </c>
      <c r="I26" s="639"/>
      <c r="J26" s="635" t="str">
        <f>IF(ISBLANK(HLOOKUP(CaseName,CaseData,MATCH($G26,cases!$G$3:$G$2464,0),FALSE)),"",HLOOKUP(CaseName,CaseData,MATCH($G26,cases!$G$3:$G$2464,0),FALSE))</f>
        <v/>
      </c>
      <c r="K26" s="345">
        <f>k.aC.aM*VOLUME.aC/L5</f>
        <v>1.2824122486466638E-7</v>
      </c>
      <c r="L26" s="636">
        <f t="shared" ref="L26:L41" si="1">IF(ISBLANK(I26),IF(ISNUMBER(J26)=FALSE,K26,J26),I26)</f>
        <v>1.2824122486466638E-7</v>
      </c>
      <c r="M26" s="29" t="s">
        <v>1488</v>
      </c>
      <c r="N26" s="29"/>
      <c r="O26" s="36"/>
    </row>
    <row r="27" spans="1:15" ht="12.75" customHeight="1" x14ac:dyDescent="0.3">
      <c r="A27" s="36" t="s">
        <v>91</v>
      </c>
      <c r="B27" s="29"/>
      <c r="C27" s="29"/>
      <c r="D27" s="29"/>
      <c r="E27" s="29"/>
      <c r="F27" s="29"/>
      <c r="G27" s="36" t="s">
        <v>839</v>
      </c>
      <c r="H27" s="36" t="s">
        <v>4037</v>
      </c>
      <c r="I27" s="639"/>
      <c r="J27" s="635" t="str">
        <f>IF(ISBLANK(HLOOKUP(CaseName,CaseData,MATCH($G27,cases!$G$3:$G$2464,0),FALSE)),"",HLOOKUP(CaseName,CaseData,MATCH($G27,cases!$G$3:$G$2464,0),FALSE))</f>
        <v/>
      </c>
      <c r="K27" s="345">
        <f>L169*L148/L5</f>
        <v>3.7932294855432789E-7</v>
      </c>
      <c r="L27" s="636">
        <f t="shared" si="1"/>
        <v>3.7932294855432789E-7</v>
      </c>
      <c r="M27" s="29" t="s">
        <v>1488</v>
      </c>
      <c r="N27" s="29"/>
      <c r="O27" s="36"/>
    </row>
    <row r="28" spans="1:15" ht="12.75" customHeight="1" x14ac:dyDescent="0.3">
      <c r="A28" s="36" t="s">
        <v>92</v>
      </c>
      <c r="B28" s="29"/>
      <c r="C28" s="29"/>
      <c r="D28" s="29"/>
      <c r="E28" s="29"/>
      <c r="F28" s="29"/>
      <c r="G28" s="36" t="s">
        <v>840</v>
      </c>
      <c r="H28" s="36" t="s">
        <v>4037</v>
      </c>
      <c r="I28" s="639"/>
      <c r="J28" s="635" t="str">
        <f>IF(ISBLANK(HLOOKUP(CaseName,CaseData,MATCH($G28,cases!$G$3:$G$2464,0),FALSE)),"",HLOOKUP(CaseName,CaseData,MATCH($G28,cases!$G$3:$G$2464,0),FALSE))</f>
        <v/>
      </c>
      <c r="K28" s="345">
        <f>L305*L284/L5</f>
        <v>6.5700661937293124E-7</v>
      </c>
      <c r="L28" s="636">
        <f t="shared" si="1"/>
        <v>6.5700661937293124E-7</v>
      </c>
      <c r="M28" s="29" t="s">
        <v>1488</v>
      </c>
      <c r="N28" s="29"/>
      <c r="O28" s="36"/>
    </row>
    <row r="29" spans="1:15" ht="12.75" customHeight="1" x14ac:dyDescent="0.3">
      <c r="A29" s="29"/>
      <c r="B29" s="29"/>
      <c r="C29" s="29"/>
      <c r="D29" s="95"/>
      <c r="E29" s="29"/>
      <c r="F29" s="29"/>
      <c r="G29" s="37"/>
      <c r="H29" s="29"/>
      <c r="I29" s="635"/>
      <c r="J29" s="635" t="str">
        <f>IF(ISBLANK(HLOOKUP(CaseName,CaseData,MATCH($G29,cases!$G$3:$G$2464,0),FALSE)),"",HLOOKUP(CaseName,CaseData,MATCH($G29,cases!$G$3:$G$2464,0),FALSE))</f>
        <v/>
      </c>
      <c r="K29" s="353"/>
      <c r="L29" s="353"/>
      <c r="M29" s="29"/>
      <c r="N29" s="29"/>
      <c r="O29" s="36"/>
    </row>
    <row r="30" spans="1:15" ht="12.75" customHeight="1" x14ac:dyDescent="0.3">
      <c r="A30" s="36" t="s">
        <v>3997</v>
      </c>
      <c r="B30" s="29"/>
      <c r="C30" s="29"/>
      <c r="D30" s="29"/>
      <c r="E30" s="29"/>
      <c r="F30" s="29"/>
      <c r="G30" s="36" t="s">
        <v>1252</v>
      </c>
      <c r="H30" s="36" t="s">
        <v>4037</v>
      </c>
      <c r="I30" s="639"/>
      <c r="J30" s="635" t="str">
        <f>IF(ISBLANK(HLOOKUP(CaseName,CaseData,MATCH($G30,cases!$G$3:$G$2464,0),FALSE)),"",HLOOKUP(CaseName,CaseData,MATCH($G30,cases!$G$3:$G$2464,0),FALSE))</f>
        <v/>
      </c>
      <c r="K30" s="641">
        <f>L35/L6</f>
        <v>6.0683860128376809E-9</v>
      </c>
      <c r="L30" s="636">
        <f t="shared" si="1"/>
        <v>6.0683860128376809E-9</v>
      </c>
      <c r="M30" s="29" t="s">
        <v>1488</v>
      </c>
      <c r="N30" s="29"/>
      <c r="O30" s="36"/>
    </row>
    <row r="31" spans="1:15" ht="12.75" customHeight="1" x14ac:dyDescent="0.3">
      <c r="A31" s="36" t="s">
        <v>3998</v>
      </c>
      <c r="B31" s="29"/>
      <c r="C31" s="29"/>
      <c r="D31" s="29"/>
      <c r="E31" s="29"/>
      <c r="F31" s="29"/>
      <c r="G31" s="36" t="s">
        <v>1271</v>
      </c>
      <c r="H31" s="36" t="s">
        <v>4037</v>
      </c>
      <c r="I31" s="639"/>
      <c r="J31" s="635" t="str">
        <f>IF(ISBLANK(HLOOKUP(CaseName,CaseData,MATCH($G31,cases!$G$3:$G$2464,0),FALSE)),"",HLOOKUP(CaseName,CaseData,MATCH($G31,cases!$G$3:$G$2464,0),FALSE))</f>
        <v/>
      </c>
      <c r="K31" s="641">
        <f>L36/L6</f>
        <v>3.8674157077409421E-8</v>
      </c>
      <c r="L31" s="636">
        <f t="shared" si="1"/>
        <v>3.8674157077409421E-8</v>
      </c>
      <c r="M31" s="29" t="s">
        <v>1488</v>
      </c>
      <c r="N31" s="29"/>
      <c r="O31" s="36"/>
    </row>
    <row r="32" spans="1:15" ht="12.75" customHeight="1" x14ac:dyDescent="0.3">
      <c r="A32" s="36" t="s">
        <v>3999</v>
      </c>
      <c r="B32" s="29"/>
      <c r="C32" s="29"/>
      <c r="D32" s="29"/>
      <c r="E32" s="29"/>
      <c r="F32" s="29"/>
      <c r="G32" s="36" t="s">
        <v>1272</v>
      </c>
      <c r="H32" s="36" t="s">
        <v>4037</v>
      </c>
      <c r="I32" s="639"/>
      <c r="J32" s="635" t="str">
        <f>IF(ISBLANK(HLOOKUP(CaseName,CaseData,MATCH($G32,cases!$G$3:$G$2464,0),FALSE)),"",HLOOKUP(CaseName,CaseData,MATCH($G32,cases!$G$3:$G$2464,0),FALSE))</f>
        <v/>
      </c>
      <c r="K32" s="641">
        <f>L37/L6</f>
        <v>0</v>
      </c>
      <c r="L32" s="636">
        <f t="shared" si="1"/>
        <v>0</v>
      </c>
      <c r="M32" s="29" t="s">
        <v>1488</v>
      </c>
      <c r="N32" s="29"/>
      <c r="O32" s="36"/>
    </row>
    <row r="33" spans="1:15" ht="12.75" customHeight="1" x14ac:dyDescent="0.3">
      <c r="A33" s="36" t="s">
        <v>1118</v>
      </c>
      <c r="B33" s="29"/>
      <c r="C33" s="29"/>
      <c r="D33" s="29"/>
      <c r="E33" s="29"/>
      <c r="F33" s="29"/>
      <c r="G33" s="36" t="s">
        <v>132</v>
      </c>
      <c r="H33" s="36" t="s">
        <v>4037</v>
      </c>
      <c r="I33" s="639"/>
      <c r="J33" s="635" t="str">
        <f>IF(ISBLANK(HLOOKUP(CaseName,CaseData,MATCH($G33,cases!$G$3:$G$2464,0),FALSE)),"",HLOOKUP(CaseName,CaseData,MATCH($G33,cases!$G$3:$G$2464,0),FALSE))</f>
        <v/>
      </c>
      <c r="K33" s="641">
        <v>0</v>
      </c>
      <c r="L33" s="636">
        <f t="shared" si="1"/>
        <v>0</v>
      </c>
      <c r="M33" s="29" t="s">
        <v>1488</v>
      </c>
      <c r="N33" s="29"/>
      <c r="O33" s="36"/>
    </row>
    <row r="34" spans="1:15" ht="12.75" customHeight="1" x14ac:dyDescent="0.3">
      <c r="A34" s="36" t="s">
        <v>131</v>
      </c>
      <c r="B34" s="29"/>
      <c r="C34" s="29"/>
      <c r="D34" s="29"/>
      <c r="E34" s="29"/>
      <c r="F34" s="29"/>
      <c r="G34" s="36" t="s">
        <v>133</v>
      </c>
      <c r="H34" s="36" t="s">
        <v>4037</v>
      </c>
      <c r="I34" s="639"/>
      <c r="J34" s="635" t="str">
        <f>IF(ISBLANK(HLOOKUP(CaseName,CaseData,MATCH($G34,cases!$G$3:$G$2464,0),FALSE)),"",HLOOKUP(CaseName,CaseData,MATCH($G34,cases!$G$3:$G$2464,0),FALSE))</f>
        <v/>
      </c>
      <c r="K34" s="641">
        <f>L38/L7</f>
        <v>1.2891385692469807E-9</v>
      </c>
      <c r="L34" s="636">
        <f t="shared" si="1"/>
        <v>1.2891385692469807E-9</v>
      </c>
      <c r="M34" s="29" t="s">
        <v>1488</v>
      </c>
      <c r="N34" s="29"/>
      <c r="O34" s="36"/>
    </row>
    <row r="35" spans="1:15" ht="12.75" customHeight="1" x14ac:dyDescent="0.3">
      <c r="A35" s="36"/>
      <c r="B35" s="36" t="s">
        <v>1430</v>
      </c>
      <c r="C35" s="29"/>
      <c r="D35" s="29"/>
      <c r="E35" s="29"/>
      <c r="F35" s="29"/>
      <c r="G35" s="94" t="s">
        <v>935</v>
      </c>
      <c r="H35" s="29" t="s">
        <v>4038</v>
      </c>
      <c r="I35" s="638"/>
      <c r="J35" s="635" t="str">
        <f>IF(ISBLANK(HLOOKUP(CaseName,CaseData,MATCH($G35,cases!$G$3:$G$2464,0),FALSE)),"",HLOOKUP(CaseName,CaseData,MATCH($G35,cases!$G$3:$G$2464,0),FALSE))</f>
        <v/>
      </c>
      <c r="K35" s="641">
        <f>WATERflow.w2C.w2M</f>
        <v>23536593.185565703</v>
      </c>
      <c r="L35" s="636">
        <f t="shared" si="1"/>
        <v>23536593.185565703</v>
      </c>
      <c r="M35" s="29" t="s">
        <v>4039</v>
      </c>
      <c r="N35" s="29"/>
      <c r="O35" s="36"/>
    </row>
    <row r="36" spans="1:15" ht="12.75" customHeight="1" x14ac:dyDescent="0.3">
      <c r="A36" s="36"/>
      <c r="B36" s="36" t="s">
        <v>1431</v>
      </c>
      <c r="C36" s="29"/>
      <c r="D36" s="29"/>
      <c r="E36" s="29"/>
      <c r="F36" s="29"/>
      <c r="G36" s="94" t="s">
        <v>1278</v>
      </c>
      <c r="H36" s="29" t="s">
        <v>4038</v>
      </c>
      <c r="I36" s="638"/>
      <c r="J36" s="635" t="str">
        <f>IF(ISBLANK(HLOOKUP(CaseName,CaseData,MATCH($G36,cases!$G$3:$G$2464,0),FALSE)),"",HLOOKUP(CaseName,CaseData,MATCH($G36,cases!$G$3:$G$2464,0),FALSE))</f>
        <v/>
      </c>
      <c r="K36" s="641">
        <f>L38</f>
        <v>150000000</v>
      </c>
      <c r="L36" s="636">
        <f t="shared" si="1"/>
        <v>150000000</v>
      </c>
      <c r="M36" s="29" t="s">
        <v>4039</v>
      </c>
      <c r="N36" s="29"/>
      <c r="O36" s="36"/>
    </row>
    <row r="37" spans="1:15" ht="12.75" customHeight="1" x14ac:dyDescent="0.3">
      <c r="A37" s="36"/>
      <c r="B37" s="36" t="s">
        <v>1432</v>
      </c>
      <c r="C37" s="29"/>
      <c r="D37" s="29"/>
      <c r="E37" s="29"/>
      <c r="F37" s="29"/>
      <c r="G37" s="94" t="s">
        <v>1279</v>
      </c>
      <c r="H37" s="29" t="s">
        <v>4038</v>
      </c>
      <c r="I37" s="638"/>
      <c r="J37" s="635" t="str">
        <f>IF(ISBLANK(HLOOKUP(CaseName,CaseData,MATCH($G37,cases!$G$3:$G$2464,0),FALSE)),"",HLOOKUP(CaseName,CaseData,MATCH($G37,cases!$G$3:$G$2464,0),FALSE))</f>
        <v/>
      </c>
      <c r="K37" s="641">
        <f>0</f>
        <v>0</v>
      </c>
      <c r="L37" s="636">
        <f t="shared" si="1"/>
        <v>0</v>
      </c>
      <c r="M37" s="29" t="s">
        <v>4039</v>
      </c>
      <c r="N37" s="29"/>
      <c r="O37" s="36"/>
    </row>
    <row r="38" spans="1:15" ht="12.75" customHeight="1" x14ac:dyDescent="0.3">
      <c r="A38" s="36"/>
      <c r="B38" s="36"/>
      <c r="C38" s="29" t="s">
        <v>1424</v>
      </c>
      <c r="D38" s="29"/>
      <c r="E38" s="29"/>
      <c r="F38" s="29"/>
      <c r="G38" s="37" t="s">
        <v>1277</v>
      </c>
      <c r="H38" s="29" t="s">
        <v>4038</v>
      </c>
      <c r="I38" s="639"/>
      <c r="J38" s="635" t="str">
        <f>IF(ISBLANK(HLOOKUP(CaseName,CaseData,MATCH($G38,cases!$G$3:$G$2464,0),FALSE)),"",HLOOKUP(CaseName,CaseData,MATCH($G38,cases!$G$3:$G$2464,0),FALSE))</f>
        <v/>
      </c>
      <c r="K38" s="641">
        <v>150000000</v>
      </c>
      <c r="L38" s="636">
        <f t="shared" si="1"/>
        <v>150000000</v>
      </c>
      <c r="M38" s="29" t="s">
        <v>4039</v>
      </c>
      <c r="N38" s="29"/>
      <c r="O38" s="36"/>
    </row>
    <row r="39" spans="1:15" ht="12.75" customHeight="1" x14ac:dyDescent="0.3">
      <c r="A39" s="36" t="s">
        <v>1113</v>
      </c>
      <c r="B39" s="29"/>
      <c r="C39" s="29"/>
      <c r="D39" s="29"/>
      <c r="E39" s="29"/>
      <c r="F39" s="29"/>
      <c r="G39" s="36" t="s">
        <v>1116</v>
      </c>
      <c r="H39" s="36" t="s">
        <v>4037</v>
      </c>
      <c r="I39" s="639"/>
      <c r="J39" s="635" t="str">
        <f>IF(ISBLANK(HLOOKUP(CaseName,CaseData,MATCH($G39,cases!$G$3:$G$2464,0),FALSE)),"",HLOOKUP(CaseName,CaseData,MATCH($G39,cases!$G$3:$G$2464,0),FALSE))</f>
        <v/>
      </c>
      <c r="K39" s="641">
        <f>(L38+L41)/L6</f>
        <v>2.4911186751511984E-7</v>
      </c>
      <c r="L39" s="636">
        <f t="shared" si="1"/>
        <v>2.4911186751511984E-7</v>
      </c>
      <c r="M39" s="29" t="s">
        <v>1488</v>
      </c>
      <c r="N39" s="29"/>
      <c r="O39" s="36"/>
    </row>
    <row r="40" spans="1:15" ht="12.75" customHeight="1" x14ac:dyDescent="0.3">
      <c r="A40" s="36" t="s">
        <v>1114</v>
      </c>
      <c r="B40" s="29"/>
      <c r="C40" s="29"/>
      <c r="D40" s="29"/>
      <c r="E40" s="29"/>
      <c r="F40" s="29"/>
      <c r="G40" s="36" t="s">
        <v>1117</v>
      </c>
      <c r="H40" s="36" t="s">
        <v>4037</v>
      </c>
      <c r="I40" s="639"/>
      <c r="J40" s="635" t="str">
        <f>IF(ISBLANK(HLOOKUP(CaseName,CaseData,MATCH($G40,cases!$G$3:$G$2464,0),FALSE)),"",HLOOKUP(CaseName,CaseData,MATCH($G40,cases!$G$3:$G$2464,0),FALSE))</f>
        <v/>
      </c>
      <c r="K40" s="641">
        <f>(L38+L41)/L7</f>
        <v>8.3037289171706622E-9</v>
      </c>
      <c r="L40" s="636">
        <f t="shared" si="1"/>
        <v>8.3037289171706622E-9</v>
      </c>
      <c r="M40" s="29" t="s">
        <v>1488</v>
      </c>
      <c r="N40" s="29"/>
      <c r="O40" s="36"/>
    </row>
    <row r="41" spans="1:15" ht="12.75" customHeight="1" x14ac:dyDescent="0.3">
      <c r="A41" s="36"/>
      <c r="B41" s="29" t="s">
        <v>693</v>
      </c>
      <c r="C41" s="29"/>
      <c r="D41" s="29"/>
      <c r="E41" s="29"/>
      <c r="F41" s="29"/>
      <c r="G41" s="37" t="s">
        <v>1280</v>
      </c>
      <c r="H41" s="29" t="s">
        <v>4038</v>
      </c>
      <c r="I41" s="639"/>
      <c r="J41" s="635" t="str">
        <f>IF(ISBLANK(HLOOKUP(CaseName,CaseData,MATCH($G41,cases!$G$3:$G$2464,0),FALSE)),"",HLOOKUP(CaseName,CaseData,MATCH($G41,cases!$G$3:$G$2464,0),FALSE))</f>
        <v/>
      </c>
      <c r="K41" s="352">
        <f>L6/L42</f>
        <v>816195075.75757575</v>
      </c>
      <c r="L41" s="636">
        <f t="shared" si="1"/>
        <v>816195075.75757575</v>
      </c>
      <c r="M41" s="29" t="s">
        <v>4039</v>
      </c>
      <c r="N41" s="29"/>
      <c r="O41" s="36"/>
    </row>
    <row r="42" spans="1:15" ht="12.75" customHeight="1" x14ac:dyDescent="0.3">
      <c r="A42" s="36"/>
      <c r="B42" s="36"/>
      <c r="C42" s="29" t="s">
        <v>1218</v>
      </c>
      <c r="D42" s="29"/>
      <c r="E42" s="29"/>
      <c r="F42" s="29"/>
      <c r="G42" s="37" t="s">
        <v>808</v>
      </c>
      <c r="H42" s="29" t="s">
        <v>723</v>
      </c>
      <c r="I42" s="639"/>
      <c r="J42" s="635" t="str">
        <f>IF(ISBLANK(HLOOKUP(CaseName,CaseData,MATCH($G42,cases!$G$3:$G$2464,0),FALSE)),"",HLOOKUP(CaseName,CaseData,MATCH($G42,cases!$G$3:$G$2464,0),FALSE))</f>
        <v/>
      </c>
      <c r="K42" s="352">
        <v>55</v>
      </c>
      <c r="L42" s="636">
        <f>IF(ISBLANK(I42),IF(ISNUMBER(J42)=FALSE,K42*(3600*24),J42*(3600*24)),I42*(3600*24))</f>
        <v>4752000</v>
      </c>
      <c r="M42" s="36" t="s">
        <v>115</v>
      </c>
      <c r="N42" s="29"/>
      <c r="O42" s="36"/>
    </row>
    <row r="43" spans="1:15" ht="12.75" customHeight="1" x14ac:dyDescent="0.3">
      <c r="A43" s="29"/>
      <c r="B43" s="29"/>
      <c r="C43" s="29"/>
      <c r="D43" s="29"/>
      <c r="E43" s="29"/>
      <c r="F43" s="29"/>
      <c r="G43" s="29"/>
      <c r="H43" s="36"/>
      <c r="I43" s="353"/>
      <c r="J43" s="353"/>
      <c r="K43" s="353"/>
      <c r="L43" s="353"/>
      <c r="M43" s="29"/>
      <c r="N43" s="29"/>
      <c r="O43" s="36"/>
    </row>
    <row r="44" spans="1:15" ht="12.75" customHeight="1" x14ac:dyDescent="0.3">
      <c r="A44" s="98" t="s">
        <v>209</v>
      </c>
      <c r="B44" s="97"/>
      <c r="C44" s="97"/>
      <c r="D44" s="97"/>
      <c r="E44" s="97"/>
      <c r="F44" s="97"/>
      <c r="G44" s="98" t="s">
        <v>1008</v>
      </c>
      <c r="H44" s="98" t="s">
        <v>968</v>
      </c>
      <c r="I44" s="364" t="s">
        <v>754</v>
      </c>
      <c r="J44" s="340" t="s">
        <v>37</v>
      </c>
      <c r="K44" s="340" t="s">
        <v>753</v>
      </c>
      <c r="L44" s="340" t="s">
        <v>1358</v>
      </c>
      <c r="M44" s="97"/>
      <c r="N44" s="98" t="s">
        <v>1371</v>
      </c>
      <c r="O44" s="36"/>
    </row>
    <row r="45" spans="1:15" ht="12.75" customHeight="1" x14ac:dyDescent="0.3">
      <c r="A45" s="29"/>
      <c r="B45" s="29"/>
      <c r="C45" s="29"/>
      <c r="D45" s="29"/>
      <c r="E45" s="29"/>
      <c r="F45" s="29"/>
      <c r="G45" s="29"/>
      <c r="H45" s="36"/>
      <c r="I45" s="353"/>
      <c r="J45" s="645"/>
      <c r="K45" s="353"/>
      <c r="L45" s="649"/>
      <c r="M45" s="29"/>
      <c r="N45" s="29"/>
      <c r="O45" s="36"/>
    </row>
    <row r="46" spans="1:15" ht="12.75" customHeight="1" x14ac:dyDescent="0.3">
      <c r="A46" s="29"/>
      <c r="B46" s="36" t="s">
        <v>986</v>
      </c>
      <c r="C46" s="36"/>
      <c r="D46" s="36"/>
      <c r="E46" s="36"/>
      <c r="F46" s="36"/>
      <c r="G46" s="36" t="s">
        <v>4000</v>
      </c>
      <c r="H46" s="36" t="s">
        <v>36</v>
      </c>
      <c r="I46" s="638"/>
      <c r="J46" s="635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0.97607289323959479</v>
      </c>
      <c r="L46" s="636">
        <f>IF(ISBLANK(I46),IF(ISNUMBER(J46)=FALSE,K46,J46),I46)</f>
        <v>0.97607289323959479</v>
      </c>
      <c r="M46" s="36" t="s">
        <v>486</v>
      </c>
      <c r="N46" s="36"/>
      <c r="O46" s="36"/>
    </row>
    <row r="47" spans="1:15" ht="12.75" customHeight="1" x14ac:dyDescent="0.3">
      <c r="A47" s="29"/>
      <c r="B47" s="29" t="s">
        <v>615</v>
      </c>
      <c r="C47" s="29"/>
      <c r="D47" s="29"/>
      <c r="E47" s="29"/>
      <c r="F47" s="29"/>
      <c r="G47" s="29" t="s">
        <v>634</v>
      </c>
      <c r="H47" s="29" t="s">
        <v>36</v>
      </c>
      <c r="I47" s="519"/>
      <c r="J47" s="635" t="str">
        <f>IF(ISBLANK(HLOOKUP(CaseName,CaseData,MATCH($G47,cases!$G$3:$G$2464,0),FALSE)),"",HLOOKUP(CaseName,CaseData,MATCH($G47,cases!$G$3:$G$2464,0),FALSE))</f>
        <v/>
      </c>
      <c r="K47" s="366">
        <f>L19 *L51/(1+L19*L51+L18*L52)</f>
        <v>3.9711135849005027E-4</v>
      </c>
      <c r="L47" s="636">
        <f>IF(ISBLANK(I47),IF(ISNUMBER(J47)=FALSE,K47,J47),I47)</f>
        <v>3.9711135849005027E-4</v>
      </c>
      <c r="M47" s="36" t="s">
        <v>486</v>
      </c>
      <c r="N47" s="29" t="s">
        <v>2185</v>
      </c>
      <c r="O47" s="36"/>
    </row>
    <row r="48" spans="1:15" ht="12.75" customHeight="1" x14ac:dyDescent="0.3">
      <c r="A48" s="29"/>
      <c r="B48" s="29" t="s">
        <v>616</v>
      </c>
      <c r="C48" s="29"/>
      <c r="D48" s="29"/>
      <c r="E48" s="29"/>
      <c r="F48" s="29"/>
      <c r="G48" s="29" t="s">
        <v>635</v>
      </c>
      <c r="H48" s="29" t="s">
        <v>36</v>
      </c>
      <c r="I48" s="638"/>
      <c r="J48" s="635" t="str">
        <f>IF(ISBLANK(HLOOKUP(CaseName,CaseData,MATCH($G48,cases!$G$3:$G$2464,0),FALSE)),"",HLOOKUP(CaseName,CaseData,MATCH($G48,cases!$G$3:$G$2464,0),FALSE))</f>
        <v/>
      </c>
      <c r="K48" s="366">
        <f>L18 *L52/(1+L19*L51+L18*L52)</f>
        <v>2.3529995401915089E-2</v>
      </c>
      <c r="L48" s="636">
        <f>IF(ISBLANK(I48),IF(ISNUMBER(J48)=FALSE,K48,J48),I48)</f>
        <v>2.3529995401915089E-2</v>
      </c>
      <c r="M48" s="36" t="s">
        <v>486</v>
      </c>
      <c r="N48" s="29" t="s">
        <v>2185</v>
      </c>
      <c r="O48" s="36"/>
    </row>
    <row r="49" spans="1:15" ht="12.75" customHeight="1" x14ac:dyDescent="0.3">
      <c r="A49" s="29"/>
      <c r="B49" s="36" t="s">
        <v>1043</v>
      </c>
      <c r="C49" s="36"/>
      <c r="D49" s="36"/>
      <c r="E49" s="36"/>
      <c r="F49" s="36"/>
      <c r="G49" s="36" t="s">
        <v>4001</v>
      </c>
      <c r="H49" s="36" t="s">
        <v>36</v>
      </c>
      <c r="I49" s="638"/>
      <c r="J49" s="635" t="str">
        <f>IF(ISBLANK(HLOOKUP(CaseName,CaseData,MATCH($G49,cases!$G$3:$G$2464,0),FALSE)),"",HLOOKUP(CaseName,CaseData,MATCH($G49,cases!$G$3:$G$2464,0),FALSE))</f>
        <v/>
      </c>
      <c r="K49" s="352">
        <f>Kaw*EXP((H0vap/8.314)*(1/298-1/L50))*EXP(-(H0sol/8.314)*(1/298-1/L50))*(298/L50)</f>
        <v>4.9158665603902462E-8</v>
      </c>
      <c r="L49" s="636">
        <f>IF(ISBLANK(I49),IF(ISNUMBER(J49)=FALSE,K49,J49),I49)</f>
        <v>4.9158665603902462E-8</v>
      </c>
      <c r="M49" s="36" t="s">
        <v>486</v>
      </c>
      <c r="N49" s="29"/>
      <c r="O49" s="36"/>
    </row>
    <row r="50" spans="1:15" ht="12.75" customHeight="1" x14ac:dyDescent="0.3">
      <c r="A50" s="36"/>
      <c r="B50" s="36"/>
      <c r="C50" s="36" t="s">
        <v>543</v>
      </c>
      <c r="D50" s="36"/>
      <c r="E50" s="36"/>
      <c r="F50" s="36"/>
      <c r="G50" s="36" t="s">
        <v>792</v>
      </c>
      <c r="H50" s="36" t="s">
        <v>4050</v>
      </c>
      <c r="I50" s="638"/>
      <c r="J50" s="635" t="str">
        <f>IF(ISBLANK(HLOOKUP(CaseName,CaseData,MATCH($G50,cases!$G$3:$G$2464,0),FALSE)),"",HLOOKUP(CaseName,CaseData,MATCH($G50,cases!$G$3:$G$2464,0),FALSE))</f>
        <v/>
      </c>
      <c r="K50" s="352">
        <v>12</v>
      </c>
      <c r="L50" s="636">
        <f>IF(ISBLANK(I50),IF(ISNUMBER(J50)=FALSE,K50+273,J50+273),I50+273)</f>
        <v>285</v>
      </c>
      <c r="M50" s="36" t="s">
        <v>588</v>
      </c>
      <c r="N50" s="29"/>
      <c r="O50" s="36"/>
    </row>
    <row r="51" spans="1:15" ht="12.75" customHeight="1" x14ac:dyDescent="0.35">
      <c r="A51" s="29"/>
      <c r="B51" s="29"/>
      <c r="C51" s="29" t="s">
        <v>612</v>
      </c>
      <c r="D51" s="29"/>
      <c r="E51" s="29"/>
      <c r="F51" s="29"/>
      <c r="G51" s="29" t="s">
        <v>637</v>
      </c>
      <c r="H51" s="29" t="s">
        <v>4041</v>
      </c>
      <c r="I51" s="519"/>
      <c r="J51" s="635" t="str">
        <f>IF(ISBLANK(HLOOKUP(CaseName,CaseData,MATCH($G51,cases!$G$3:$G$2464,0),FALSE)),"",HLOOKUP(CaseName,CaseData,MATCH($G51,cases!$G$3:$G$2464,0),FALSE))</f>
        <v/>
      </c>
      <c r="K51" s="366">
        <f>1/(L49*FRorig.aerw)</f>
        <v>20342300.315913603</v>
      </c>
      <c r="L51" s="636">
        <f t="shared" ref="L51:L58" si="2">IF(ISBLANK(I51),IF(ISNUMBER(J51)=FALSE,K51,J51),I51)</f>
        <v>20342300.315913603</v>
      </c>
      <c r="M51" s="36" t="s">
        <v>4051</v>
      </c>
      <c r="N51" s="29"/>
      <c r="O51" s="36"/>
    </row>
    <row r="52" spans="1:15" ht="12.75" customHeight="1" x14ac:dyDescent="0.35">
      <c r="A52" s="29"/>
      <c r="B52" s="29"/>
      <c r="C52" s="29" t="s">
        <v>613</v>
      </c>
      <c r="D52" s="29"/>
      <c r="E52" s="29"/>
      <c r="F52" s="29"/>
      <c r="G52" s="29" t="s">
        <v>638</v>
      </c>
      <c r="H52" s="29" t="s">
        <v>4042</v>
      </c>
      <c r="I52" s="519"/>
      <c r="J52" s="635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1205340070.6487617</v>
      </c>
      <c r="L52" s="636">
        <f t="shared" si="2"/>
        <v>1205340070.6487617</v>
      </c>
      <c r="M52" s="36" t="s">
        <v>4052</v>
      </c>
      <c r="N52" s="29" t="s">
        <v>924</v>
      </c>
      <c r="O52" s="36"/>
    </row>
    <row r="53" spans="1:15" ht="12.75" customHeight="1" x14ac:dyDescent="0.3">
      <c r="A53" s="36"/>
      <c r="B53" s="36" t="s">
        <v>4002</v>
      </c>
      <c r="C53" s="95"/>
      <c r="D53" s="29"/>
      <c r="E53" s="29"/>
      <c r="F53" s="29"/>
      <c r="G53" s="37" t="s">
        <v>134</v>
      </c>
      <c r="H53" s="36" t="s">
        <v>36</v>
      </c>
      <c r="I53" s="638"/>
      <c r="J53" s="635" t="str">
        <f>IF(ISBLANK(HLOOKUP(CaseName,CaseData,MATCH($G53,cases!$G$3:$G$2464,0),FALSE)),"",HLOOKUP(CaseName,CaseData,MATCH($G53,cases!$G$3:$G$2464,0),FALSE))</f>
        <v/>
      </c>
      <c r="K53" s="352">
        <f>1/(1+L55*L59/1000+L61*L63/1000)</f>
        <v>0.99923939228777903</v>
      </c>
      <c r="L53" s="636">
        <f t="shared" si="2"/>
        <v>0.99923939228777903</v>
      </c>
      <c r="M53" s="36" t="s">
        <v>486</v>
      </c>
      <c r="N53" s="29"/>
      <c r="O53" s="36"/>
    </row>
    <row r="54" spans="1:15" ht="12.75" customHeight="1" x14ac:dyDescent="0.3">
      <c r="A54" s="36"/>
      <c r="B54" s="36" t="s">
        <v>1119</v>
      </c>
      <c r="C54" s="95"/>
      <c r="D54" s="29"/>
      <c r="E54" s="29"/>
      <c r="F54" s="29"/>
      <c r="G54" s="37" t="s">
        <v>135</v>
      </c>
      <c r="H54" s="36" t="s">
        <v>36</v>
      </c>
      <c r="I54" s="638"/>
      <c r="J54" s="635" t="str">
        <f>IF(ISBLANK(HLOOKUP(CaseName,CaseData,MATCH($G54,cases!$G$3:$G$2464,0),FALSE)),"",HLOOKUP(CaseName,CaseData,MATCH($G54,cases!$G$3:$G$2464,0),FALSE))</f>
        <v/>
      </c>
      <c r="K54" s="352">
        <f>1/(1+L56*L60/1000+L62*L64/1000)</f>
        <v>0.99923939228777903</v>
      </c>
      <c r="L54" s="636">
        <f t="shared" si="2"/>
        <v>0.99923939228777903</v>
      </c>
      <c r="M54" s="36" t="s">
        <v>486</v>
      </c>
      <c r="N54" s="29"/>
      <c r="O54" s="36"/>
    </row>
    <row r="55" spans="1:15" ht="12.75" customHeight="1" x14ac:dyDescent="0.3">
      <c r="A55" s="36"/>
      <c r="B55" s="29"/>
      <c r="C55" s="36" t="s">
        <v>4003</v>
      </c>
      <c r="D55" s="29"/>
      <c r="E55" s="29"/>
      <c r="F55" s="29"/>
      <c r="G55" s="94" t="s">
        <v>136</v>
      </c>
      <c r="H55" s="36" t="s">
        <v>4043</v>
      </c>
      <c r="I55" s="638"/>
      <c r="J55" s="635" t="str">
        <f>IF(ISBLANK(HLOOKUP(CaseName,CaseData,MATCH($G55,cases!$G$3:$G$2464,0),FALSE)),"",HLOOKUP(CaseName,CaseData,MATCH($G55,cases!$G$3:$G$2464,0),FALSE))</f>
        <v/>
      </c>
      <c r="K55" s="352">
        <f>(FRorig.w2*Ksw+(1-FRorig.w2)*Ksw.alt)*(1000/RHOsolid/CORG)*L57</f>
        <v>99.435216023782488</v>
      </c>
      <c r="L55" s="636">
        <f t="shared" si="2"/>
        <v>99.435216023782488</v>
      </c>
      <c r="M55" s="36" t="s">
        <v>1498</v>
      </c>
      <c r="N55" s="29"/>
      <c r="O55" s="36"/>
    </row>
    <row r="56" spans="1:15" ht="12.75" customHeight="1" x14ac:dyDescent="0.3">
      <c r="A56" s="36"/>
      <c r="B56" s="29"/>
      <c r="C56" s="36" t="s">
        <v>1122</v>
      </c>
      <c r="D56" s="29"/>
      <c r="E56" s="29"/>
      <c r="F56" s="29"/>
      <c r="G56" s="94" t="s">
        <v>137</v>
      </c>
      <c r="H56" s="36" t="s">
        <v>1498</v>
      </c>
      <c r="I56" s="638"/>
      <c r="J56" s="635" t="str">
        <f>IF(ISBLANK(HLOOKUP(CaseName,CaseData,MATCH($G56,cases!$G$3:$G$2464,0),FALSE)),"",HLOOKUP(CaseName,CaseData,MATCH($G56,cases!$G$3:$G$2464,0),FALSE))</f>
        <v/>
      </c>
      <c r="K56" s="352">
        <f>(FRorig.w2*Ksw+(1-FRorig.w2)*Ksw.alt)*(1000/RHOsolid/CORG)*L58</f>
        <v>99.435216023782488</v>
      </c>
      <c r="L56" s="636">
        <f t="shared" si="2"/>
        <v>99.435216023782488</v>
      </c>
      <c r="M56" s="36" t="s">
        <v>1498</v>
      </c>
      <c r="N56" s="29"/>
      <c r="O56" s="36"/>
    </row>
    <row r="57" spans="1:15" ht="12.75" customHeight="1" x14ac:dyDescent="0.3">
      <c r="A57" s="36"/>
      <c r="B57" s="29"/>
      <c r="C57" s="36" t="s">
        <v>4004</v>
      </c>
      <c r="D57" s="29"/>
      <c r="E57" s="29"/>
      <c r="F57" s="29"/>
      <c r="G57" s="94" t="s">
        <v>1452</v>
      </c>
      <c r="H57" s="36" t="s">
        <v>36</v>
      </c>
      <c r="I57" s="638"/>
      <c r="J57" s="635" t="str">
        <f>IF(ISBLANK(HLOOKUP(CaseName,CaseData,MATCH($G57,cases!$G$3:$G$2464,0),FALSE)),"",HLOOKUP(CaseName,CaseData,MATCH($G57,cases!$G$3:$G$2464,0),FALSE))</f>
        <v/>
      </c>
      <c r="K57" s="352">
        <v>0.1</v>
      </c>
      <c r="L57" s="636">
        <f t="shared" si="2"/>
        <v>0.1</v>
      </c>
      <c r="M57" s="36" t="s">
        <v>486</v>
      </c>
      <c r="N57" s="29"/>
      <c r="O57" s="36"/>
    </row>
    <row r="58" spans="1:15" ht="12.75" customHeight="1" x14ac:dyDescent="0.3">
      <c r="A58" s="36"/>
      <c r="B58" s="29"/>
      <c r="C58" s="36" t="s">
        <v>1124</v>
      </c>
      <c r="D58" s="29"/>
      <c r="E58" s="29"/>
      <c r="F58" s="29"/>
      <c r="G58" s="94" t="s">
        <v>1453</v>
      </c>
      <c r="H58" s="36" t="s">
        <v>36</v>
      </c>
      <c r="I58" s="638"/>
      <c r="J58" s="635" t="str">
        <f>IF(ISBLANK(HLOOKUP(CaseName,CaseData,MATCH($G58,cases!$G$3:$G$2464,0),FALSE)),"",HLOOKUP(CaseName,CaseData,MATCH($G58,cases!$G$3:$G$2464,0),FALSE))</f>
        <v/>
      </c>
      <c r="K58" s="352">
        <v>0.1</v>
      </c>
      <c r="L58" s="636">
        <f t="shared" si="2"/>
        <v>0.1</v>
      </c>
      <c r="M58" s="36" t="s">
        <v>486</v>
      </c>
      <c r="N58" s="29"/>
      <c r="O58" s="36"/>
    </row>
    <row r="59" spans="1:15" ht="12.75" customHeight="1" x14ac:dyDescent="0.3">
      <c r="A59" s="36"/>
      <c r="B59" s="29"/>
      <c r="C59" s="36" t="s">
        <v>4005</v>
      </c>
      <c r="D59" s="29"/>
      <c r="E59" s="29"/>
      <c r="F59" s="29"/>
      <c r="G59" s="94" t="s">
        <v>138</v>
      </c>
      <c r="H59" s="36" t="s">
        <v>4044</v>
      </c>
      <c r="I59" s="638"/>
      <c r="J59" s="635" t="str">
        <f>IF(ISBLANK(HLOOKUP(CaseName,CaseData,MATCH($G59,cases!$G$3:$G$2464,0),FALSE)),"",HLOOKUP(CaseName,CaseData,MATCH($G59,cases!$G$3:$G$2464,0),FALSE))</f>
        <v/>
      </c>
      <c r="K59" s="352">
        <v>5</v>
      </c>
      <c r="L59" s="636">
        <f>IF(ISBLANK(I59),IF(ISNUMBER(J59)=FALSE,K59/1000,J59/1000),I59/1000)</f>
        <v>5.0000000000000001E-3</v>
      </c>
      <c r="M59" s="36" t="s">
        <v>1497</v>
      </c>
      <c r="N59" s="29"/>
      <c r="O59" s="36"/>
    </row>
    <row r="60" spans="1:15" ht="12.75" customHeight="1" x14ac:dyDescent="0.3">
      <c r="A60" s="36"/>
      <c r="B60" s="29"/>
      <c r="C60" s="36" t="s">
        <v>1126</v>
      </c>
      <c r="D60" s="29"/>
      <c r="E60" s="29"/>
      <c r="F60" s="29"/>
      <c r="G60" s="94" t="s">
        <v>139</v>
      </c>
      <c r="H60" s="36" t="s">
        <v>4044</v>
      </c>
      <c r="I60" s="638"/>
      <c r="J60" s="635" t="str">
        <f>IF(ISBLANK(HLOOKUP(CaseName,CaseData,MATCH($G60,cases!$G$3:$G$2464,0),FALSE)),"",HLOOKUP(CaseName,CaseData,MATCH($G60,cases!$G$3:$G$2464,0),FALSE))</f>
        <v/>
      </c>
      <c r="K60" s="352">
        <v>5</v>
      </c>
      <c r="L60" s="636">
        <f>IF(ISBLANK(I60),IF(ISNUMBER(J60)=FALSE,K60/1000,J60/1000),I60/1000)</f>
        <v>5.0000000000000001E-3</v>
      </c>
      <c r="M60" s="36" t="s">
        <v>1497</v>
      </c>
      <c r="N60" s="29"/>
      <c r="O60" s="36"/>
    </row>
    <row r="61" spans="1:15" ht="12.75" customHeight="1" x14ac:dyDescent="0.3">
      <c r="A61" s="36"/>
      <c r="B61" s="29"/>
      <c r="C61" s="36" t="s">
        <v>4006</v>
      </c>
      <c r="D61" s="29"/>
      <c r="E61" s="29"/>
      <c r="F61" s="29"/>
      <c r="G61" s="94" t="s">
        <v>140</v>
      </c>
      <c r="H61" s="36" t="s">
        <v>1039</v>
      </c>
      <c r="I61" s="634"/>
      <c r="J61" s="635" t="str">
        <f>IF(ISBLANK(HLOOKUP(CaseName,CaseData,MATCH($G61,cases!$G$3:$G$2464,0),FALSE)),"",HLOOKUP(CaseName,CaseData,MATCH($G61,cases!$G$3:$G$2464,0),FALSE))</f>
        <v/>
      </c>
      <c r="K61" s="352">
        <f>0.08*D</f>
        <v>264.01059655875667</v>
      </c>
      <c r="L61" s="636">
        <f>IF(ISBLANK(I61),IF(ISNUMBER(J61)=FALSE,K61,J61),I61)</f>
        <v>264.01059655875667</v>
      </c>
      <c r="M61" s="36" t="s">
        <v>1498</v>
      </c>
      <c r="N61" s="29"/>
      <c r="O61" s="36"/>
    </row>
    <row r="62" spans="1:15" ht="12.75" customHeight="1" x14ac:dyDescent="0.3">
      <c r="A62" s="36"/>
      <c r="B62" s="29"/>
      <c r="C62" s="36" t="s">
        <v>1143</v>
      </c>
      <c r="D62" s="29"/>
      <c r="E62" s="29"/>
      <c r="F62" s="29"/>
      <c r="G62" s="94" t="s">
        <v>141</v>
      </c>
      <c r="H62" s="36" t="s">
        <v>1039</v>
      </c>
      <c r="I62" s="634"/>
      <c r="J62" s="635" t="str">
        <f>IF(ISBLANK(HLOOKUP(CaseName,CaseData,MATCH($G62,cases!$G$3:$G$2464,0),FALSE)),"",HLOOKUP(CaseName,CaseData,MATCH($G62,cases!$G$3:$G$2464,0),FALSE))</f>
        <v/>
      </c>
      <c r="K62" s="352">
        <f>0.08*D</f>
        <v>264.01059655875667</v>
      </c>
      <c r="L62" s="636">
        <f>IF(ISBLANK(I62),IF(ISNUMBER(J62)=FALSE,K62,J62),I62)</f>
        <v>264.01059655875667</v>
      </c>
      <c r="M62" s="36" t="s">
        <v>1498</v>
      </c>
      <c r="N62" s="29"/>
      <c r="O62" s="36"/>
    </row>
    <row r="63" spans="1:15" ht="12.75" customHeight="1" x14ac:dyDescent="0.3">
      <c r="A63" s="36"/>
      <c r="B63" s="29"/>
      <c r="C63" s="36" t="s">
        <v>4007</v>
      </c>
      <c r="D63" s="29"/>
      <c r="E63" s="29"/>
      <c r="F63" s="29"/>
      <c r="G63" s="94" t="s">
        <v>142</v>
      </c>
      <c r="H63" s="36" t="s">
        <v>1038</v>
      </c>
      <c r="I63" s="634"/>
      <c r="J63" s="635" t="str">
        <f>IF(ISBLANK(HLOOKUP(CaseName,CaseData,MATCH($G63,cases!$G$3:$G$2464,0),FALSE)),"",HLOOKUP(CaseName,CaseData,MATCH($G63,cases!$G$3:$G$2464,0),FALSE))</f>
        <v/>
      </c>
      <c r="K63" s="352">
        <v>1</v>
      </c>
      <c r="L63" s="636">
        <f>IF(ISBLANK(I63),IF(ISNUMBER(J63)=FALSE,K63/1000,J63/1000),I63/1000)</f>
        <v>1E-3</v>
      </c>
      <c r="M63" s="36" t="s">
        <v>1497</v>
      </c>
      <c r="N63" s="29"/>
      <c r="O63" s="36"/>
    </row>
    <row r="64" spans="1:15" ht="12.75" customHeight="1" x14ac:dyDescent="0.3">
      <c r="A64" s="36"/>
      <c r="B64" s="29"/>
      <c r="C64" s="36" t="s">
        <v>1130</v>
      </c>
      <c r="D64" s="29"/>
      <c r="E64" s="29"/>
      <c r="F64" s="29"/>
      <c r="G64" s="94" t="s">
        <v>143</v>
      </c>
      <c r="H64" s="36" t="s">
        <v>1038</v>
      </c>
      <c r="I64" s="634"/>
      <c r="J64" s="635" t="str">
        <f>IF(ISBLANK(HLOOKUP(CaseName,CaseData,MATCH($G64,cases!$G$3:$G$2464,0),FALSE)),"",HLOOKUP(CaseName,CaseData,MATCH($G64,cases!$G$3:$G$2464,0),FALSE))</f>
        <v/>
      </c>
      <c r="K64" s="352">
        <v>1</v>
      </c>
      <c r="L64" s="636">
        <f>IF(ISBLANK(I64),IF(ISNUMBER(J64)=FALSE,K64/1000,J64/1000),I64/1000)</f>
        <v>1E-3</v>
      </c>
      <c r="M64" s="36" t="s">
        <v>1497</v>
      </c>
      <c r="N64" s="29"/>
      <c r="O64" s="36"/>
    </row>
    <row r="65" spans="1:15" ht="12.75" customHeight="1" x14ac:dyDescent="0.3">
      <c r="A65" s="36"/>
      <c r="B65" s="36" t="s">
        <v>1375</v>
      </c>
      <c r="C65" s="95"/>
      <c r="D65" s="29"/>
      <c r="E65" s="29"/>
      <c r="F65" s="29"/>
      <c r="G65" s="94" t="s">
        <v>438</v>
      </c>
      <c r="H65" s="36" t="s">
        <v>36</v>
      </c>
      <c r="I65" s="638"/>
      <c r="J65" s="635" t="str">
        <f>IF(ISBLANK(HLOOKUP(CaseName,CaseData,MATCH($G65,cases!$G$3:$G$2464,0),FALSE)),"",HLOOKUP(CaseName,CaseData,MATCH($G65,cases!$G$3:$G$2464,0),FALSE))</f>
        <v/>
      </c>
      <c r="K65" s="352">
        <f>L23+L24*L66*RHOsolid/1000</f>
        <v>26.231033926700718</v>
      </c>
      <c r="L65" s="636">
        <f t="shared" ref="L65:L72" si="3">IF(ISBLANK(I65),IF(ISNUMBER(J65)=FALSE,K65,J65),I65)</f>
        <v>26.231033926700718</v>
      </c>
      <c r="M65" s="36" t="s">
        <v>486</v>
      </c>
      <c r="N65" s="29"/>
      <c r="O65" s="36"/>
    </row>
    <row r="66" spans="1:15" ht="12.75" customHeight="1" x14ac:dyDescent="0.3">
      <c r="A66" s="36"/>
      <c r="B66" s="29"/>
      <c r="C66" s="36" t="s">
        <v>1376</v>
      </c>
      <c r="D66" s="29"/>
      <c r="E66" s="29"/>
      <c r="F66" s="29"/>
      <c r="G66" s="94" t="s">
        <v>177</v>
      </c>
      <c r="H66" s="36" t="s">
        <v>4043</v>
      </c>
      <c r="I66" s="638"/>
      <c r="J66" s="635" t="str">
        <f>IF(ISBLANK(HLOOKUP(CaseName,CaseData,MATCH($G66,cases!$G$3:$G$2464,0),FALSE)),"",HLOOKUP(CaseName,CaseData,MATCH($G66,cases!$G$3:$G$2464,0),FALSE))</f>
        <v/>
      </c>
      <c r="K66" s="352">
        <f>(FRorig.sd2*Ksw+(1-FRorig.sd2)*Ksw.alt)*(1000/RHOsolid/CORG)*L67</f>
        <v>50.862067853401449</v>
      </c>
      <c r="L66" s="636">
        <f t="shared" si="3"/>
        <v>50.862067853401449</v>
      </c>
      <c r="M66" s="36" t="s">
        <v>1498</v>
      </c>
      <c r="N66" s="29"/>
      <c r="O66" s="36"/>
    </row>
    <row r="67" spans="1:15" ht="12.75" customHeight="1" x14ac:dyDescent="0.3">
      <c r="A67" s="36"/>
      <c r="B67" s="29"/>
      <c r="C67" s="36" t="s">
        <v>546</v>
      </c>
      <c r="D67" s="29"/>
      <c r="E67" s="29"/>
      <c r="F67" s="29"/>
      <c r="G67" s="94" t="s">
        <v>437</v>
      </c>
      <c r="H67" s="36" t="s">
        <v>36</v>
      </c>
      <c r="I67" s="638"/>
      <c r="J67" s="635" t="str">
        <f>IF(ISBLANK(HLOOKUP(CaseName,CaseData,MATCH($G67,cases!$G$3:$G$2464,0),FALSE)),"",HLOOKUP(CaseName,CaseData,MATCH($G67,cases!$G$3:$G$2464,0),FALSE))</f>
        <v/>
      </c>
      <c r="K67" s="352">
        <v>0.05</v>
      </c>
      <c r="L67" s="636">
        <f t="shared" si="3"/>
        <v>0.05</v>
      </c>
      <c r="M67" s="36" t="s">
        <v>486</v>
      </c>
      <c r="N67" s="29"/>
      <c r="O67" s="36"/>
    </row>
    <row r="68" spans="1:15" ht="12.75" customHeight="1" x14ac:dyDescent="0.3">
      <c r="A68" s="36"/>
      <c r="B68" s="36" t="s">
        <v>1372</v>
      </c>
      <c r="C68" s="95"/>
      <c r="D68" s="29"/>
      <c r="E68" s="29"/>
      <c r="F68" s="29"/>
      <c r="G68" s="94" t="s">
        <v>4008</v>
      </c>
      <c r="H68" s="36" t="s">
        <v>36</v>
      </c>
      <c r="I68" s="638"/>
      <c r="J68" s="635" t="str">
        <f>IF(ISBLANK(HLOOKUP(CaseName,CaseData,MATCH($G68,cases!$G$3:$G$2464,0),FALSE)),"",HLOOKUP(CaseName,CaseData,MATCH($G68,cases!$G$3:$G$2464,0),FALSE))</f>
        <v/>
      </c>
      <c r="K68" s="352">
        <f>L20*(L49*FRorig.s1w)+L21+L22*L71*RHOsolid/1000</f>
        <v>30.955150979220729</v>
      </c>
      <c r="L68" s="636">
        <f t="shared" si="3"/>
        <v>30.955150979220729</v>
      </c>
      <c r="M68" s="29" t="s">
        <v>486</v>
      </c>
      <c r="N68" s="29"/>
      <c r="O68" s="36"/>
    </row>
    <row r="69" spans="1:15" ht="12.75" customHeight="1" x14ac:dyDescent="0.3">
      <c r="A69" s="36"/>
      <c r="B69" s="36" t="s">
        <v>48</v>
      </c>
      <c r="C69" s="95"/>
      <c r="D69" s="29"/>
      <c r="E69" s="29"/>
      <c r="F69" s="29"/>
      <c r="G69" s="94" t="s">
        <v>589</v>
      </c>
      <c r="H69" s="36" t="s">
        <v>36</v>
      </c>
      <c r="I69" s="638"/>
      <c r="J69" s="635" t="str">
        <f>IF(ISBLANK(HLOOKUP(CaseName,CaseData,MATCH($G69,cases!$G$3:$G$2464,0),FALSE)),"",HLOOKUP(CaseName,CaseData,MATCH($G69,cases!$G$3:$G$2464,0),FALSE))</f>
        <v/>
      </c>
      <c r="K69" s="352">
        <f>L21/(L20*(L49*FRorig.s1w)+L21+L22*L71*RHOsolid/1000)</f>
        <v>6.4609602496933077E-3</v>
      </c>
      <c r="L69" s="636">
        <f t="shared" si="3"/>
        <v>6.4609602496933077E-3</v>
      </c>
      <c r="M69" s="29" t="s">
        <v>486</v>
      </c>
      <c r="N69" s="29"/>
      <c r="O69" s="36"/>
    </row>
    <row r="70" spans="1:15" ht="12.75" customHeight="1" x14ac:dyDescent="0.3">
      <c r="A70" s="36"/>
      <c r="B70" s="36" t="s">
        <v>1301</v>
      </c>
      <c r="C70" s="95"/>
      <c r="D70" s="29"/>
      <c r="E70" s="29"/>
      <c r="F70" s="29"/>
      <c r="G70" s="94" t="s">
        <v>44</v>
      </c>
      <c r="H70" s="36" t="s">
        <v>36</v>
      </c>
      <c r="I70" s="638"/>
      <c r="J70" s="635" t="str">
        <f>IF(ISBLANK(HLOOKUP(CaseName,CaseData,MATCH($G70,cases!$G$3:$G$2464,0),FALSE)),"",HLOOKUP(CaseName,CaseData,MATCH($G70,cases!$G$3:$G$2464,0),FALSE))</f>
        <v/>
      </c>
      <c r="K70" s="352">
        <f>L22 / (L20*L49*FRorig.s1w/(L71*RHOsolid/1000)+L21/(L71*RHOsolid/1000)+L22 )</f>
        <v>0.99353903943270516</v>
      </c>
      <c r="L70" s="636">
        <f t="shared" si="3"/>
        <v>0.99353903943270516</v>
      </c>
      <c r="M70" s="5" t="s">
        <v>486</v>
      </c>
      <c r="N70" s="29"/>
      <c r="O70" s="36"/>
    </row>
    <row r="71" spans="1:15" ht="12.75" customHeight="1" x14ac:dyDescent="0.3">
      <c r="A71" s="36"/>
      <c r="B71" s="29"/>
      <c r="C71" s="36" t="s">
        <v>1373</v>
      </c>
      <c r="D71" s="29"/>
      <c r="E71" s="29"/>
      <c r="F71" s="29"/>
      <c r="G71" s="94" t="s">
        <v>179</v>
      </c>
      <c r="H71" s="36" t="s">
        <v>4043</v>
      </c>
      <c r="I71" s="638"/>
      <c r="J71" s="635" t="str">
        <f>IF(ISBLANK(HLOOKUP(CaseName,CaseData,MATCH($G71,cases!$G$3:$G$2464,0),FALSE)),"",HLOOKUP(CaseName,CaseData,MATCH($G71,cases!$G$3:$G$2464,0),FALSE))</f>
        <v/>
      </c>
      <c r="K71" s="352">
        <f>(FRorig.s1*Ksw+(1-FRorig.s1)*Ksw.alt)*(1000/RHOsolid/CORG)*L72</f>
        <v>20.503433979592884</v>
      </c>
      <c r="L71" s="636">
        <f t="shared" si="3"/>
        <v>20.503433979592884</v>
      </c>
      <c r="M71" s="36" t="s">
        <v>1498</v>
      </c>
      <c r="N71" s="29"/>
      <c r="O71" s="36"/>
    </row>
    <row r="72" spans="1:15" ht="12.75" customHeight="1" x14ac:dyDescent="0.3">
      <c r="A72" s="36"/>
      <c r="B72" s="29"/>
      <c r="C72" s="36" t="s">
        <v>1374</v>
      </c>
      <c r="D72" s="29"/>
      <c r="E72" s="29"/>
      <c r="F72" s="29"/>
      <c r="G72" s="94" t="s">
        <v>957</v>
      </c>
      <c r="H72" s="36" t="s">
        <v>36</v>
      </c>
      <c r="I72" s="638"/>
      <c r="J72" s="635" t="str">
        <f>IF(ISBLANK(HLOOKUP(CaseName,CaseData,MATCH($G72,cases!$G$3:$G$2464,0),FALSE)),"",HLOOKUP(CaseName,CaseData,MATCH($G72,cases!$G$3:$G$2464,0),FALSE))</f>
        <v/>
      </c>
      <c r="K72" s="352">
        <v>0.02</v>
      </c>
      <c r="L72" s="636">
        <f t="shared" si="3"/>
        <v>0.02</v>
      </c>
      <c r="M72" s="29" t="s">
        <v>486</v>
      </c>
      <c r="N72" s="29"/>
      <c r="O72" s="36"/>
    </row>
    <row r="73" spans="1:15" ht="12.75" customHeight="1" x14ac:dyDescent="0.3">
      <c r="A73" s="29"/>
      <c r="B73" s="29"/>
      <c r="C73" s="29"/>
      <c r="D73" s="29"/>
      <c r="E73" s="29"/>
      <c r="F73" s="29"/>
      <c r="G73" s="29"/>
      <c r="H73" s="36"/>
      <c r="I73" s="645"/>
      <c r="J73" s="353"/>
      <c r="K73" s="353"/>
      <c r="L73" s="353"/>
      <c r="M73" s="29"/>
      <c r="N73" s="29"/>
      <c r="O73" s="36"/>
    </row>
    <row r="74" spans="1:15" ht="12.75" customHeight="1" x14ac:dyDescent="0.3">
      <c r="A74" s="98" t="s">
        <v>1311</v>
      </c>
      <c r="B74" s="97"/>
      <c r="C74" s="97"/>
      <c r="D74" s="97"/>
      <c r="E74" s="97"/>
      <c r="F74" s="97"/>
      <c r="G74" s="98" t="s">
        <v>1008</v>
      </c>
      <c r="H74" s="98" t="s">
        <v>968</v>
      </c>
      <c r="I74" s="364" t="s">
        <v>754</v>
      </c>
      <c r="J74" s="340" t="s">
        <v>37</v>
      </c>
      <c r="K74" s="340" t="s">
        <v>753</v>
      </c>
      <c r="L74" s="340" t="s">
        <v>1358</v>
      </c>
      <c r="M74" s="97"/>
      <c r="N74" s="98" t="s">
        <v>1371</v>
      </c>
      <c r="O74" s="36"/>
    </row>
    <row r="75" spans="1:15" ht="12.75" customHeight="1" x14ac:dyDescent="0.3">
      <c r="A75" s="29"/>
      <c r="B75" s="29"/>
      <c r="C75" s="29"/>
      <c r="D75" s="29"/>
      <c r="E75" s="29"/>
      <c r="F75" s="29"/>
      <c r="G75" s="29"/>
      <c r="H75" s="36"/>
      <c r="I75" s="645"/>
      <c r="J75" s="645"/>
      <c r="K75" s="353"/>
      <c r="L75" s="353"/>
      <c r="M75" s="29"/>
      <c r="N75" s="29"/>
      <c r="O75" s="36"/>
    </row>
    <row r="76" spans="1:15" ht="12.75" customHeight="1" x14ac:dyDescent="0.3">
      <c r="A76" s="36" t="s">
        <v>93</v>
      </c>
      <c r="B76" s="29"/>
      <c r="C76" s="29"/>
      <c r="D76" s="29"/>
      <c r="E76" s="29"/>
      <c r="F76" s="29"/>
      <c r="G76" s="36" t="s">
        <v>1251</v>
      </c>
      <c r="H76" s="36" t="s">
        <v>4037</v>
      </c>
      <c r="I76" s="637"/>
      <c r="J76" s="635" t="str">
        <f>IF(ISBLANK(HLOOKUP(CaseName,CaseData,MATCH($G76,cases!$G$3:$G$2464,0),FALSE)),"",HLOOKUP(CaseName,CaseData,MATCH($G76,cases!$G$3:$G$2464,0),FALSE))</f>
        <v/>
      </c>
      <c r="K76" s="352">
        <f>(L80+L92/L13)*L11</f>
        <v>4.7749757215861921E-6</v>
      </c>
      <c r="L76" s="636">
        <f t="shared" ref="L76:L89" si="4">IF(ISBLANK(I76),IF(ISNUMBER(J76)=FALSE,K76,J76),I76)</f>
        <v>4.7749757215861921E-6</v>
      </c>
      <c r="M76" s="29" t="s">
        <v>1488</v>
      </c>
      <c r="N76" s="29"/>
      <c r="O76" s="36"/>
    </row>
    <row r="77" spans="1:15" ht="12.75" customHeight="1" x14ac:dyDescent="0.3">
      <c r="A77" s="36" t="s">
        <v>94</v>
      </c>
      <c r="B77" s="29"/>
      <c r="C77" s="29"/>
      <c r="D77" s="29"/>
      <c r="E77" s="29"/>
      <c r="F77" s="29"/>
      <c r="G77" s="36" t="s">
        <v>841</v>
      </c>
      <c r="H77" s="36" t="s">
        <v>4037</v>
      </c>
      <c r="I77" s="637"/>
      <c r="J77" s="635" t="str">
        <f>IF(ISBLANK(HLOOKUP(CaseName,CaseData,MATCH($G77,cases!$G$3:$G$2464,0),FALSE)),"",HLOOKUP(CaseName,CaseData,MATCH($G77,cases!$G$3:$G$2464,0),FALSE))</f>
        <v/>
      </c>
      <c r="K77" s="352">
        <f>(L80+L93/L13)*L12</f>
        <v>3.3993581694431856E-6</v>
      </c>
      <c r="L77" s="636">
        <f t="shared" si="4"/>
        <v>3.3993581694431856E-6</v>
      </c>
      <c r="M77" s="29" t="s">
        <v>1488</v>
      </c>
      <c r="N77" s="29"/>
      <c r="O77" s="36"/>
    </row>
    <row r="78" spans="1:15" ht="12.75" customHeight="1" x14ac:dyDescent="0.3">
      <c r="A78" s="36" t="s">
        <v>95</v>
      </c>
      <c r="B78" s="29"/>
      <c r="C78" s="29"/>
      <c r="D78" s="29"/>
      <c r="E78" s="29"/>
      <c r="F78" s="29"/>
      <c r="G78" s="36" t="s">
        <v>1253</v>
      </c>
      <c r="H78" s="36" t="s">
        <v>4037</v>
      </c>
      <c r="I78" s="637"/>
      <c r="J78" s="635" t="str">
        <f>IF(ISBLANK(HLOOKUP(CaseName,CaseData,MATCH($G78,cases!$G$3:$G$2464,0),FALSE)),"",HLOOKUP(CaseName,CaseData,MATCH($G78,cases!$G$3:$G$2464,0),FALSE))</f>
        <v/>
      </c>
      <c r="K78" s="352">
        <f>L94/L14</f>
        <v>1.83680665698391E-12</v>
      </c>
      <c r="L78" s="636">
        <f t="shared" si="4"/>
        <v>1.83680665698391E-12</v>
      </c>
      <c r="M78" s="29" t="s">
        <v>1488</v>
      </c>
      <c r="N78" s="29"/>
      <c r="O78" s="36"/>
    </row>
    <row r="79" spans="1:15" ht="12.75" customHeight="1" x14ac:dyDescent="0.3">
      <c r="A79" s="36" t="s">
        <v>96</v>
      </c>
      <c r="B79" s="29"/>
      <c r="C79" s="29"/>
      <c r="D79" s="29"/>
      <c r="E79" s="29"/>
      <c r="F79" s="29"/>
      <c r="G79" s="36" t="s">
        <v>842</v>
      </c>
      <c r="H79" s="36" t="s">
        <v>4037</v>
      </c>
      <c r="I79" s="637"/>
      <c r="J79" s="635" t="str">
        <f>IF(ISBLANK(HLOOKUP(CaseName,CaseData,MATCH($G79,cases!$G$3:$G$2464,0),FALSE)),"",HLOOKUP(CaseName,CaseData,MATCH($G79,cases!$G$3:$G$2464,0),FALSE))</f>
        <v/>
      </c>
      <c r="K79" s="352">
        <f>L95/L17</f>
        <v>4.2270403804875319E-11</v>
      </c>
      <c r="L79" s="636">
        <f t="shared" si="4"/>
        <v>4.2270403804875319E-11</v>
      </c>
      <c r="M79" s="29" t="s">
        <v>1488</v>
      </c>
      <c r="N79" s="29"/>
      <c r="O79" s="36"/>
    </row>
    <row r="80" spans="1:15" ht="12.75" customHeight="1" x14ac:dyDescent="0.3">
      <c r="A80" s="36"/>
      <c r="B80" s="36" t="s">
        <v>2266</v>
      </c>
      <c r="C80" s="29"/>
      <c r="D80" s="29"/>
      <c r="E80" s="29"/>
      <c r="F80" s="29"/>
      <c r="G80" s="37" t="s">
        <v>2281</v>
      </c>
      <c r="H80" s="36" t="s">
        <v>4037</v>
      </c>
      <c r="I80" s="637"/>
      <c r="J80" s="635" t="str">
        <f>IF(ISBLANK(HLOOKUP(CaseName,CaseData,MATCH($G80,cases!$G$3:$G$2464,0),FALSE)),"",HLOOKUP(CaseName,CaseData,MATCH($G80,cases!$G$3:$G$2464,0),FALSE))</f>
        <v/>
      </c>
      <c r="K80" s="352">
        <f>L81- SUM((L92*L11+L93*L12)/L13,L129,L26,L27,L28)</f>
        <v>5.7764193011923899E-6</v>
      </c>
      <c r="L80" s="636">
        <f t="shared" si="4"/>
        <v>5.7764193011923899E-6</v>
      </c>
      <c r="M80" s="29" t="s">
        <v>1488</v>
      </c>
      <c r="N80" s="29"/>
      <c r="O80" s="36"/>
    </row>
    <row r="81" spans="1:15" ht="12.75" customHeight="1" x14ac:dyDescent="0.3">
      <c r="A81" s="36"/>
      <c r="B81" s="36"/>
      <c r="C81" s="29" t="s">
        <v>2267</v>
      </c>
      <c r="D81" s="29"/>
      <c r="E81" s="29"/>
      <c r="F81" s="29"/>
      <c r="G81" s="37" t="s">
        <v>2282</v>
      </c>
      <c r="H81" s="36" t="s">
        <v>4037</v>
      </c>
      <c r="I81" s="637"/>
      <c r="J81" s="635" t="str">
        <f>IF(ISBLANK(HLOOKUP(CaseName,CaseData,MATCH($G81,cases!$G$3:$G$2464,0),FALSE)),"",HLOOKUP(CaseName,CaseData,MATCH($G81,cases!$G$3:$G$2464,0),FALSE))</f>
        <v/>
      </c>
      <c r="K81" s="352">
        <f>((1/L82)*L84/(L84+L85)+(1/L83)*L85/(L84+L85)-((1/L83-1/L82)^2/(L84+L85))*(1-EXP(-L82*L84))*(1-EXP(-L83*L85))/(1-EXP(-L82*L84-L83*L85)))^-1</f>
        <v>1.838451986374086E-5</v>
      </c>
      <c r="L81" s="636">
        <f t="shared" si="4"/>
        <v>1.838451986374086E-5</v>
      </c>
      <c r="M81" s="29" t="s">
        <v>1488</v>
      </c>
      <c r="N81" s="29"/>
      <c r="O81" s="36"/>
    </row>
    <row r="82" spans="1:15" ht="12.75" customHeight="1" x14ac:dyDescent="0.3">
      <c r="A82" s="36"/>
      <c r="B82" s="36"/>
      <c r="C82" s="36"/>
      <c r="D82" s="36" t="s">
        <v>3977</v>
      </c>
      <c r="E82" s="29"/>
      <c r="F82" s="29"/>
      <c r="G82" s="37" t="s">
        <v>751</v>
      </c>
      <c r="H82" s="36" t="s">
        <v>4037</v>
      </c>
      <c r="I82" s="637"/>
      <c r="J82" s="635" t="str">
        <f>IF(ISBLANK(HLOOKUP(CaseName,CaseData,MATCH($G82,cases!$G$3:$G$2464,0),FALSE)),"",HLOOKUP(CaseName,CaseData,MATCH($G82,cases!$G$3:$G$2464,0),FALSE))</f>
        <v/>
      </c>
      <c r="K82" s="352">
        <f>L86/L13 + SUM((L92*L11+L93*L12)/L13,L129,L26,L27,L28)</f>
        <v>1.2632027669308876E-5</v>
      </c>
      <c r="L82" s="636">
        <f t="shared" si="4"/>
        <v>1.2632027669308876E-5</v>
      </c>
      <c r="M82" s="29" t="s">
        <v>1488</v>
      </c>
      <c r="N82" s="29"/>
      <c r="O82" s="36"/>
    </row>
    <row r="83" spans="1:15" ht="12.75" customHeight="1" x14ac:dyDescent="0.3">
      <c r="A83" s="36"/>
      <c r="B83" s="36"/>
      <c r="C83" s="36"/>
      <c r="D83" s="36" t="s">
        <v>3978</v>
      </c>
      <c r="E83" s="29"/>
      <c r="F83" s="29"/>
      <c r="G83" s="37" t="s">
        <v>752</v>
      </c>
      <c r="H83" s="36" t="s">
        <v>4037</v>
      </c>
      <c r="I83" s="637"/>
      <c r="J83" s="635" t="str">
        <f>IF(ISBLANK(HLOOKUP(CaseName,CaseData,MATCH($G83,cases!$G$3:$G$2464,0),FALSE)),"",HLOOKUP(CaseName,CaseData,MATCH($G83,cases!$G$3:$G$2464,0),FALSE))</f>
        <v/>
      </c>
      <c r="K83" s="352">
        <f>(L87+L88)/L13 + SUM((L92*L11+L93*L12)/L13,L129,L26,L27,L28)</f>
        <v>7.3598682405655235E-3</v>
      </c>
      <c r="L83" s="636">
        <f t="shared" si="4"/>
        <v>7.3598682405655235E-3</v>
      </c>
      <c r="M83" s="29" t="s">
        <v>1488</v>
      </c>
      <c r="N83" s="29"/>
      <c r="O83" s="36"/>
    </row>
    <row r="84" spans="1:15" ht="12.75" customHeight="1" x14ac:dyDescent="0.3">
      <c r="A84" s="36"/>
      <c r="B84" s="29" t="s">
        <v>929</v>
      </c>
      <c r="C84" s="29"/>
      <c r="D84" s="29"/>
      <c r="E84" s="29"/>
      <c r="F84" s="29"/>
      <c r="G84" s="29" t="s">
        <v>755</v>
      </c>
      <c r="H84" s="29" t="s">
        <v>2192</v>
      </c>
      <c r="I84" s="637"/>
      <c r="J84" s="635" t="str">
        <f>IF(ISBLANK(HLOOKUP(CaseName,CaseData,MATCH($G84,cases!$G$3:$G$2464,0),FALSE)),"",HLOOKUP(CaseName,CaseData,MATCH($G84,cases!$G$3:$G$2464,0),FALSE))</f>
        <v/>
      </c>
      <c r="K84" s="352">
        <f>3.3*24</f>
        <v>79.199999999999989</v>
      </c>
      <c r="L84" s="650">
        <f>IF(ISBLANK(I84),IF(ISNUMBER(J84)=FALSE,K84*3600,J84*3600),I84*3600)</f>
        <v>285119.99999999994</v>
      </c>
      <c r="M84" s="29" t="s">
        <v>1488</v>
      </c>
      <c r="N84" s="29"/>
      <c r="O84" s="36"/>
    </row>
    <row r="85" spans="1:15" ht="12.75" customHeight="1" x14ac:dyDescent="0.3">
      <c r="A85" s="36"/>
      <c r="B85" s="29" t="s">
        <v>931</v>
      </c>
      <c r="C85" s="29"/>
      <c r="D85" s="29"/>
      <c r="E85" s="29"/>
      <c r="F85" s="29"/>
      <c r="G85" s="29" t="s">
        <v>756</v>
      </c>
      <c r="H85" s="29" t="s">
        <v>2192</v>
      </c>
      <c r="I85" s="637"/>
      <c r="J85" s="635" t="str">
        <f>IF(ISBLANK(HLOOKUP(CaseName,CaseData,MATCH($G85,cases!$G$3:$G$2464,0),FALSE)),"",HLOOKUP(CaseName,CaseData,MATCH($G85,cases!$G$3:$G$2464,0),FALSE))</f>
        <v/>
      </c>
      <c r="K85" s="352">
        <f>3.3*24*(0.06/(1-0.06))</f>
        <v>5.0553191489361691</v>
      </c>
      <c r="L85" s="650">
        <f>IF(ISBLANK(I85),IF(ISNUMBER(J85)=FALSE,K85*3600,J85*3600),I85*3600)</f>
        <v>18199.148936170208</v>
      </c>
      <c r="M85" s="29" t="s">
        <v>1488</v>
      </c>
      <c r="N85" s="29"/>
      <c r="O85" s="36"/>
    </row>
    <row r="86" spans="1:15" ht="12.75" customHeight="1" x14ac:dyDescent="0.3">
      <c r="A86" s="36"/>
      <c r="B86" s="36" t="s">
        <v>493</v>
      </c>
      <c r="C86" s="29"/>
      <c r="D86" s="29"/>
      <c r="E86" s="29"/>
      <c r="F86" s="29"/>
      <c r="G86" s="94" t="s">
        <v>959</v>
      </c>
      <c r="H86" s="30" t="s">
        <v>4045</v>
      </c>
      <c r="I86" s="638"/>
      <c r="J86" s="635" t="str">
        <f>IF(ISBLANK(HLOOKUP(CaseName,CaseData,MATCH($G86,cases!$G$3:$G$2464,0),FALSE)),"",HLOOKUP(CaseName,CaseData,MATCH($G86,cases!$G$3:$G$2464,0),FALSE))</f>
        <v/>
      </c>
      <c r="K86" s="352">
        <f>L89*(L47+L48)</f>
        <v>2.3927106760405139E-5</v>
      </c>
      <c r="L86" s="636">
        <f t="shared" si="4"/>
        <v>2.3927106760405139E-5</v>
      </c>
      <c r="M86" s="29" t="s">
        <v>1490</v>
      </c>
      <c r="N86" s="29"/>
      <c r="O86" s="36"/>
    </row>
    <row r="87" spans="1:15" ht="12.75" customHeight="1" x14ac:dyDescent="0.3">
      <c r="A87" s="36"/>
      <c r="B87" s="36" t="s">
        <v>745</v>
      </c>
      <c r="C87" s="29"/>
      <c r="D87" s="29"/>
      <c r="E87" s="29"/>
      <c r="F87" s="29"/>
      <c r="G87" s="37" t="s">
        <v>547</v>
      </c>
      <c r="H87" s="95" t="s">
        <v>4045</v>
      </c>
      <c r="I87" s="638"/>
      <c r="J87" s="635" t="str">
        <f>IF(ISBLANK(HLOOKUP(CaseName,CaseData,MATCH($G87,cases!$G$3:$G$2464,0),FALSE)),"",HLOOKUP(CaseName,CaseData,MATCH($G87,cases!$G$3:$G$2464,0),FALSE))</f>
        <v/>
      </c>
      <c r="K87" s="352">
        <f>L48*(L84+L85)/L85*L90*L91</f>
        <v>1.7409729390052175E-3</v>
      </c>
      <c r="L87" s="636">
        <f t="shared" si="4"/>
        <v>1.7409729390052175E-3</v>
      </c>
      <c r="M87" s="29" t="s">
        <v>1490</v>
      </c>
      <c r="N87" s="29"/>
      <c r="O87" s="36"/>
    </row>
    <row r="88" spans="1:15" ht="12.75" customHeight="1" x14ac:dyDescent="0.3">
      <c r="A88" s="36"/>
      <c r="B88" s="36" t="s">
        <v>746</v>
      </c>
      <c r="C88" s="29"/>
      <c r="D88" s="29"/>
      <c r="E88" s="29"/>
      <c r="F88" s="29"/>
      <c r="G88" s="37" t="s">
        <v>548</v>
      </c>
      <c r="H88" s="95" t="s">
        <v>4045</v>
      </c>
      <c r="I88" s="638"/>
      <c r="J88" s="635" t="str">
        <f>IF(ISBLANK(HLOOKUP(CaseName,CaseData,MATCH($G88,cases!$G$3:$G$2464,0),FALSE)),"",HLOOKUP(CaseName,CaseData,MATCH($G88,cases!$G$3:$G$2464,0),FALSE))</f>
        <v/>
      </c>
      <c r="K88" s="352">
        <f>L46*(L84+L85)/L85*L90/(L49*FRorig.aerw)</f>
        <v>7.3455191670639692</v>
      </c>
      <c r="L88" s="636">
        <f t="shared" si="4"/>
        <v>7.3455191670639692</v>
      </c>
      <c r="M88" s="29" t="s">
        <v>1490</v>
      </c>
      <c r="N88" s="29"/>
      <c r="O88" s="36"/>
    </row>
    <row r="89" spans="1:15" ht="12.75" customHeight="1" x14ac:dyDescent="0.3">
      <c r="A89" s="36"/>
      <c r="B89" s="29"/>
      <c r="C89" s="95" t="s">
        <v>747</v>
      </c>
      <c r="D89" s="95"/>
      <c r="E89" s="95"/>
      <c r="F89" s="95"/>
      <c r="G89" s="94" t="s">
        <v>960</v>
      </c>
      <c r="H89" s="30" t="s">
        <v>4045</v>
      </c>
      <c r="I89" s="638"/>
      <c r="J89" s="635" t="str">
        <f>IF(ISBLANK(HLOOKUP(CaseName,CaseData,MATCH($G89,cases!$G$3:$G$2464,0),FALSE)),"",HLOOKUP(CaseName,CaseData,MATCH($G89,cases!$G$3:$G$2464,0),FALSE))</f>
        <v/>
      </c>
      <c r="K89" s="352">
        <v>1E-3</v>
      </c>
      <c r="L89" s="636">
        <f t="shared" si="4"/>
        <v>1E-3</v>
      </c>
      <c r="M89" s="29" t="s">
        <v>1490</v>
      </c>
      <c r="N89" s="29"/>
      <c r="O89" s="36"/>
    </row>
    <row r="90" spans="1:15" ht="12.75" customHeight="1" x14ac:dyDescent="0.3">
      <c r="A90" s="36"/>
      <c r="B90" s="29"/>
      <c r="C90" s="36" t="s">
        <v>748</v>
      </c>
      <c r="D90" s="95"/>
      <c r="E90" s="95"/>
      <c r="F90" s="95"/>
      <c r="G90" s="94" t="s">
        <v>961</v>
      </c>
      <c r="H90" s="95" t="s">
        <v>4053</v>
      </c>
      <c r="I90" s="639"/>
      <c r="J90" s="635" t="str">
        <f>IF(ISBLANK(HLOOKUP(CaseName,CaseData,MATCH($G90,cases!$G$3:$G$2464,0),FALSE)),"",HLOOKUP(CaseName,CaseData,MATCH($G90,cases!$G$3:$G$2464,0),FALSE))</f>
        <v/>
      </c>
      <c r="K90" s="352">
        <v>700</v>
      </c>
      <c r="L90" s="636">
        <f>IF(ISBLANK(I90),IF(ISNUMBER(J90)=FALSE,K90/(1000*3600*24*365),J90/(1000*3600*24*365)),I90/(1000*3600*24*365))</f>
        <v>2.219685438863521E-8</v>
      </c>
      <c r="M90" s="29" t="s">
        <v>1490</v>
      </c>
      <c r="N90" s="29"/>
      <c r="O90" s="36"/>
    </row>
    <row r="91" spans="1:15" ht="12.75" customHeight="1" x14ac:dyDescent="0.3">
      <c r="A91" s="36"/>
      <c r="B91" s="29"/>
      <c r="C91" s="36" t="s">
        <v>444</v>
      </c>
      <c r="D91" s="29"/>
      <c r="E91" s="29"/>
      <c r="F91" s="29"/>
      <c r="G91" s="94" t="s">
        <v>962</v>
      </c>
      <c r="H91" s="36" t="s">
        <v>36</v>
      </c>
      <c r="I91" s="638"/>
      <c r="J91" s="635" t="str">
        <f>IF(ISBLANK(HLOOKUP(CaseName,CaseData,MATCH($G91,cases!$G$3:$G$2464,0),FALSE)),"",HLOOKUP(CaseName,CaseData,MATCH($G91,cases!$G$3:$G$2464,0),FALSE))</f>
        <v/>
      </c>
      <c r="K91" s="352">
        <v>200000</v>
      </c>
      <c r="L91" s="636">
        <f t="shared" ref="L91:L101" si="5">IF(ISBLANK(I91),IF(ISNUMBER(J91)=FALSE,K91,J91),I91)</f>
        <v>200000</v>
      </c>
      <c r="M91" s="36" t="s">
        <v>486</v>
      </c>
      <c r="N91" s="29"/>
      <c r="O91" s="36"/>
    </row>
    <row r="92" spans="1:15" ht="12.75" customHeight="1" x14ac:dyDescent="0.3">
      <c r="A92" s="36"/>
      <c r="B92" s="36" t="s">
        <v>2218</v>
      </c>
      <c r="C92" s="29"/>
      <c r="D92" s="29"/>
      <c r="E92" s="95"/>
      <c r="F92" s="95"/>
      <c r="G92" s="37" t="s">
        <v>2268</v>
      </c>
      <c r="H92" s="36" t="s">
        <v>4046</v>
      </c>
      <c r="I92" s="638"/>
      <c r="J92" s="635" t="str">
        <f>IF(ISBLANK(HLOOKUP(CaseName,CaseData,MATCH($G92,cases!$G$3:$G$2464,0),FALSE)),"",HLOOKUP(CaseName,CaseData,MATCH($G92,cases!$G$3:$G$2464,0),FALSE))</f>
        <v/>
      </c>
      <c r="K92" s="352">
        <f>L46*(L96*L97/(L96*(L49*FRorig.w2)+L97))</f>
        <v>3.7735321419799942E-3</v>
      </c>
      <c r="L92" s="636">
        <f t="shared" si="5"/>
        <v>3.7735321419799942E-3</v>
      </c>
      <c r="M92" s="36" t="s">
        <v>4047</v>
      </c>
      <c r="N92" s="29"/>
      <c r="O92" s="36"/>
    </row>
    <row r="93" spans="1:15" ht="12.75" customHeight="1" x14ac:dyDescent="0.3">
      <c r="A93" s="36"/>
      <c r="B93" s="36" t="s">
        <v>2219</v>
      </c>
      <c r="C93" s="29"/>
      <c r="D93" s="29"/>
      <c r="E93" s="95"/>
      <c r="F93" s="95"/>
      <c r="G93" s="37" t="s">
        <v>2269</v>
      </c>
      <c r="H93" s="36" t="s">
        <v>4046</v>
      </c>
      <c r="I93" s="638"/>
      <c r="J93" s="635" t="str">
        <f>IF(ISBLANK(HLOOKUP(CaseName,CaseData,MATCH($G93,cases!$G$3:$G$2464,0),FALSE)),"",HLOOKUP(CaseName,CaseData,MATCH($G93,cases!$G$3:$G$2464,0),FALSE))</f>
        <v/>
      </c>
      <c r="K93" s="352">
        <f>L46*(L99*L100)/(L99*((L49*FRorig.s1w)/L68)+L100)</f>
        <v>1.0222970376939818E-3</v>
      </c>
      <c r="L93" s="636">
        <f>IF(ISBLANK(I93),IF(ISNUMBER(J93)=FALSE,K93,J93),I93)</f>
        <v>1.0222970376939818E-3</v>
      </c>
      <c r="M93" s="36" t="s">
        <v>4047</v>
      </c>
      <c r="N93" s="29"/>
      <c r="O93" s="36"/>
    </row>
    <row r="94" spans="1:15" ht="12.75" customHeight="1" x14ac:dyDescent="0.3">
      <c r="A94" s="36"/>
      <c r="B94" s="36" t="s">
        <v>2270</v>
      </c>
      <c r="C94" s="29"/>
      <c r="D94" s="29"/>
      <c r="E94" s="29"/>
      <c r="F94" s="29"/>
      <c r="G94" s="37" t="s">
        <v>2271</v>
      </c>
      <c r="H94" s="36" t="s">
        <v>4046</v>
      </c>
      <c r="I94" s="638"/>
      <c r="J94" s="635" t="str">
        <f>IF(ISBLANK(HLOOKUP(CaseName,CaseData,MATCH($G94,cases!$G$3:$G$2464,0),FALSE)),"",HLOOKUP(CaseName,CaseData,MATCH($G94,cases!$G$3:$G$2464,0),FALSE))</f>
        <v/>
      </c>
      <c r="K94" s="352">
        <f>(L96*L97/(L96*(L49*FRorig.w2)+L97))*(L49*FRorig.w2)*L53</f>
        <v>1.8368066569839099E-10</v>
      </c>
      <c r="L94" s="636">
        <f>IF(ISBLANK(I94),IF(ISNUMBER(J94)=FALSE,K94,J94),I94)</f>
        <v>1.8368066569839099E-10</v>
      </c>
      <c r="M94" s="36" t="s">
        <v>4047</v>
      </c>
      <c r="N94" s="29"/>
      <c r="O94" s="36"/>
    </row>
    <row r="95" spans="1:15" ht="12.75" customHeight="1" x14ac:dyDescent="0.3">
      <c r="A95" s="36"/>
      <c r="B95" s="36" t="s">
        <v>2272</v>
      </c>
      <c r="C95" s="29"/>
      <c r="D95" s="29"/>
      <c r="E95" s="95"/>
      <c r="F95" s="95"/>
      <c r="G95" s="37" t="s">
        <v>2288</v>
      </c>
      <c r="H95" s="36" t="s">
        <v>4046</v>
      </c>
      <c r="I95" s="638"/>
      <c r="J95" s="635" t="str">
        <f>IF(ISBLANK(HLOOKUP(CaseName,CaseData,MATCH($G95,cases!$G$3:$G$2464,0),FALSE)),"",HLOOKUP(CaseName,CaseData,MATCH($G95,cases!$G$3:$G$2464,0),FALSE))</f>
        <v/>
      </c>
      <c r="K95" s="352">
        <f>(L99*L100)/(L99+L100/((L49*FRorig.s1w)/L68))*L101</f>
        <v>2.1135201902437659E-12</v>
      </c>
      <c r="L95" s="636">
        <f>IF(ISBLANK(I95),IF(ISNUMBER(J95)=FALSE,K95,J95),I95)</f>
        <v>2.1135201902437659E-12</v>
      </c>
      <c r="M95" s="36" t="s">
        <v>4047</v>
      </c>
      <c r="N95" s="29"/>
      <c r="O95" s="36"/>
    </row>
    <row r="96" spans="1:15" ht="12.75" customHeight="1" x14ac:dyDescent="0.3">
      <c r="A96" s="36"/>
      <c r="B96" s="36"/>
      <c r="C96" s="29" t="s">
        <v>1077</v>
      </c>
      <c r="D96" s="29"/>
      <c r="E96" s="29"/>
      <c r="F96" s="29"/>
      <c r="G96" s="29" t="s">
        <v>4009</v>
      </c>
      <c r="H96" s="30" t="s">
        <v>4045</v>
      </c>
      <c r="I96" s="638"/>
      <c r="J96" s="635" t="str">
        <f>IF(ISBLANK(HLOOKUP(CaseName,CaseData,MATCH($G96,cases!$G$3:$G$2464,0),FALSE)),"",HLOOKUP(CaseName,CaseData,MATCH($G96,cases!$G$3:$G$2464,0),FALSE))</f>
        <v/>
      </c>
      <c r="K96" s="352">
        <f>0.01*(0.3+0.2*L98)*((0.018/Molweight)^(0.67*0.5))</f>
        <v>3.8661873187415758E-3</v>
      </c>
      <c r="L96" s="636">
        <f t="shared" si="5"/>
        <v>3.8661873187415758E-3</v>
      </c>
      <c r="M96" s="29" t="s">
        <v>1490</v>
      </c>
      <c r="N96" s="29"/>
      <c r="O96" s="36"/>
    </row>
    <row r="97" spans="1:15" ht="12.75" customHeight="1" x14ac:dyDescent="0.3">
      <c r="A97" s="36"/>
      <c r="B97" s="36"/>
      <c r="C97" s="29" t="s">
        <v>1048</v>
      </c>
      <c r="D97" s="29"/>
      <c r="E97" s="29"/>
      <c r="F97" s="29"/>
      <c r="G97" s="29" t="s">
        <v>4010</v>
      </c>
      <c r="H97" s="30" t="s">
        <v>4045</v>
      </c>
      <c r="I97" s="638"/>
      <c r="J97" s="635" t="str">
        <f>IF(ISBLANK(HLOOKUP(CaseName,CaseData,MATCH($G97,cases!$G$3:$G$2464,0),FALSE)),"",HLOOKUP(CaseName,CaseData,MATCH($G97,cases!$G$3:$G$2464,0),FALSE))</f>
        <v/>
      </c>
      <c r="K97" s="352">
        <f>0.01*(0.0004+0.00004*L98^2)*((0.032/Molweight)^(0.5*0.5))</f>
        <v>4.6712434275245704E-6</v>
      </c>
      <c r="L97" s="636">
        <f t="shared" si="5"/>
        <v>4.6712434275245704E-6</v>
      </c>
      <c r="M97" s="29" t="s">
        <v>1490</v>
      </c>
      <c r="N97" s="29"/>
      <c r="O97" s="36"/>
    </row>
    <row r="98" spans="1:15" ht="12.75" customHeight="1" x14ac:dyDescent="0.3">
      <c r="A98" s="36"/>
      <c r="B98" s="36"/>
      <c r="C98" s="29"/>
      <c r="D98" s="95" t="s">
        <v>705</v>
      </c>
      <c r="E98" s="29"/>
      <c r="F98" s="29"/>
      <c r="G98" s="37" t="s">
        <v>567</v>
      </c>
      <c r="H98" s="30" t="s">
        <v>4045</v>
      </c>
      <c r="I98" s="638"/>
      <c r="J98" s="635" t="str">
        <f>IF(ISBLANK(HLOOKUP(CaseName,CaseData,MATCH($G98,cases!$G$3:$G$2464,0),FALSE)),"",HLOOKUP(CaseName,CaseData,MATCH($G98,cases!$G$3:$G$2464,0),FALSE))</f>
        <v/>
      </c>
      <c r="K98" s="352">
        <v>3</v>
      </c>
      <c r="L98" s="636">
        <f t="shared" si="5"/>
        <v>3</v>
      </c>
      <c r="M98" s="29" t="s">
        <v>1490</v>
      </c>
      <c r="N98" s="29"/>
      <c r="O98" s="36"/>
    </row>
    <row r="99" spans="1:15" ht="12.75" customHeight="1" x14ac:dyDescent="0.3">
      <c r="A99" s="36"/>
      <c r="B99" s="36"/>
      <c r="C99" s="29" t="s">
        <v>1049</v>
      </c>
      <c r="D99" s="29"/>
      <c r="E99" s="95"/>
      <c r="F99" s="95"/>
      <c r="G99" s="29" t="s">
        <v>4011</v>
      </c>
      <c r="H99" s="30" t="s">
        <v>4045</v>
      </c>
      <c r="I99" s="638"/>
      <c r="J99" s="635" t="str">
        <f>IF(ISBLANK(HLOOKUP(CaseName,CaseData,MATCH($G99,cases!$G$3:$G$2464,0),FALSE)),"",HLOOKUP(CaseName,CaseData,MATCH($G99,cases!$G$3:$G$2464,0),FALSE))</f>
        <v/>
      </c>
      <c r="K99" s="352">
        <f>0.43/(24*3600)/0.00475</f>
        <v>1.0477582846003899E-3</v>
      </c>
      <c r="L99" s="636">
        <f>IF(ISBLANK(I99),IF(ISNUMBER(J99)=FALSE,K99,J99),I99)</f>
        <v>1.0477582846003899E-3</v>
      </c>
      <c r="M99" s="29" t="s">
        <v>1490</v>
      </c>
      <c r="N99" s="29"/>
      <c r="O99" s="36"/>
    </row>
    <row r="100" spans="1:15" ht="12.75" customHeight="1" x14ac:dyDescent="0.3">
      <c r="A100" s="36"/>
      <c r="B100" s="36"/>
      <c r="C100" s="29" t="s">
        <v>872</v>
      </c>
      <c r="D100" s="29"/>
      <c r="E100" s="29"/>
      <c r="F100" s="95"/>
      <c r="G100" s="29" t="s">
        <v>4012</v>
      </c>
      <c r="H100" s="95" t="s">
        <v>4045</v>
      </c>
      <c r="I100" s="638"/>
      <c r="J100" s="635" t="str">
        <f>IF(ISBLANK(HLOOKUP(CaseName,CaseData,MATCH($G100,cases!$G$3:$G$2464,0),FALSE)),"",HLOOKUP(CaseName,CaseData,MATCH($G100,cases!$G$3:$G$2464,0),FALSE))</f>
        <v/>
      </c>
      <c r="K100" s="352">
        <f>0.1*L138</f>
        <v>4.3455503205058606E-9</v>
      </c>
      <c r="L100" s="636">
        <f>IF(ISBLANK(I100),IF(ISNUMBER(J100)=FALSE,K100,J100),I100)</f>
        <v>4.3455503205058606E-9</v>
      </c>
      <c r="M100" s="29" t="s">
        <v>1490</v>
      </c>
      <c r="N100" s="29" t="s">
        <v>1415</v>
      </c>
      <c r="O100" s="36"/>
    </row>
    <row r="101" spans="1:15" ht="12.75" customHeight="1" x14ac:dyDescent="0.3">
      <c r="A101" s="36"/>
      <c r="B101" s="36"/>
      <c r="C101" s="29" t="s">
        <v>185</v>
      </c>
      <c r="D101" s="29"/>
      <c r="E101" s="95"/>
      <c r="F101" s="95"/>
      <c r="G101" s="37" t="s">
        <v>914</v>
      </c>
      <c r="H101" s="29" t="s">
        <v>36</v>
      </c>
      <c r="I101" s="639"/>
      <c r="J101" s="635" t="str">
        <f>IF(ISBLANK(HLOOKUP(CaseName,CaseData,MATCH($G101,cases!$G$3:$G$2464,0),FALSE)),"",HLOOKUP(CaseName,CaseData,MATCH($G101,cases!$G$3:$G$2464,0),FALSE))</f>
        <v/>
      </c>
      <c r="K101" s="352">
        <f>(EXP((-1/0.1)*0)*(1/0.1)*L17/(1-EXP((-1/0.1)*L17)))</f>
        <v>1.2707470412683992</v>
      </c>
      <c r="L101" s="636">
        <f t="shared" si="5"/>
        <v>1.2707470412683992</v>
      </c>
      <c r="M101" s="36" t="s">
        <v>486</v>
      </c>
      <c r="N101" s="29" t="s">
        <v>995</v>
      </c>
      <c r="O101" s="36"/>
    </row>
    <row r="102" spans="1:15" ht="12.75" customHeight="1" x14ac:dyDescent="0.3">
      <c r="A102" s="29"/>
      <c r="B102" s="29"/>
      <c r="C102" s="29"/>
      <c r="D102" s="29"/>
      <c r="E102" s="29"/>
      <c r="F102" s="29"/>
      <c r="G102" s="29"/>
      <c r="H102" s="29"/>
      <c r="I102" s="648"/>
      <c r="J102" s="635"/>
      <c r="K102" s="339"/>
      <c r="L102" s="339"/>
      <c r="M102" s="29"/>
      <c r="N102" s="29"/>
      <c r="O102" s="36"/>
    </row>
    <row r="103" spans="1:15" ht="12.75" customHeight="1" x14ac:dyDescent="0.3">
      <c r="A103" s="36" t="s">
        <v>97</v>
      </c>
      <c r="B103" s="29"/>
      <c r="C103" s="29"/>
      <c r="D103" s="29"/>
      <c r="E103" s="29"/>
      <c r="F103" s="29"/>
      <c r="G103" s="37" t="s">
        <v>147</v>
      </c>
      <c r="H103" s="36" t="s">
        <v>4037</v>
      </c>
      <c r="I103" s="639"/>
      <c r="J103" s="635" t="str">
        <f>IF(ISBLANK(HLOOKUP(CaseName,CaseData,MATCH($G103,cases!$G$3:$G$2464,0),FALSE)),"",HLOOKUP(CaseName,CaseData,MATCH($G103,cases!$G$3:$G$2464,0),FALSE))</f>
        <v/>
      </c>
      <c r="K103" s="352">
        <f>(L105+L111)/L15</f>
        <v>1.6497451674657539E-11</v>
      </c>
      <c r="L103" s="636">
        <f t="shared" ref="L103:L109" si="6">IF(ISBLANK(I103),IF(ISNUMBER(J103)=FALSE,K103,J103),I103)</f>
        <v>1.6497451674657539E-11</v>
      </c>
      <c r="M103" s="29" t="s">
        <v>1488</v>
      </c>
      <c r="N103" s="29"/>
      <c r="O103" s="36"/>
    </row>
    <row r="104" spans="1:15" ht="12.75" customHeight="1" x14ac:dyDescent="0.3">
      <c r="A104" s="36" t="s">
        <v>98</v>
      </c>
      <c r="B104" s="29"/>
      <c r="C104" s="29"/>
      <c r="D104" s="29"/>
      <c r="E104" s="29"/>
      <c r="F104" s="29"/>
      <c r="G104" s="37" t="s">
        <v>148</v>
      </c>
      <c r="H104" s="36" t="s">
        <v>4037</v>
      </c>
      <c r="I104" s="639"/>
      <c r="J104" s="635" t="str">
        <f>IF(ISBLANK(HLOOKUP(CaseName,CaseData,MATCH($G104,cases!$G$3:$G$2464,0),FALSE)),"",HLOOKUP(CaseName,CaseData,MATCH($G104,cases!$G$3:$G$2464,0),FALSE))</f>
        <v/>
      </c>
      <c r="K104" s="352">
        <f>(L106+L112)/L16</f>
        <v>4.4594252600848833E-8</v>
      </c>
      <c r="L104" s="636">
        <f t="shared" si="6"/>
        <v>4.4594252600848833E-8</v>
      </c>
      <c r="M104" s="29" t="s">
        <v>1488</v>
      </c>
      <c r="N104" s="29"/>
      <c r="O104" s="36"/>
    </row>
    <row r="105" spans="1:15" ht="12.75" customHeight="1" x14ac:dyDescent="0.3">
      <c r="A105" s="36"/>
      <c r="B105" s="36" t="s">
        <v>2273</v>
      </c>
      <c r="C105" s="29"/>
      <c r="D105" s="29"/>
      <c r="E105" s="29"/>
      <c r="F105" s="29"/>
      <c r="G105" s="37" t="s">
        <v>2277</v>
      </c>
      <c r="H105" s="36" t="s">
        <v>4046</v>
      </c>
      <c r="I105" s="639"/>
      <c r="J105" s="635" t="str">
        <f>IF(ISBLANK(HLOOKUP(CaseName,CaseData,MATCH($G105,cases!$G$3:$G$2464,0),FALSE)),"",HLOOKUP(CaseName,CaseData,MATCH($G105,cases!$G$3:$G$2464,0),FALSE))</f>
        <v/>
      </c>
      <c r="K105" s="352">
        <f>L108*(1-L54)</f>
        <v>2.20083250063939E-8</v>
      </c>
      <c r="L105" s="636">
        <f t="shared" si="6"/>
        <v>2.20083250063939E-8</v>
      </c>
      <c r="M105" s="36" t="s">
        <v>4047</v>
      </c>
      <c r="N105" s="325"/>
      <c r="O105" s="36"/>
    </row>
    <row r="106" spans="1:15" ht="12.75" customHeight="1" x14ac:dyDescent="0.3">
      <c r="A106" s="36"/>
      <c r="B106" s="36" t="s">
        <v>2274</v>
      </c>
      <c r="C106" s="29"/>
      <c r="D106" s="29"/>
      <c r="E106" s="29"/>
      <c r="F106" s="29"/>
      <c r="G106" s="37" t="s">
        <v>2278</v>
      </c>
      <c r="H106" s="36" t="s">
        <v>4046</v>
      </c>
      <c r="I106" s="639"/>
      <c r="J106" s="635" t="str">
        <f>IF(ISBLANK(HLOOKUP(CaseName,CaseData,MATCH($G106,cases!$G$3:$G$2464,0),FALSE)),"",HLOOKUP(CaseName,CaseData,MATCH($G106,cases!$G$3:$G$2464,0),FALSE))</f>
        <v/>
      </c>
      <c r="K106" s="352">
        <f>L107-L109</f>
        <v>2.8926233382241219E-10</v>
      </c>
      <c r="L106" s="636">
        <f t="shared" si="6"/>
        <v>2.8926233382241219E-10</v>
      </c>
      <c r="M106" s="36" t="s">
        <v>4047</v>
      </c>
      <c r="N106" s="29"/>
      <c r="O106" s="36"/>
    </row>
    <row r="107" spans="1:15" ht="12.75" customHeight="1" x14ac:dyDescent="0.3">
      <c r="A107" s="36"/>
      <c r="B107" s="36"/>
      <c r="C107" s="36" t="s">
        <v>1228</v>
      </c>
      <c r="D107" s="36"/>
      <c r="E107" s="29"/>
      <c r="F107" s="29"/>
      <c r="G107" s="94" t="s">
        <v>154</v>
      </c>
      <c r="H107" s="30" t="s">
        <v>4045</v>
      </c>
      <c r="I107" s="639"/>
      <c r="J107" s="635" t="str">
        <f>IF(ISBLANK(HLOOKUP(CaseName,CaseData,MATCH($G107,cases!$G$3:$G$2464,0),FALSE)),"",HLOOKUP(CaseName,CaseData,MATCH($G107,cases!$G$3:$G$2464,0),FALSE))</f>
        <v/>
      </c>
      <c r="K107" s="352">
        <f>IF(L108*L60/(L24*RHOsolid)&gt;L109,L108*L60/(L24*RHOsolid),L109)</f>
        <v>2.893518518518519E-10</v>
      </c>
      <c r="L107" s="636">
        <f t="shared" si="6"/>
        <v>2.893518518518519E-10</v>
      </c>
      <c r="M107" s="29" t="s">
        <v>1490</v>
      </c>
      <c r="N107" s="29"/>
      <c r="O107" s="36"/>
    </row>
    <row r="108" spans="1:15" ht="12.75" customHeight="1" x14ac:dyDescent="0.3">
      <c r="A108" s="36"/>
      <c r="B108" s="36"/>
      <c r="C108" s="29"/>
      <c r="D108" s="36" t="s">
        <v>582</v>
      </c>
      <c r="E108" s="95"/>
      <c r="F108" s="95"/>
      <c r="G108" s="94" t="s">
        <v>200</v>
      </c>
      <c r="H108" s="30" t="s">
        <v>4045</v>
      </c>
      <c r="I108" s="639"/>
      <c r="J108" s="635" t="str">
        <f>IF(ISBLANK(HLOOKUP(CaseName,CaseData,MATCH($G108,cases!$G$3:$G$2464,0),FALSE)),"",HLOOKUP(CaseName,CaseData,MATCH($G108,cases!$G$3:$G$2464,0),FALSE))</f>
        <v/>
      </c>
      <c r="K108" s="352">
        <f>2.5/(24*3600)</f>
        <v>2.8935185185185186E-5</v>
      </c>
      <c r="L108" s="636">
        <f t="shared" si="6"/>
        <v>2.8935185185185186E-5</v>
      </c>
      <c r="M108" s="29" t="s">
        <v>1490</v>
      </c>
      <c r="N108" s="29"/>
      <c r="O108" s="36"/>
    </row>
    <row r="109" spans="1:15" ht="12.75" customHeight="1" x14ac:dyDescent="0.3">
      <c r="A109" s="36"/>
      <c r="B109" s="36"/>
      <c r="C109" s="29"/>
      <c r="D109" s="36" t="s">
        <v>565</v>
      </c>
      <c r="E109" s="95"/>
      <c r="F109" s="95"/>
      <c r="G109" s="94" t="s">
        <v>202</v>
      </c>
      <c r="H109" s="30" t="s">
        <v>4045</v>
      </c>
      <c r="I109" s="639"/>
      <c r="J109" s="635" t="str">
        <f>IF(ISBLANK(HLOOKUP(CaseName,CaseData,MATCH($G109,cases!$G$3:$G$2464,0),FALSE)),"",HLOOKUP(CaseName,CaseData,MATCH($G109,cases!$G$3:$G$2464,0),FALSE))</f>
        <v/>
      </c>
      <c r="K109" s="352">
        <v>8.9518029439684741E-14</v>
      </c>
      <c r="L109" s="636">
        <f t="shared" si="6"/>
        <v>8.9518029439684741E-14</v>
      </c>
      <c r="M109" s="29" t="s">
        <v>1490</v>
      </c>
      <c r="N109" s="29" t="s">
        <v>923</v>
      </c>
      <c r="O109" s="36"/>
    </row>
    <row r="110" spans="1:15" ht="12.75" customHeight="1" x14ac:dyDescent="0.3">
      <c r="A110" s="36"/>
      <c r="B110" s="36"/>
      <c r="C110" s="36"/>
      <c r="D110" s="29"/>
      <c r="E110" s="36" t="s">
        <v>803</v>
      </c>
      <c r="F110" s="36"/>
      <c r="G110" s="94" t="s">
        <v>201</v>
      </c>
      <c r="H110" s="36" t="s">
        <v>4048</v>
      </c>
      <c r="I110" s="639"/>
      <c r="J110" s="635" t="str">
        <f>IF(ISBLANK(HLOOKUP(CaseName,CaseData,MATCH($G110,cases!$G$3:$G$2464,0),FALSE)),"",HLOOKUP(CaseName,CaseData,MATCH($G110,cases!$G$3:$G$2464,0),FALSE))</f>
        <v/>
      </c>
      <c r="K110" s="352">
        <v>1</v>
      </c>
      <c r="L110" s="636">
        <f>IF(ISBLANK(I110),IF(ISNUMBER(J110)=FALSE,K110/(1000*3600*24*365)*L11*L10,J110/(1000*3600*24*365)*L11*L10),I110/(1000*3600*24*365)*L11*L10)</f>
        <v>1229.8829908675798</v>
      </c>
      <c r="M110" s="36" t="s">
        <v>1499</v>
      </c>
      <c r="N110" s="29"/>
      <c r="O110" s="36"/>
    </row>
    <row r="111" spans="1:15" ht="12.75" customHeight="1" x14ac:dyDescent="0.3">
      <c r="A111" s="29"/>
      <c r="B111" s="29" t="s">
        <v>2275</v>
      </c>
      <c r="C111" s="95"/>
      <c r="D111" s="95"/>
      <c r="E111" s="29"/>
      <c r="F111" s="29"/>
      <c r="G111" s="37" t="s">
        <v>2279</v>
      </c>
      <c r="H111" s="36" t="s">
        <v>4046</v>
      </c>
      <c r="I111" s="639"/>
      <c r="J111" s="635" t="str">
        <f>IF(ISBLANK(HLOOKUP(CaseName,CaseData,MATCH($G111,cases!$G$3:$G$2464,0),FALSE)),"",HLOOKUP(CaseName,CaseData,MATCH($G111,cases!$G$3:$G$2464,0),FALSE))</f>
        <v/>
      </c>
      <c r="K111" s="352">
        <f>(L113*L114)/(L113+L114)*L53</f>
        <v>2.7484030017578716E-8</v>
      </c>
      <c r="L111" s="636">
        <f>IF(ISBLANK(I111),IF(ISNUMBER(J111)=FALSE,K111,J111),I111)</f>
        <v>2.7484030017578716E-8</v>
      </c>
      <c r="M111" s="36" t="s">
        <v>4047</v>
      </c>
      <c r="N111" s="29"/>
      <c r="O111" s="36"/>
    </row>
    <row r="112" spans="1:15" ht="12.75" customHeight="1" x14ac:dyDescent="0.3">
      <c r="A112" s="29"/>
      <c r="B112" s="29" t="s">
        <v>2276</v>
      </c>
      <c r="C112" s="95"/>
      <c r="D112" s="95"/>
      <c r="E112" s="29"/>
      <c r="F112" s="29"/>
      <c r="G112" s="37" t="s">
        <v>2280</v>
      </c>
      <c r="H112" s="36" t="s">
        <v>4046</v>
      </c>
      <c r="I112" s="639"/>
      <c r="J112" s="635" t="str">
        <f>IF(ISBLANK(HLOOKUP(CaseName,CaseData,MATCH($G112,cases!$G$3:$G$2464,0),FALSE)),"",HLOOKUP(CaseName,CaseData,MATCH($G112,cases!$G$3:$G$2464,0),FALSE))</f>
        <v/>
      </c>
      <c r="K112" s="352">
        <f>(L113*L114/(L113+L114))/L65</f>
        <v>1.0485652442030529E-9</v>
      </c>
      <c r="L112" s="636">
        <f>IF(ISBLANK(I112),IF(ISNUMBER(J112)=FALSE,K112,J112),I112)</f>
        <v>1.0485652442030529E-9</v>
      </c>
      <c r="M112" s="36" t="s">
        <v>4047</v>
      </c>
      <c r="N112" s="29"/>
      <c r="O112" s="36"/>
    </row>
    <row r="113" spans="1:15" ht="12.75" customHeight="1" x14ac:dyDescent="0.3">
      <c r="A113" s="36"/>
      <c r="B113" s="36"/>
      <c r="C113" s="29" t="s">
        <v>1076</v>
      </c>
      <c r="D113" s="29"/>
      <c r="E113" s="29"/>
      <c r="F113" s="29"/>
      <c r="G113" s="29" t="s">
        <v>467</v>
      </c>
      <c r="H113" s="30" t="s">
        <v>4045</v>
      </c>
      <c r="I113" s="639"/>
      <c r="J113" s="635" t="str">
        <f>IF(ISBLANK(HLOOKUP(CaseName,CaseData,MATCH($G113,cases!$G$3:$G$2464,0),FALSE)),"",HLOOKUP(CaseName,CaseData,MATCH($G113,cases!$G$3:$G$2464,0),FALSE))</f>
        <v/>
      </c>
      <c r="K113" s="345">
        <v>2.7779999999999999E-6</v>
      </c>
      <c r="L113" s="636">
        <f>IF(ISBLANK(I113),IF(ISNUMBER(J113)=FALSE,K113,J113),I113)</f>
        <v>2.7779999999999999E-6</v>
      </c>
      <c r="M113" s="29" t="s">
        <v>1490</v>
      </c>
      <c r="N113" s="29"/>
      <c r="O113" s="36"/>
    </row>
    <row r="114" spans="1:15" ht="12.75" customHeight="1" x14ac:dyDescent="0.3">
      <c r="A114" s="36"/>
      <c r="B114" s="36"/>
      <c r="C114" s="29" t="s">
        <v>1230</v>
      </c>
      <c r="D114" s="29"/>
      <c r="E114" s="29"/>
      <c r="F114" s="29"/>
      <c r="G114" s="29" t="s">
        <v>468</v>
      </c>
      <c r="H114" s="30" t="s">
        <v>4045</v>
      </c>
      <c r="I114" s="639"/>
      <c r="J114" s="635" t="str">
        <f>IF(ISBLANK(HLOOKUP(CaseName,CaseData,MATCH($G114,cases!$G$3:$G$2464,0),FALSE)),"",HLOOKUP(CaseName,CaseData,MATCH($G114,cases!$G$3:$G$2464,0),FALSE))</f>
        <v/>
      </c>
      <c r="K114" s="345">
        <v>2.7779999999999998E-8</v>
      </c>
      <c r="L114" s="636">
        <f>IF(ISBLANK(I114),IF(ISNUMBER(J114)=FALSE,K114,J114),I114)</f>
        <v>2.7779999999999998E-8</v>
      </c>
      <c r="M114" s="29" t="s">
        <v>1490</v>
      </c>
      <c r="N114" s="29"/>
      <c r="O114" s="36"/>
    </row>
    <row r="115" spans="1:15" ht="12.75" customHeight="1" x14ac:dyDescent="0.3">
      <c r="A115" s="29"/>
      <c r="B115" s="29"/>
      <c r="C115" s="29"/>
      <c r="D115" s="29"/>
      <c r="E115" s="29"/>
      <c r="F115" s="29"/>
      <c r="G115" s="29"/>
      <c r="H115" s="29"/>
      <c r="I115" s="648"/>
      <c r="J115" s="635"/>
      <c r="K115" s="339"/>
      <c r="L115" s="339"/>
      <c r="M115" s="29"/>
      <c r="N115" s="29"/>
      <c r="O115" s="36"/>
    </row>
    <row r="116" spans="1:15" ht="12.75" customHeight="1" x14ac:dyDescent="0.3">
      <c r="A116" s="36" t="s">
        <v>99</v>
      </c>
      <c r="B116" s="29"/>
      <c r="C116" s="29"/>
      <c r="D116" s="29"/>
      <c r="E116" s="29"/>
      <c r="F116" s="29"/>
      <c r="G116" s="37" t="s">
        <v>1254</v>
      </c>
      <c r="H116" s="36" t="s">
        <v>4037</v>
      </c>
      <c r="I116" s="639"/>
      <c r="J116" s="635" t="str">
        <f>IF(ISBLANK(HLOOKUP(CaseName,CaseData,MATCH($G116,cases!$G$3:$G$2464,0),FALSE)),"",HLOOKUP(CaseName,CaseData,MATCH($G116,cases!$G$3:$G$2464,0),FALSE))</f>
        <v/>
      </c>
      <c r="K116" s="352">
        <f>(L90*L118/L68+L117)*L119/L17</f>
        <v>4.580218015700943E-9</v>
      </c>
      <c r="L116" s="636">
        <f>IF(ISBLANK(I116),IF(ISNUMBER(J116)=FALSE,K116,J116),I116)</f>
        <v>4.580218015700943E-9</v>
      </c>
      <c r="M116" s="29" t="s">
        <v>1488</v>
      </c>
      <c r="N116" s="29"/>
      <c r="O116" s="36"/>
    </row>
    <row r="117" spans="1:15" ht="12.75" customHeight="1" x14ac:dyDescent="0.3">
      <c r="A117" s="29"/>
      <c r="B117" s="95" t="s">
        <v>211</v>
      </c>
      <c r="C117" s="29"/>
      <c r="D117" s="29"/>
      <c r="E117" s="29"/>
      <c r="F117" s="29"/>
      <c r="G117" s="94" t="s">
        <v>190</v>
      </c>
      <c r="H117" s="30" t="s">
        <v>4045</v>
      </c>
      <c r="I117" s="638"/>
      <c r="J117" s="635" t="str">
        <f>IF(ISBLANK(HLOOKUP(CaseName,CaseData,MATCH($G117,cases!$G$3:$G$2464,0),FALSE)),"",HLOOKUP(CaseName,CaseData,MATCH($G117,cases!$G$3:$G$2464,0),FALSE))</f>
        <v/>
      </c>
      <c r="K117" s="352">
        <f>EROSION.C</f>
        <v>9.5129375951293754E-13</v>
      </c>
      <c r="L117" s="636">
        <f>IF(ISBLANK(I117),IF(ISNUMBER(J117)=FALSE,K117,J117),I117)</f>
        <v>9.5129375951293754E-13</v>
      </c>
      <c r="M117" s="29" t="s">
        <v>1490</v>
      </c>
      <c r="N117" s="29"/>
      <c r="O117" s="36"/>
    </row>
    <row r="118" spans="1:15" ht="12.75" customHeight="1" x14ac:dyDescent="0.3">
      <c r="A118" s="29"/>
      <c r="B118" s="36" t="s">
        <v>1002</v>
      </c>
      <c r="C118" s="29"/>
      <c r="D118" s="29"/>
      <c r="E118" s="29"/>
      <c r="F118" s="29"/>
      <c r="G118" s="94" t="s">
        <v>191</v>
      </c>
      <c r="H118" s="36" t="s">
        <v>36</v>
      </c>
      <c r="I118" s="638"/>
      <c r="J118" s="635" t="str">
        <f>IF(ISBLANK(HLOOKUP(CaseName,CaseData,MATCH($G118,cases!$G$3:$G$2464,0),FALSE)),"",HLOOKUP(CaseName,CaseData,MATCH($G118,cases!$G$3:$G$2464,0),FALSE))</f>
        <v/>
      </c>
      <c r="K118" s="352">
        <f>FRACrun.C</f>
        <v>0.25</v>
      </c>
      <c r="L118" s="636">
        <f>IF(ISBLANK(I118),IF(ISNUMBER(J118)=FALSE,K118,J118),I118)</f>
        <v>0.25</v>
      </c>
      <c r="M118" s="29" t="s">
        <v>486</v>
      </c>
      <c r="N118" s="29"/>
      <c r="O118" s="36"/>
    </row>
    <row r="119" spans="1:15" ht="12.75" customHeight="1" x14ac:dyDescent="0.3">
      <c r="A119" s="36"/>
      <c r="B119" s="29" t="s">
        <v>185</v>
      </c>
      <c r="C119" s="29"/>
      <c r="D119" s="95"/>
      <c r="E119" s="95"/>
      <c r="F119" s="29"/>
      <c r="G119" s="37" t="s">
        <v>915</v>
      </c>
      <c r="H119" s="29" t="s">
        <v>36</v>
      </c>
      <c r="I119" s="639"/>
      <c r="J119" s="635" t="str">
        <f>IF(ISBLANK(HLOOKUP(CaseName,CaseData,MATCH($G119,cases!$G$3:$G$2464,0),FALSE)),"",HLOOKUP(CaseName,CaseData,MATCH($G119,cases!$G$3:$G$2464,0),FALSE))</f>
        <v/>
      </c>
      <c r="K119" s="352">
        <f>(EXP((-1/0.1)*0)*(1/0.1)*L17/(1-EXP((-1/0.1)*L17)))</f>
        <v>1.2707470412683992</v>
      </c>
      <c r="L119" s="636">
        <f>IF(ISBLANK(I119),IF(ISNUMBER(J119)=FALSE,K119,J119),I119)</f>
        <v>1.2707470412683992</v>
      </c>
      <c r="M119" s="36" t="s">
        <v>486</v>
      </c>
      <c r="N119" s="29" t="s">
        <v>995</v>
      </c>
      <c r="O119" s="36"/>
    </row>
    <row r="120" spans="1:15" ht="12.75" customHeight="1" x14ac:dyDescent="0.3">
      <c r="A120" s="29"/>
      <c r="B120" s="29"/>
      <c r="C120" s="29"/>
      <c r="D120" s="29"/>
      <c r="E120" s="29"/>
      <c r="F120" s="29"/>
      <c r="G120" s="29"/>
      <c r="H120" s="36"/>
      <c r="I120" s="645"/>
      <c r="J120" s="353"/>
      <c r="K120" s="339"/>
      <c r="L120" s="339"/>
      <c r="M120" s="29"/>
      <c r="N120" s="29"/>
      <c r="O120" s="36"/>
    </row>
    <row r="121" spans="1:15" ht="12.75" customHeight="1" x14ac:dyDescent="0.3">
      <c r="A121" s="98" t="s">
        <v>419</v>
      </c>
      <c r="B121" s="97"/>
      <c r="C121" s="97"/>
      <c r="D121" s="97"/>
      <c r="E121" s="97"/>
      <c r="F121" s="97"/>
      <c r="G121" s="98" t="s">
        <v>1008</v>
      </c>
      <c r="H121" s="98" t="s">
        <v>968</v>
      </c>
      <c r="I121" s="364" t="s">
        <v>754</v>
      </c>
      <c r="J121" s="340" t="s">
        <v>37</v>
      </c>
      <c r="K121" s="340" t="s">
        <v>753</v>
      </c>
      <c r="L121" s="340" t="s">
        <v>1358</v>
      </c>
      <c r="M121" s="97"/>
      <c r="N121" s="98" t="s">
        <v>1371</v>
      </c>
      <c r="O121" s="36"/>
    </row>
    <row r="122" spans="1:15" ht="12.75" customHeight="1" x14ac:dyDescent="0.3">
      <c r="A122" s="36"/>
      <c r="B122" s="29"/>
      <c r="C122" s="29"/>
      <c r="D122" s="29"/>
      <c r="E122" s="29"/>
      <c r="F122" s="29"/>
      <c r="G122" s="29"/>
      <c r="H122" s="36"/>
      <c r="I122" s="645"/>
      <c r="J122" s="645"/>
      <c r="K122" s="651"/>
      <c r="L122" s="342"/>
      <c r="M122" s="29"/>
      <c r="N122" s="29"/>
      <c r="O122" s="36"/>
    </row>
    <row r="123" spans="1:15" ht="12.75" customHeight="1" x14ac:dyDescent="0.3">
      <c r="A123" s="36" t="s">
        <v>224</v>
      </c>
      <c r="B123" s="29"/>
      <c r="C123" s="29"/>
      <c r="D123" s="29"/>
      <c r="E123" s="29"/>
      <c r="F123" s="29"/>
      <c r="G123" s="37" t="s">
        <v>843</v>
      </c>
      <c r="H123" s="36" t="s">
        <v>4037</v>
      </c>
      <c r="I123" s="639"/>
      <c r="J123" s="635" t="str">
        <f>IF(ISBLANK(HLOOKUP(CaseName,CaseData,MATCH($G123,cases!$G$3:$G$2464,0),FALSE)),"",HLOOKUP(CaseName,CaseData,MATCH($G123,cases!$G$3:$G$2464,0),FALSE))</f>
        <v/>
      </c>
      <c r="K123" s="352">
        <f>L128+L129</f>
        <v>9.0459815058013851E-6</v>
      </c>
      <c r="L123" s="636">
        <f t="shared" ref="L123:L138" si="7">IF(ISBLANK(I123),IF(ISNUMBER(J123)=FALSE,K123,J123),I123)</f>
        <v>9.0459815058013851E-6</v>
      </c>
      <c r="M123" s="29" t="s">
        <v>1488</v>
      </c>
      <c r="N123" s="29"/>
      <c r="O123" s="36"/>
    </row>
    <row r="124" spans="1:15" ht="12.75" customHeight="1" x14ac:dyDescent="0.3">
      <c r="A124" s="36" t="s">
        <v>4013</v>
      </c>
      <c r="B124" s="29"/>
      <c r="C124" s="29"/>
      <c r="D124" s="29"/>
      <c r="E124" s="29"/>
      <c r="F124" s="29"/>
      <c r="G124" s="37" t="s">
        <v>1045</v>
      </c>
      <c r="H124" s="36" t="s">
        <v>4037</v>
      </c>
      <c r="I124" s="639"/>
      <c r="J124" s="635" t="str">
        <f>IF(ISBLANK(HLOOKUP(CaseName,CaseData,MATCH($G124,cases!$G$3:$G$2464,0),FALSE)),"",HLOOKUP(CaseName,CaseData,MATCH($G124,cases!$G$3:$G$2464,0),FALSE))</f>
        <v/>
      </c>
      <c r="K124" s="352">
        <f>L132</f>
        <v>8.6818245114295561E-8</v>
      </c>
      <c r="L124" s="636">
        <f t="shared" si="7"/>
        <v>8.6818245114295561E-8</v>
      </c>
      <c r="M124" s="29" t="s">
        <v>1488</v>
      </c>
      <c r="N124" s="29"/>
      <c r="O124" s="36"/>
    </row>
    <row r="125" spans="1:15" ht="12.75" customHeight="1" x14ac:dyDescent="0.3">
      <c r="A125" s="36" t="s">
        <v>1168</v>
      </c>
      <c r="B125" s="29"/>
      <c r="C125" s="29"/>
      <c r="D125" s="29"/>
      <c r="E125" s="29"/>
      <c r="F125" s="29"/>
      <c r="G125" s="37" t="s">
        <v>1169</v>
      </c>
      <c r="H125" s="36" t="s">
        <v>4037</v>
      </c>
      <c r="I125" s="639"/>
      <c r="J125" s="635" t="str">
        <f>IF(ISBLANK(HLOOKUP(CaseName,CaseData,MATCH($G125,cases!$G$3:$G$2464,0),FALSE)),"",HLOOKUP(CaseName,CaseData,MATCH($G125,cases!$G$3:$G$2464,0),FALSE))</f>
        <v/>
      </c>
      <c r="K125" s="352">
        <f>L133</f>
        <v>8.6818245114295561E-8</v>
      </c>
      <c r="L125" s="636">
        <f t="shared" si="7"/>
        <v>8.6818245114295561E-8</v>
      </c>
      <c r="M125" s="29" t="s">
        <v>1488</v>
      </c>
      <c r="N125" s="29"/>
      <c r="O125" s="36"/>
    </row>
    <row r="126" spans="1:15" ht="12.75" customHeight="1" x14ac:dyDescent="0.3">
      <c r="A126" s="36" t="s">
        <v>225</v>
      </c>
      <c r="B126" s="29"/>
      <c r="C126" s="29"/>
      <c r="D126" s="29"/>
      <c r="E126" s="29"/>
      <c r="F126" s="29"/>
      <c r="G126" s="37" t="s">
        <v>1255</v>
      </c>
      <c r="H126" s="36" t="s">
        <v>4037</v>
      </c>
      <c r="I126" s="639"/>
      <c r="J126" s="635" t="str">
        <f>IF(ISBLANK(HLOOKUP(CaseName,CaseData,MATCH($G126,cases!$G$3:$G$2464,0),FALSE)),"",HLOOKUP(CaseName,CaseData,MATCH($G126,cases!$G$3:$G$2464,0),FALSE))</f>
        <v/>
      </c>
      <c r="K126" s="352">
        <f>L137+L109/L16</f>
        <v>9.668787450953858E-9</v>
      </c>
      <c r="L126" s="636">
        <f t="shared" si="7"/>
        <v>9.668787450953858E-9</v>
      </c>
      <c r="M126" s="29" t="s">
        <v>1488</v>
      </c>
      <c r="N126" s="29"/>
      <c r="O126" s="36"/>
    </row>
    <row r="127" spans="1:15" ht="12.75" customHeight="1" x14ac:dyDescent="0.3">
      <c r="A127" s="36" t="s">
        <v>844</v>
      </c>
      <c r="B127" s="29"/>
      <c r="C127" s="29"/>
      <c r="D127" s="29"/>
      <c r="E127" s="29"/>
      <c r="F127" s="29"/>
      <c r="G127" s="37" t="s">
        <v>845</v>
      </c>
      <c r="H127" s="36" t="s">
        <v>4037</v>
      </c>
      <c r="I127" s="639"/>
      <c r="J127" s="635" t="str">
        <f>IF(ISBLANK(HLOOKUP(CaseName,CaseData,MATCH($G127,cases!$G$3:$G$2464,0),FALSE)),"",HLOOKUP(CaseName,CaseData,MATCH($G127,cases!$G$3:$G$2464,0),FALSE))</f>
        <v/>
      </c>
      <c r="K127" s="352">
        <f>L138+L139*L90/L68*L140/L17</f>
        <v>4.3486201567445368E-8</v>
      </c>
      <c r="L127" s="636">
        <f t="shared" si="7"/>
        <v>4.3486201567445368E-8</v>
      </c>
      <c r="M127" s="29" t="s">
        <v>1488</v>
      </c>
      <c r="N127" s="29"/>
      <c r="O127" s="36"/>
    </row>
    <row r="128" spans="1:15" ht="12.75" customHeight="1" x14ac:dyDescent="0.3">
      <c r="A128" s="36"/>
      <c r="B128" s="36" t="s">
        <v>796</v>
      </c>
      <c r="C128" s="95"/>
      <c r="D128" s="29"/>
      <c r="E128" s="29"/>
      <c r="F128" s="29"/>
      <c r="G128" s="94" t="s">
        <v>777</v>
      </c>
      <c r="H128" s="36" t="s">
        <v>4037</v>
      </c>
      <c r="I128" s="639"/>
      <c r="J128" s="635" t="str">
        <f>IF(ISBLANK(HLOOKUP(CaseName,CaseData,MATCH($G128,cases!$G$3:$G$2464,0),FALSE)),"",HLOOKUP(CaseName,CaseData,MATCH($G128,cases!$G$3:$G$2464,0),FALSE))</f>
        <v/>
      </c>
      <c r="K128" s="352">
        <f>LN(2)/(60*365*24*3600)</f>
        <v>3.663258818281463E-10</v>
      </c>
      <c r="L128" s="636">
        <f t="shared" si="7"/>
        <v>3.663258818281463E-10</v>
      </c>
      <c r="M128" s="36" t="s">
        <v>1488</v>
      </c>
      <c r="N128" s="29"/>
      <c r="O128" s="36"/>
    </row>
    <row r="129" spans="1:15" ht="12.75" customHeight="1" x14ac:dyDescent="0.3">
      <c r="A129" s="36"/>
      <c r="B129" s="36" t="s">
        <v>797</v>
      </c>
      <c r="C129" s="29"/>
      <c r="D129" s="29"/>
      <c r="E129" s="29"/>
      <c r="F129" s="29"/>
      <c r="G129" s="37" t="s">
        <v>192</v>
      </c>
      <c r="H129" s="36" t="s">
        <v>4037</v>
      </c>
      <c r="I129" s="638"/>
      <c r="J129" s="635" t="str">
        <f>IF(ISBLANK(HLOOKUP(CaseName,CaseData,MATCH($G129,cases!$G$3:$G$2464,0),FALSE)),"",HLOOKUP(CaseName,CaseData,MATCH($G129,cases!$G$3:$G$2464,0),FALSE))</f>
        <v/>
      </c>
      <c r="K129" s="352">
        <f>L46*kdeg.air*(L130/C.OHrad)*L131</f>
        <v>9.0456151799195571E-6</v>
      </c>
      <c r="L129" s="636">
        <f t="shared" si="7"/>
        <v>9.0456151799195571E-6</v>
      </c>
      <c r="M129" s="36" t="s">
        <v>1488</v>
      </c>
      <c r="N129" s="29"/>
      <c r="O129" s="36"/>
    </row>
    <row r="130" spans="1:15" ht="12.75" customHeight="1" x14ac:dyDescent="0.3">
      <c r="A130" s="95"/>
      <c r="B130" s="95"/>
      <c r="C130" s="36" t="s">
        <v>1018</v>
      </c>
      <c r="D130" s="29"/>
      <c r="E130" s="29"/>
      <c r="F130" s="29"/>
      <c r="G130" s="37" t="s">
        <v>1003</v>
      </c>
      <c r="H130" s="36" t="s">
        <v>4049</v>
      </c>
      <c r="I130" s="638"/>
      <c r="J130" s="635" t="str">
        <f>IF(ISBLANK(HLOOKUP(CaseName,CaseData,MATCH($G130,cases!$G$3:$G$2464,0),FALSE)),"",HLOOKUP(CaseName,CaseData,MATCH($G130,cases!$G$3:$G$2464,0),FALSE))</f>
        <v/>
      </c>
      <c r="K130" s="352">
        <v>500000</v>
      </c>
      <c r="L130" s="636">
        <f t="shared" si="7"/>
        <v>500000</v>
      </c>
      <c r="M130" s="36" t="s">
        <v>1500</v>
      </c>
      <c r="N130" s="29"/>
      <c r="O130" s="36"/>
    </row>
    <row r="131" spans="1:15" ht="12.75" customHeight="1" x14ac:dyDescent="0.3">
      <c r="A131" s="95"/>
      <c r="B131" s="95"/>
      <c r="C131" s="36" t="s">
        <v>35</v>
      </c>
      <c r="D131" s="29"/>
      <c r="E131" s="29"/>
      <c r="F131" s="29"/>
      <c r="G131" s="37" t="s">
        <v>1004</v>
      </c>
      <c r="H131" s="36" t="s">
        <v>36</v>
      </c>
      <c r="I131" s="638"/>
      <c r="J131" s="635" t="str">
        <f>IF(ISBLANK(HLOOKUP(CaseName,CaseData,MATCH($G131,cases!$G$3:$G$2464,0),FALSE)),"",HLOOKUP(CaseName,CaseData,MATCH($G131,cases!$G$3:$G$2464,0),FALSE))</f>
        <v/>
      </c>
      <c r="K131" s="352">
        <f>EXP((Ea.OHrad/8.314)*(L50-298)/298^2)</f>
        <v>0.89974332049812744</v>
      </c>
      <c r="L131" s="636">
        <f t="shared" si="7"/>
        <v>0.89974332049812744</v>
      </c>
      <c r="M131" s="36" t="s">
        <v>486</v>
      </c>
      <c r="N131" s="29"/>
      <c r="O131" s="36"/>
    </row>
    <row r="132" spans="1:15" ht="12.75" customHeight="1" x14ac:dyDescent="0.3">
      <c r="A132" s="36"/>
      <c r="B132" s="36" t="s">
        <v>4014</v>
      </c>
      <c r="C132" s="29"/>
      <c r="D132" s="29"/>
      <c r="E132" s="29"/>
      <c r="F132" s="29"/>
      <c r="G132" s="37" t="s">
        <v>149</v>
      </c>
      <c r="H132" s="36" t="s">
        <v>4037</v>
      </c>
      <c r="I132" s="638"/>
      <c r="J132" s="635" t="str">
        <f>IF(ISBLANK(HLOOKUP(CaseName,CaseData,MATCH($G132,cases!$G$3:$G$2464,0),FALSE)),"",HLOOKUP(CaseName,CaseData,MATCH($G132,cases!$G$3:$G$2464,0),FALSE))</f>
        <v/>
      </c>
      <c r="K132" s="352">
        <f>kdeg.water*L136*(L134/BACT.test)*L53</f>
        <v>8.6818245114295561E-8</v>
      </c>
      <c r="L132" s="636">
        <f t="shared" si="7"/>
        <v>8.6818245114295561E-8</v>
      </c>
      <c r="M132" s="36" t="s">
        <v>1488</v>
      </c>
      <c r="N132" s="29"/>
      <c r="O132" s="36"/>
    </row>
    <row r="133" spans="1:15" ht="12.75" customHeight="1" x14ac:dyDescent="0.3">
      <c r="A133" s="36"/>
      <c r="B133" s="36" t="s">
        <v>1138</v>
      </c>
      <c r="C133" s="29"/>
      <c r="D133" s="29"/>
      <c r="E133" s="29"/>
      <c r="F133" s="29"/>
      <c r="G133" s="37" t="s">
        <v>150</v>
      </c>
      <c r="H133" s="36" t="s">
        <v>4037</v>
      </c>
      <c r="I133" s="638"/>
      <c r="J133" s="635" t="str">
        <f>IF(ISBLANK(HLOOKUP(CaseName,CaseData,MATCH($G133,cases!$G$3:$G$2464,0),FALSE)),"",HLOOKUP(CaseName,CaseData,MATCH($G133,cases!$G$3:$G$2464,0),FALSE))</f>
        <v/>
      </c>
      <c r="K133" s="352">
        <f>kdeg.water*L136*(L135/BACT.test)*L54</f>
        <v>8.6818245114295561E-8</v>
      </c>
      <c r="L133" s="636">
        <f t="shared" si="7"/>
        <v>8.6818245114295561E-8</v>
      </c>
      <c r="M133" s="36" t="s">
        <v>1488</v>
      </c>
      <c r="N133" s="29"/>
      <c r="O133" s="36"/>
    </row>
    <row r="134" spans="1:15" ht="12.75" customHeight="1" x14ac:dyDescent="0.3">
      <c r="A134" s="36"/>
      <c r="B134" s="36"/>
      <c r="C134" s="36" t="s">
        <v>4015</v>
      </c>
      <c r="D134" s="29"/>
      <c r="E134" s="29"/>
      <c r="F134" s="29"/>
      <c r="G134" s="94" t="s">
        <v>684</v>
      </c>
      <c r="H134" s="36" t="s">
        <v>730</v>
      </c>
      <c r="I134" s="638"/>
      <c r="J134" s="635" t="str">
        <f>IF(ISBLANK(HLOOKUP(CaseName,CaseData,MATCH($G134,cases!$G$3:$G$2464,0),FALSE)),"",HLOOKUP(CaseName,CaseData,MATCH($G134,cases!$G$3:$G$2464,0),FALSE))</f>
        <v/>
      </c>
      <c r="K134" s="352">
        <v>40000</v>
      </c>
      <c r="L134" s="636">
        <f t="shared" si="7"/>
        <v>40000</v>
      </c>
      <c r="M134" s="36" t="s">
        <v>731</v>
      </c>
      <c r="N134" s="29"/>
      <c r="O134" s="36"/>
    </row>
    <row r="135" spans="1:15" ht="12.75" customHeight="1" x14ac:dyDescent="0.3">
      <c r="A135" s="36"/>
      <c r="B135" s="36"/>
      <c r="C135" s="36" t="s">
        <v>683</v>
      </c>
      <c r="D135" s="29"/>
      <c r="E135" s="29"/>
      <c r="F135" s="29"/>
      <c r="G135" s="94" t="s">
        <v>685</v>
      </c>
      <c r="H135" s="36" t="s">
        <v>730</v>
      </c>
      <c r="I135" s="638"/>
      <c r="J135" s="635" t="str">
        <f>IF(ISBLANK(HLOOKUP(CaseName,CaseData,MATCH($G135,cases!$G$3:$G$2464,0),FALSE)),"",HLOOKUP(CaseName,CaseData,MATCH($G135,cases!$G$3:$G$2464,0),FALSE))</f>
        <v/>
      </c>
      <c r="K135" s="352">
        <v>40000</v>
      </c>
      <c r="L135" s="636">
        <f t="shared" si="7"/>
        <v>40000</v>
      </c>
      <c r="M135" s="36" t="s">
        <v>731</v>
      </c>
      <c r="N135" s="29"/>
      <c r="O135" s="36"/>
    </row>
    <row r="136" spans="1:15" ht="12.75" customHeight="1" x14ac:dyDescent="0.3">
      <c r="A136" s="95"/>
      <c r="B136" s="95"/>
      <c r="C136" s="36" t="s">
        <v>766</v>
      </c>
      <c r="D136" s="29"/>
      <c r="E136" s="29"/>
      <c r="F136" s="29"/>
      <c r="G136" s="37" t="s">
        <v>541</v>
      </c>
      <c r="H136" s="36" t="s">
        <v>36</v>
      </c>
      <c r="I136" s="638"/>
      <c r="J136" s="635" t="str">
        <f>IF(ISBLANK(HLOOKUP(CaseName,CaseData,MATCH($G136,cases!$G$3:$G$2464,0),FALSE)),"",HLOOKUP(CaseName,CaseData,MATCH($G136,cases!$G$3:$G$2464,0),FALSE))</f>
        <v/>
      </c>
      <c r="K136" s="352">
        <f>Q.10^((L50-298)/10)</f>
        <v>0.40612619817811774</v>
      </c>
      <c r="L136" s="636">
        <f t="shared" si="7"/>
        <v>0.40612619817811774</v>
      </c>
      <c r="M136" s="36" t="s">
        <v>486</v>
      </c>
      <c r="N136" s="29"/>
      <c r="O136" s="36"/>
    </row>
    <row r="137" spans="1:15" ht="12.75" customHeight="1" x14ac:dyDescent="0.3">
      <c r="A137" s="36"/>
      <c r="B137" s="36" t="s">
        <v>772</v>
      </c>
      <c r="C137" s="29"/>
      <c r="D137" s="29"/>
      <c r="E137" s="29"/>
      <c r="F137" s="29"/>
      <c r="G137" s="37" t="s">
        <v>193</v>
      </c>
      <c r="H137" s="36" t="s">
        <v>4037</v>
      </c>
      <c r="I137" s="638"/>
      <c r="J137" s="635" t="str">
        <f>IF(ISBLANK(HLOOKUP(CaseName,CaseData,MATCH($G137,cases!$G$3:$G$2464,0),FALSE)),"",HLOOKUP(CaseName,CaseData,MATCH($G137,cases!$G$3:$G$2464,0),FALSE))</f>
        <v/>
      </c>
      <c r="K137" s="352">
        <f>L136*kdeg.sed</f>
        <v>9.6658035166392018E-9</v>
      </c>
      <c r="L137" s="636">
        <f t="shared" si="7"/>
        <v>9.6658035166392018E-9</v>
      </c>
      <c r="M137" s="36" t="s">
        <v>1488</v>
      </c>
      <c r="N137" s="29"/>
      <c r="O137" s="36"/>
    </row>
    <row r="138" spans="1:15" ht="12.75" customHeight="1" x14ac:dyDescent="0.3">
      <c r="A138" s="36"/>
      <c r="B138" s="36" t="s">
        <v>773</v>
      </c>
      <c r="C138" s="29"/>
      <c r="D138" s="29"/>
      <c r="E138" s="29"/>
      <c r="F138" s="29"/>
      <c r="G138" s="37" t="s">
        <v>194</v>
      </c>
      <c r="H138" s="36" t="s">
        <v>4037</v>
      </c>
      <c r="I138" s="638"/>
      <c r="J138" s="635" t="str">
        <f>IF(ISBLANK(HLOOKUP(CaseName,CaseData,MATCH($G138,cases!$G$3:$G$2464,0),FALSE)),"",HLOOKUP(CaseName,CaseData,MATCH($G138,cases!$G$3:$G$2464,0),FALSE))</f>
        <v/>
      </c>
      <c r="K138" s="352">
        <f>L136*kdeg.soil</f>
        <v>4.3455503205058602E-8</v>
      </c>
      <c r="L138" s="636">
        <f t="shared" si="7"/>
        <v>4.3455503205058602E-8</v>
      </c>
      <c r="M138" s="36" t="s">
        <v>1488</v>
      </c>
      <c r="N138" s="29"/>
      <c r="O138" s="36"/>
    </row>
    <row r="139" spans="1:15" ht="12.75" customHeight="1" x14ac:dyDescent="0.3">
      <c r="A139" s="29"/>
      <c r="B139" s="36" t="s">
        <v>1036</v>
      </c>
      <c r="C139" s="29"/>
      <c r="D139" s="29"/>
      <c r="E139" s="29"/>
      <c r="F139" s="29"/>
      <c r="G139" s="94" t="s">
        <v>272</v>
      </c>
      <c r="H139" s="36" t="s">
        <v>36</v>
      </c>
      <c r="I139" s="638"/>
      <c r="J139" s="635" t="str">
        <f>IF(ISBLANK(HLOOKUP(CaseName,CaseData,MATCH($G139,cases!$G$3:$G$2464,0),FALSE)),"",HLOOKUP(CaseName,CaseData,MATCH($G139,cases!$G$3:$G$2464,0),FALSE))</f>
        <v/>
      </c>
      <c r="K139" s="352">
        <f>FRACinf.C</f>
        <v>0.25</v>
      </c>
      <c r="L139" s="636">
        <f>IF(ISBLANK(I139),IF(ISNUMBER(J139)=FALSE,K139,J139),I139)</f>
        <v>0.25</v>
      </c>
      <c r="M139" s="29" t="s">
        <v>486</v>
      </c>
      <c r="N139" s="29"/>
      <c r="O139" s="36"/>
    </row>
    <row r="140" spans="1:15" ht="12.75" customHeight="1" x14ac:dyDescent="0.3">
      <c r="A140" s="36"/>
      <c r="B140" s="29" t="s">
        <v>185</v>
      </c>
      <c r="C140" s="29"/>
      <c r="D140" s="95"/>
      <c r="E140" s="95"/>
      <c r="F140" s="95"/>
      <c r="G140" s="37" t="s">
        <v>916</v>
      </c>
      <c r="H140" s="29" t="s">
        <v>36</v>
      </c>
      <c r="I140" s="639"/>
      <c r="J140" s="635" t="str">
        <f>IF(ISBLANK(HLOOKUP(CaseName,CaseData,MATCH($G140,cases!$G$3:$G$2464,0),FALSE)),"",HLOOKUP(CaseName,CaseData,MATCH($G140,cases!$G$3:$G$2464,0),FALSE))</f>
        <v/>
      </c>
      <c r="K140" s="352">
        <f>(EXP((-1/0.1)*0.5)*(1/0.1)*L17/(1-EXP((-1/0.1)*L17)))</f>
        <v>8.5622262133111474E-3</v>
      </c>
      <c r="L140" s="636">
        <f>IF(ISBLANK(I140),IF(ISNUMBER(J140)=FALSE,K140,J140),I140)</f>
        <v>8.5622262133111474E-3</v>
      </c>
      <c r="M140" s="36" t="s">
        <v>486</v>
      </c>
      <c r="N140" s="29" t="s">
        <v>995</v>
      </c>
      <c r="O140" s="36"/>
    </row>
    <row r="141" spans="1:15" ht="12.75" customHeight="1" x14ac:dyDescent="0.3">
      <c r="A141" s="134"/>
      <c r="B141" s="134"/>
      <c r="C141" s="134"/>
      <c r="D141" s="134"/>
      <c r="E141" s="134"/>
      <c r="F141" s="134"/>
      <c r="G141" s="134"/>
      <c r="H141" s="115"/>
      <c r="I141" s="643"/>
      <c r="J141" s="652"/>
      <c r="K141" s="643"/>
      <c r="L141" s="643"/>
      <c r="M141" s="134"/>
      <c r="N141" s="134"/>
      <c r="O141" s="36"/>
    </row>
    <row r="142" spans="1:15" ht="12.75" customHeight="1" x14ac:dyDescent="0.3">
      <c r="A142" s="44"/>
      <c r="B142" s="29"/>
      <c r="C142" s="29"/>
      <c r="D142" s="29"/>
      <c r="E142" s="29"/>
      <c r="F142" s="29"/>
      <c r="G142" s="29"/>
      <c r="H142" s="29"/>
      <c r="I142" s="645"/>
      <c r="J142" s="635"/>
      <c r="K142" s="353"/>
      <c r="L142" s="353"/>
      <c r="M142" s="29"/>
      <c r="N142" s="29"/>
      <c r="O142" s="36"/>
    </row>
    <row r="143" spans="1:15" ht="12.75" customHeight="1" x14ac:dyDescent="0.3">
      <c r="A143" s="44"/>
      <c r="B143" s="29"/>
      <c r="C143" s="29"/>
      <c r="D143" s="29"/>
      <c r="E143" s="29"/>
      <c r="F143" s="29"/>
      <c r="G143" s="29"/>
      <c r="H143" s="29"/>
      <c r="I143" s="645"/>
      <c r="J143" s="635"/>
      <c r="K143" s="353"/>
      <c r="L143" s="353"/>
      <c r="M143" s="29"/>
      <c r="N143" s="29"/>
      <c r="O143" s="36"/>
    </row>
    <row r="144" spans="1:15" ht="12.75" customHeight="1" x14ac:dyDescent="0.3">
      <c r="A144" s="62" t="s">
        <v>1308</v>
      </c>
      <c r="B144" s="29"/>
      <c r="C144" s="29"/>
      <c r="D144" s="29"/>
      <c r="E144" s="29"/>
      <c r="F144" s="29"/>
      <c r="G144" s="29"/>
      <c r="H144" s="29"/>
      <c r="I144" s="645"/>
      <c r="J144" s="635"/>
      <c r="K144" s="353"/>
      <c r="L144" s="353"/>
      <c r="M144" s="29"/>
      <c r="N144" s="29"/>
      <c r="O144" s="36"/>
    </row>
    <row r="145" spans="1:15" ht="12.75" customHeight="1" x14ac:dyDescent="0.3">
      <c r="A145" s="29"/>
      <c r="B145" s="29"/>
      <c r="C145" s="29"/>
      <c r="D145" s="29"/>
      <c r="E145" s="29"/>
      <c r="F145" s="29"/>
      <c r="G145" s="29"/>
      <c r="H145" s="29"/>
      <c r="I145" s="645"/>
      <c r="J145" s="353"/>
      <c r="K145" s="353"/>
      <c r="L145" s="339"/>
      <c r="M145" s="29"/>
      <c r="N145" s="29"/>
      <c r="O145" s="36"/>
    </row>
    <row r="146" spans="1:15" ht="12.75" customHeight="1" x14ac:dyDescent="0.3">
      <c r="A146" s="97" t="s">
        <v>1310</v>
      </c>
      <c r="B146" s="97"/>
      <c r="C146" s="97"/>
      <c r="D146" s="97"/>
      <c r="E146" s="97"/>
      <c r="F146" s="97"/>
      <c r="G146" s="98" t="s">
        <v>1008</v>
      </c>
      <c r="H146" s="98" t="s">
        <v>968</v>
      </c>
      <c r="I146" s="364" t="s">
        <v>754</v>
      </c>
      <c r="J146" s="340" t="s">
        <v>37</v>
      </c>
      <c r="K146" s="340" t="s">
        <v>753</v>
      </c>
      <c r="L146" s="340" t="s">
        <v>1358</v>
      </c>
      <c r="M146" s="97"/>
      <c r="N146" s="98" t="s">
        <v>1371</v>
      </c>
      <c r="O146" s="36"/>
    </row>
    <row r="147" spans="1:15" ht="12.75" customHeight="1" x14ac:dyDescent="0.3">
      <c r="A147" s="36"/>
      <c r="B147" s="36"/>
      <c r="C147" s="29"/>
      <c r="D147" s="29"/>
      <c r="E147" s="29"/>
      <c r="F147" s="29"/>
      <c r="G147" s="29"/>
      <c r="H147" s="29"/>
      <c r="I147" s="645"/>
      <c r="J147" s="645"/>
      <c r="K147" s="353"/>
      <c r="L147" s="339"/>
      <c r="M147" s="29"/>
      <c r="N147" s="29"/>
      <c r="O147" s="36"/>
    </row>
    <row r="148" spans="1:15" ht="12.75" customHeight="1" x14ac:dyDescent="0.3">
      <c r="A148" s="36" t="s">
        <v>1089</v>
      </c>
      <c r="B148" s="29"/>
      <c r="C148" s="29"/>
      <c r="D148" s="29"/>
      <c r="E148" s="29"/>
      <c r="F148" s="29"/>
      <c r="G148" s="37" t="s">
        <v>273</v>
      </c>
      <c r="H148" s="29" t="s">
        <v>4035</v>
      </c>
      <c r="I148" s="638"/>
      <c r="J148" s="635" t="str">
        <f>IF(ISBLANK(HLOOKUP(CaseName,CaseData,MATCH($G148,cases!$G$3:$G$2464,0),FALSE)),"",HLOOKUP(CaseName,CaseData,MATCH($G148,cases!$G$3:$G$2464,0),FALSE))</f>
        <v/>
      </c>
      <c r="K148" s="352">
        <f>L153*L156</f>
        <v>4.25E+16</v>
      </c>
      <c r="L148" s="636">
        <f>IF(ISBLANK(I148),IF(ISNUMBER(J148)=FALSE,K148,J148),I148)</f>
        <v>4.25E+16</v>
      </c>
      <c r="M148" s="36" t="s">
        <v>1496</v>
      </c>
      <c r="N148" s="29"/>
      <c r="O148" s="36"/>
    </row>
    <row r="149" spans="1:15" ht="12.75" customHeight="1" x14ac:dyDescent="0.3">
      <c r="A149" s="29" t="s">
        <v>4016</v>
      </c>
      <c r="B149" s="29"/>
      <c r="C149" s="29"/>
      <c r="D149" s="29"/>
      <c r="E149" s="29"/>
      <c r="F149" s="29"/>
      <c r="G149" s="37" t="s">
        <v>943</v>
      </c>
      <c r="H149" s="29" t="s">
        <v>4035</v>
      </c>
      <c r="I149" s="638"/>
      <c r="J149" s="635" t="str">
        <f>IF(ISBLANK(HLOOKUP(CaseName,CaseData,MATCH($G149,cases!$G$3:$G$2464,0),FALSE)),"",HLOOKUP(CaseName,CaseData,MATCH($G149,cases!$G$3:$G$2464,0),FALSE))</f>
        <v/>
      </c>
      <c r="K149" s="352">
        <f>L153*L157*L154</f>
        <v>2550000000000000</v>
      </c>
      <c r="L149" s="636">
        <f>IF(ISBLANK(I149),IF(ISNUMBER(J149)=FALSE,K149,J149),I149)</f>
        <v>2550000000000000</v>
      </c>
      <c r="M149" s="36" t="s">
        <v>1496</v>
      </c>
      <c r="N149" s="29"/>
      <c r="O149" s="36"/>
    </row>
    <row r="150" spans="1:15" ht="12.75" customHeight="1" x14ac:dyDescent="0.3">
      <c r="A150" s="36" t="s">
        <v>104</v>
      </c>
      <c r="B150" s="29"/>
      <c r="C150" s="29"/>
      <c r="D150" s="29"/>
      <c r="E150" s="29"/>
      <c r="F150" s="29"/>
      <c r="G150" s="37" t="s">
        <v>942</v>
      </c>
      <c r="H150" s="29" t="s">
        <v>4035</v>
      </c>
      <c r="I150" s="638"/>
      <c r="J150" s="635" t="str">
        <f>IF(ISBLANK(HLOOKUP(CaseName,CaseData,MATCH($G150,cases!$G$3:$G$2464,0),FALSE)),"",HLOOKUP(CaseName,CaseData,MATCH($G150,cases!$G$3:$G$2464,0),FALSE))</f>
        <v/>
      </c>
      <c r="K150" s="352">
        <f>L153*L158*L154</f>
        <v>7.65E+16</v>
      </c>
      <c r="L150" s="636">
        <f>IF(ISBLANK(I150),IF(ISNUMBER(J150)=FALSE,K150,J150),I150)</f>
        <v>7.65E+16</v>
      </c>
      <c r="M150" s="36" t="s">
        <v>1496</v>
      </c>
      <c r="N150" s="29"/>
      <c r="O150" s="36"/>
    </row>
    <row r="151" spans="1:15" ht="12.75" customHeight="1" x14ac:dyDescent="0.3">
      <c r="A151" s="36" t="s">
        <v>734</v>
      </c>
      <c r="B151" s="29"/>
      <c r="C151" s="29"/>
      <c r="D151" s="29"/>
      <c r="E151" s="29"/>
      <c r="F151" s="29"/>
      <c r="G151" s="37" t="s">
        <v>274</v>
      </c>
      <c r="H151" s="29" t="s">
        <v>4035</v>
      </c>
      <c r="I151" s="638"/>
      <c r="J151" s="635" t="str">
        <f>IF(ISBLANK(HLOOKUP(CaseName,CaseData,MATCH($G151,cases!$G$3:$G$2464,0),FALSE)),"",HLOOKUP(CaseName,CaseData,MATCH($G151,cases!$G$3:$G$2464,0),FALSE))</f>
        <v/>
      </c>
      <c r="K151" s="352">
        <f>L153*L159*L154</f>
        <v>765000000000</v>
      </c>
      <c r="L151" s="636">
        <f>IF(ISBLANK(I151),IF(ISNUMBER(J151)=FALSE,K151,J151),I151)</f>
        <v>765000000000</v>
      </c>
      <c r="M151" s="36" t="s">
        <v>1496</v>
      </c>
      <c r="N151" s="29"/>
      <c r="O151" s="36"/>
    </row>
    <row r="152" spans="1:15" ht="12.75" customHeight="1" x14ac:dyDescent="0.3">
      <c r="A152" s="36" t="s">
        <v>735</v>
      </c>
      <c r="B152" s="29"/>
      <c r="C152" s="29"/>
      <c r="D152" s="29"/>
      <c r="E152" s="29"/>
      <c r="F152" s="29"/>
      <c r="G152" s="37" t="s">
        <v>275</v>
      </c>
      <c r="H152" s="29" t="s">
        <v>4035</v>
      </c>
      <c r="I152" s="638"/>
      <c r="J152" s="635" t="str">
        <f>IF(ISBLANK(HLOOKUP(CaseName,CaseData,MATCH($G152,cases!$G$3:$G$2464,0),FALSE)),"",HLOOKUP(CaseName,CaseData,MATCH($G152,cases!$G$3:$G$2464,0),FALSE))</f>
        <v/>
      </c>
      <c r="K152" s="352">
        <f>L153*L155*L160</f>
        <v>850000000000</v>
      </c>
      <c r="L152" s="636">
        <f>IF(ISBLANK(I152),IF(ISNUMBER(J152)=FALSE,K152,J152),I152)</f>
        <v>850000000000</v>
      </c>
      <c r="M152" s="36" t="s">
        <v>1496</v>
      </c>
      <c r="N152" s="29"/>
      <c r="O152" s="36"/>
    </row>
    <row r="153" spans="1:15" ht="12.75" customHeight="1" x14ac:dyDescent="0.3">
      <c r="A153" s="29"/>
      <c r="B153" s="36" t="s">
        <v>1019</v>
      </c>
      <c r="C153" s="29"/>
      <c r="D153" s="29"/>
      <c r="E153" s="29"/>
      <c r="F153" s="29"/>
      <c r="G153" s="37" t="s">
        <v>276</v>
      </c>
      <c r="H153" s="29" t="s">
        <v>4036</v>
      </c>
      <c r="I153" s="639"/>
      <c r="J153" s="635" t="str">
        <f>IF(ISBLANK(HLOOKUP(CaseName,CaseData,MATCH($G153,cases!$G$3:$G$2464,0),FALSE)),"",HLOOKUP(CaseName,CaseData,MATCH($G153,cases!$G$3:$G$2464,0),FALSE))</f>
        <v/>
      </c>
      <c r="K153" s="352">
        <v>42500000</v>
      </c>
      <c r="L153" s="636">
        <f>IF(ISBLANK(I153),IF(ISNUMBER(J153)=FALSE,K153*1000000,J153*1000000),I153*1000000)</f>
        <v>42500000000000</v>
      </c>
      <c r="M153" s="36" t="s">
        <v>1492</v>
      </c>
      <c r="N153" s="29"/>
      <c r="O153" s="36"/>
    </row>
    <row r="154" spans="1:15" ht="12.75" customHeight="1" x14ac:dyDescent="0.3">
      <c r="A154" s="29"/>
      <c r="B154" s="36" t="s">
        <v>3992</v>
      </c>
      <c r="C154" s="29"/>
      <c r="D154" s="29"/>
      <c r="E154" s="29"/>
      <c r="F154" s="29"/>
      <c r="G154" s="94" t="s">
        <v>18</v>
      </c>
      <c r="H154" s="29" t="s">
        <v>36</v>
      </c>
      <c r="I154" s="638"/>
      <c r="J154" s="635" t="str">
        <f>IF(ISBLANK(HLOOKUP(CaseName,CaseData,MATCH($G154,cases!$G$3:$G$2464,0),FALSE)),"",HLOOKUP(CaseName,CaseData,MATCH($G154,cases!$G$3:$G$2464,0),FALSE))</f>
        <v/>
      </c>
      <c r="K154" s="352">
        <v>0.6</v>
      </c>
      <c r="L154" s="636">
        <f>IF(ISBLANK(I154),IF(ISNUMBER(J154)=FALSE,K154,J154),I154)</f>
        <v>0.6</v>
      </c>
      <c r="M154" s="29" t="s">
        <v>486</v>
      </c>
      <c r="N154" s="29"/>
      <c r="O154" s="36"/>
    </row>
    <row r="155" spans="1:15" ht="12.75" customHeight="1" x14ac:dyDescent="0.3">
      <c r="A155" s="29"/>
      <c r="B155" s="36" t="s">
        <v>3993</v>
      </c>
      <c r="C155" s="29"/>
      <c r="D155" s="29"/>
      <c r="E155" s="29"/>
      <c r="F155" s="29"/>
      <c r="G155" s="94" t="s">
        <v>19</v>
      </c>
      <c r="H155" s="29" t="s">
        <v>36</v>
      </c>
      <c r="I155" s="638"/>
      <c r="J155" s="635" t="str">
        <f>IF(ISBLANK(HLOOKUP(CaseName,CaseData,MATCH($G155,cases!$G$3:$G$2464,0),FALSE)),"",HLOOKUP(CaseName,CaseData,MATCH($G155,cases!$G$3:$G$2464,0),FALSE))</f>
        <v/>
      </c>
      <c r="K155" s="352">
        <f>1-L154</f>
        <v>0.4</v>
      </c>
      <c r="L155" s="636">
        <f>IF(ISBLANK(I155),IF(ISNUMBER(J155)=FALSE,K155,J155),I155)</f>
        <v>0.4</v>
      </c>
      <c r="M155" s="29" t="s">
        <v>486</v>
      </c>
      <c r="N155" s="29"/>
      <c r="O155" s="36"/>
    </row>
    <row r="156" spans="1:15" ht="12.75" customHeight="1" x14ac:dyDescent="0.3">
      <c r="A156" s="29"/>
      <c r="B156" s="29"/>
      <c r="C156" s="36" t="s">
        <v>767</v>
      </c>
      <c r="D156" s="29"/>
      <c r="E156" s="29"/>
      <c r="F156" s="29"/>
      <c r="G156" s="94" t="s">
        <v>20</v>
      </c>
      <c r="H156" s="36" t="s">
        <v>719</v>
      </c>
      <c r="I156" s="638"/>
      <c r="J156" s="635" t="str">
        <f>IF(ISBLANK(HLOOKUP(CaseName,CaseData,MATCH($G156,cases!$G$3:$G$2464,0),FALSE)),"",HLOOKUP(CaseName,CaseData,MATCH($G156,cases!$G$3:$G$2464,0),FALSE))</f>
        <v/>
      </c>
      <c r="K156" s="352">
        <v>1000</v>
      </c>
      <c r="L156" s="636">
        <f>IF(ISBLANK(I156),IF(ISNUMBER(J156)=FALSE,K156,J156),I156)</f>
        <v>1000</v>
      </c>
      <c r="M156" s="36" t="s">
        <v>720</v>
      </c>
      <c r="N156" s="29"/>
      <c r="O156" s="36"/>
    </row>
    <row r="157" spans="1:15" ht="12.75" customHeight="1" x14ac:dyDescent="0.3">
      <c r="A157" s="29"/>
      <c r="B157" s="29"/>
      <c r="C157" s="36" t="s">
        <v>106</v>
      </c>
      <c r="D157" s="29"/>
      <c r="E157" s="29"/>
      <c r="F157" s="29"/>
      <c r="G157" s="94" t="s">
        <v>950</v>
      </c>
      <c r="H157" s="36" t="s">
        <v>719</v>
      </c>
      <c r="I157" s="639"/>
      <c r="J157" s="635" t="str">
        <f>IF(ISBLANK(HLOOKUP(CaseName,CaseData,MATCH($G157,cases!$G$3:$G$2464,0),FALSE)),"",HLOOKUP(CaseName,CaseData,MATCH($G157,cases!$G$3:$G$2464,0),FALSE))</f>
        <v/>
      </c>
      <c r="K157" s="352">
        <v>100</v>
      </c>
      <c r="L157" s="636">
        <f>IF(ISBLANK(I157),IF(ISNUMBER(J157)=FALSE,K157,J157),I157)</f>
        <v>100</v>
      </c>
      <c r="M157" s="36" t="s">
        <v>720</v>
      </c>
      <c r="N157" s="29"/>
      <c r="O157" s="36"/>
    </row>
    <row r="158" spans="1:15" ht="12.75" customHeight="1" x14ac:dyDescent="0.3">
      <c r="A158" s="29"/>
      <c r="B158" s="29"/>
      <c r="C158" s="36" t="s">
        <v>105</v>
      </c>
      <c r="D158" s="29"/>
      <c r="E158" s="29"/>
      <c r="F158" s="29"/>
      <c r="G158" s="94" t="s">
        <v>951</v>
      </c>
      <c r="H158" s="36" t="s">
        <v>719</v>
      </c>
      <c r="I158" s="639"/>
      <c r="J158" s="635" t="str">
        <f>IF(ISBLANK(HLOOKUP(CaseName,CaseData,MATCH($G158,cases!$G$3:$G$2464,0),FALSE)),"",HLOOKUP(CaseName,CaseData,MATCH($G158,cases!$G$3:$G$2464,0),FALSE))</f>
        <v/>
      </c>
      <c r="K158" s="352">
        <v>3000</v>
      </c>
      <c r="L158" s="636">
        <f>IF(ISBLANK(I158),IF(ISNUMBER(J158)=FALSE,K158,J158),I158)</f>
        <v>3000</v>
      </c>
      <c r="M158" s="36" t="s">
        <v>720</v>
      </c>
      <c r="N158" s="29"/>
      <c r="O158" s="36"/>
    </row>
    <row r="159" spans="1:15" ht="12.75" customHeight="1" x14ac:dyDescent="0.3">
      <c r="A159" s="29"/>
      <c r="B159" s="29"/>
      <c r="C159" s="36" t="s">
        <v>1053</v>
      </c>
      <c r="D159" s="29"/>
      <c r="E159" s="29"/>
      <c r="F159" s="29"/>
      <c r="G159" s="94" t="s">
        <v>21</v>
      </c>
      <c r="H159" s="36" t="s">
        <v>721</v>
      </c>
      <c r="I159" s="638"/>
      <c r="J159" s="635" t="str">
        <f>IF(ISBLANK(HLOOKUP(CaseName,CaseData,MATCH($G159,cases!$G$3:$G$2464,0),FALSE)),"",HLOOKUP(CaseName,CaseData,MATCH($G159,cases!$G$3:$G$2464,0),FALSE))</f>
        <v/>
      </c>
      <c r="K159" s="352">
        <v>3</v>
      </c>
      <c r="L159" s="636">
        <f>IF(ISBLANK(I159),IF(ISNUMBER(J159)=FALSE,K159/100,J159/100),I159/100)</f>
        <v>0.03</v>
      </c>
      <c r="M159" s="36" t="s">
        <v>720</v>
      </c>
      <c r="N159" s="29"/>
      <c r="O159" s="36"/>
    </row>
    <row r="160" spans="1:15" ht="12.75" customHeight="1" x14ac:dyDescent="0.3">
      <c r="A160" s="36"/>
      <c r="B160" s="29"/>
      <c r="C160" s="36" t="s">
        <v>3994</v>
      </c>
      <c r="D160" s="95"/>
      <c r="E160" s="95"/>
      <c r="F160" s="95"/>
      <c r="G160" s="94" t="s">
        <v>22</v>
      </c>
      <c r="H160" s="36" t="s">
        <v>719</v>
      </c>
      <c r="I160" s="634"/>
      <c r="J160" s="635" t="str">
        <f>IF(ISBLANK(HLOOKUP(CaseName,CaseData,MATCH($G160,cases!$G$3:$G$2464,0),FALSE)),"",HLOOKUP(CaseName,CaseData,MATCH($G160,cases!$G$3:$G$2464,0),FALSE))</f>
        <v/>
      </c>
      <c r="K160" s="352">
        <v>0.05</v>
      </c>
      <c r="L160" s="636">
        <f t="shared" ref="L160:L167" si="8">IF(ISBLANK(I160),IF(ISNUMBER(J160)=FALSE,K160,J160),I160)</f>
        <v>0.05</v>
      </c>
      <c r="M160" s="29" t="s">
        <v>720</v>
      </c>
      <c r="N160" s="29"/>
      <c r="O160" s="36"/>
    </row>
    <row r="161" spans="1:15" ht="12.75" customHeight="1" x14ac:dyDescent="0.3">
      <c r="A161" s="29"/>
      <c r="B161" s="29"/>
      <c r="C161" s="29" t="s">
        <v>216</v>
      </c>
      <c r="D161" s="29"/>
      <c r="E161" s="29"/>
      <c r="F161" s="29"/>
      <c r="G161" s="36" t="s">
        <v>4017</v>
      </c>
      <c r="H161" s="36" t="s">
        <v>722</v>
      </c>
      <c r="I161" s="638"/>
      <c r="J161" s="635" t="str">
        <f>IF(ISBLANK(HLOOKUP(CaseName,CaseData,MATCH($G161,cases!$G$3:$G$2464,0),FALSE)),"",HLOOKUP(CaseName,CaseData,MATCH($G161,cases!$G$3:$G$2464,0),FALSE))</f>
        <v/>
      </c>
      <c r="K161" s="352">
        <v>1.9999999999999999E-11</v>
      </c>
      <c r="L161" s="636">
        <f t="shared" si="8"/>
        <v>1.9999999999999999E-11</v>
      </c>
      <c r="M161" s="36" t="s">
        <v>486</v>
      </c>
      <c r="N161" s="29" t="s">
        <v>2184</v>
      </c>
      <c r="O161" s="36"/>
    </row>
    <row r="162" spans="1:15" ht="12.75" customHeight="1" x14ac:dyDescent="0.3">
      <c r="A162" s="29"/>
      <c r="B162" s="29"/>
      <c r="C162" s="29" t="s">
        <v>217</v>
      </c>
      <c r="D162" s="29"/>
      <c r="E162" s="29"/>
      <c r="F162" s="29"/>
      <c r="G162" s="36" t="s">
        <v>4018</v>
      </c>
      <c r="H162" s="36" t="s">
        <v>722</v>
      </c>
      <c r="I162" s="638"/>
      <c r="J162" s="635" t="str">
        <f>IF(ISBLANK(HLOOKUP(CaseName,CaseData,MATCH($G162,cases!$G$3:$G$2464,0),FALSE)),"",HLOOKUP(CaseName,CaseData,MATCH($G162,cases!$G$3:$G$2464,0),FALSE))</f>
        <v/>
      </c>
      <c r="K162" s="352">
        <v>1.9999999999999999E-11</v>
      </c>
      <c r="L162" s="636">
        <f t="shared" si="8"/>
        <v>1.9999999999999999E-11</v>
      </c>
      <c r="M162" s="36" t="s">
        <v>486</v>
      </c>
      <c r="N162" s="29" t="s">
        <v>2184</v>
      </c>
      <c r="O162" s="36"/>
    </row>
    <row r="163" spans="1:15" ht="12.75" customHeight="1" x14ac:dyDescent="0.3">
      <c r="A163" s="29"/>
      <c r="B163" s="29"/>
      <c r="C163" s="36" t="s">
        <v>1054</v>
      </c>
      <c r="D163" s="95"/>
      <c r="E163" s="95"/>
      <c r="F163" s="95"/>
      <c r="G163" s="94" t="s">
        <v>474</v>
      </c>
      <c r="H163" s="36" t="s">
        <v>722</v>
      </c>
      <c r="I163" s="638"/>
      <c r="J163" s="635" t="str">
        <f>IF(ISBLANK(HLOOKUP(CaseName,CaseData,MATCH($G163,cases!$G$3:$G$2464,0),FALSE)),"",HLOOKUP(CaseName,CaseData,MATCH($G163,cases!$G$3:$G$2464,0),FALSE))</f>
        <v/>
      </c>
      <c r="K163" s="352">
        <v>0.2</v>
      </c>
      <c r="L163" s="636">
        <f t="shared" si="8"/>
        <v>0.2</v>
      </c>
      <c r="M163" s="29" t="s">
        <v>486</v>
      </c>
      <c r="N163" s="29"/>
      <c r="O163" s="36"/>
    </row>
    <row r="164" spans="1:15" ht="12.75" customHeight="1" x14ac:dyDescent="0.3">
      <c r="A164" s="29"/>
      <c r="B164" s="29"/>
      <c r="C164" s="36" t="s">
        <v>1055</v>
      </c>
      <c r="D164" s="29"/>
      <c r="E164" s="29"/>
      <c r="F164" s="29"/>
      <c r="G164" s="94" t="s">
        <v>1304</v>
      </c>
      <c r="H164" s="36" t="s">
        <v>722</v>
      </c>
      <c r="I164" s="638"/>
      <c r="J164" s="635" t="str">
        <f>IF(ISBLANK(HLOOKUP(CaseName,CaseData,MATCH($G164,cases!$G$3:$G$2464,0),FALSE)),"",HLOOKUP(CaseName,CaseData,MATCH($G164,cases!$G$3:$G$2464,0),FALSE))</f>
        <v/>
      </c>
      <c r="K164" s="352">
        <v>0.2</v>
      </c>
      <c r="L164" s="636">
        <f t="shared" si="8"/>
        <v>0.2</v>
      </c>
      <c r="M164" s="29" t="s">
        <v>486</v>
      </c>
      <c r="N164" s="29"/>
      <c r="O164" s="36"/>
    </row>
    <row r="165" spans="1:15" ht="12.75" customHeight="1" x14ac:dyDescent="0.3">
      <c r="A165" s="29"/>
      <c r="B165" s="29"/>
      <c r="C165" s="36" t="s">
        <v>1056</v>
      </c>
      <c r="D165" s="29"/>
      <c r="E165" s="29"/>
      <c r="F165" s="29"/>
      <c r="G165" s="94" t="s">
        <v>1305</v>
      </c>
      <c r="H165" s="36" t="s">
        <v>722</v>
      </c>
      <c r="I165" s="638"/>
      <c r="J165" s="635" t="str">
        <f>IF(ISBLANK(HLOOKUP(CaseName,CaseData,MATCH($G165,cases!$G$3:$G$2464,0),FALSE)),"",HLOOKUP(CaseName,CaseData,MATCH($G165,cases!$G$3:$G$2464,0),FALSE))</f>
        <v/>
      </c>
      <c r="K165" s="352">
        <f>1-L163-L164</f>
        <v>0.60000000000000009</v>
      </c>
      <c r="L165" s="636">
        <f t="shared" si="8"/>
        <v>0.60000000000000009</v>
      </c>
      <c r="M165" s="29" t="s">
        <v>486</v>
      </c>
      <c r="N165" s="29"/>
      <c r="O165" s="36"/>
    </row>
    <row r="166" spans="1:15" ht="12.75" customHeight="1" x14ac:dyDescent="0.3">
      <c r="A166" s="36"/>
      <c r="B166" s="29"/>
      <c r="C166" s="36" t="s">
        <v>434</v>
      </c>
      <c r="D166" s="95"/>
      <c r="E166" s="95"/>
      <c r="F166" s="95"/>
      <c r="G166" s="94" t="s">
        <v>1306</v>
      </c>
      <c r="H166" s="36" t="s">
        <v>722</v>
      </c>
      <c r="I166" s="638"/>
      <c r="J166" s="635" t="str">
        <f>IF(ISBLANK(HLOOKUP(CaseName,CaseData,MATCH($G166,cases!$G$3:$G$2464,0),FALSE)),"",HLOOKUP(CaseName,CaseData,MATCH($G166,cases!$G$3:$G$2464,0),FALSE))</f>
        <v/>
      </c>
      <c r="K166" s="352">
        <v>0.8</v>
      </c>
      <c r="L166" s="636">
        <f t="shared" si="8"/>
        <v>0.8</v>
      </c>
      <c r="M166" s="36" t="s">
        <v>486</v>
      </c>
      <c r="N166" s="29"/>
      <c r="O166" s="36"/>
    </row>
    <row r="167" spans="1:15" ht="12.75" customHeight="1" x14ac:dyDescent="0.3">
      <c r="A167" s="36"/>
      <c r="B167" s="29"/>
      <c r="C167" s="36" t="s">
        <v>475</v>
      </c>
      <c r="D167" s="95"/>
      <c r="E167" s="95"/>
      <c r="F167" s="95"/>
      <c r="G167" s="94" t="s">
        <v>476</v>
      </c>
      <c r="H167" s="36" t="s">
        <v>722</v>
      </c>
      <c r="I167" s="638"/>
      <c r="J167" s="635" t="str">
        <f>IF(ISBLANK(HLOOKUP(CaseName,CaseData,MATCH($G167,cases!$G$3:$G$2464,0),FALSE)),"",HLOOKUP(CaseName,CaseData,MATCH($G167,cases!$G$3:$G$2464,0),FALSE))</f>
        <v/>
      </c>
      <c r="K167" s="352">
        <f>1-L166</f>
        <v>0.19999999999999996</v>
      </c>
      <c r="L167" s="636">
        <f t="shared" si="8"/>
        <v>0.19999999999999996</v>
      </c>
      <c r="M167" s="36" t="s">
        <v>486</v>
      </c>
      <c r="N167" s="29"/>
      <c r="O167" s="36"/>
    </row>
    <row r="168" spans="1:15" ht="12.75" customHeight="1" x14ac:dyDescent="0.3">
      <c r="A168" s="29"/>
      <c r="B168" s="29"/>
      <c r="C168" s="29"/>
      <c r="D168" s="29"/>
      <c r="E168" s="29"/>
      <c r="F168" s="29"/>
      <c r="G168" s="29"/>
      <c r="H168" s="29"/>
      <c r="I168" s="648"/>
      <c r="J168" s="635"/>
      <c r="K168" s="339"/>
      <c r="L168" s="339"/>
      <c r="M168" s="29"/>
      <c r="N168" s="29"/>
      <c r="O168" s="36"/>
    </row>
    <row r="169" spans="1:15" ht="12.75" customHeight="1" x14ac:dyDescent="0.3">
      <c r="A169" s="36" t="s">
        <v>100</v>
      </c>
      <c r="B169" s="29"/>
      <c r="C169" s="29"/>
      <c r="D169" s="29"/>
      <c r="E169" s="29"/>
      <c r="F169" s="29"/>
      <c r="G169" s="36" t="s">
        <v>1258</v>
      </c>
      <c r="H169" s="36" t="s">
        <v>4037</v>
      </c>
      <c r="I169" s="639"/>
      <c r="J169" s="635" t="str">
        <f>IF(ISBLANK(HLOOKUP(CaseName,CaseData,MATCH($G169,cases!$G$3:$G$2464,0),FALSE)),"",HLOOKUP(CaseName,CaseData,MATCH($G169,cases!$G$3:$G$2464,0),FALSE))</f>
        <v/>
      </c>
      <c r="K169" s="352">
        <f>1/L170</f>
        <v>6.9234185224561193E-7</v>
      </c>
      <c r="L169" s="636">
        <f>IF(ISBLANK(I169),IF(ISNUMBER(J169)=FALSE,K169,J169),I169)</f>
        <v>6.9234185224561193E-7</v>
      </c>
      <c r="M169" s="29" t="s">
        <v>1488</v>
      </c>
      <c r="N169" s="29"/>
      <c r="O169" s="36"/>
    </row>
    <row r="170" spans="1:15" ht="12.75" customHeight="1" x14ac:dyDescent="0.3">
      <c r="A170" s="36"/>
      <c r="B170" s="36" t="s">
        <v>544</v>
      </c>
      <c r="C170" s="29"/>
      <c r="D170" s="29"/>
      <c r="E170" s="29"/>
      <c r="F170" s="29"/>
      <c r="G170" s="37" t="s">
        <v>406</v>
      </c>
      <c r="H170" s="29" t="s">
        <v>723</v>
      </c>
      <c r="I170" s="638"/>
      <c r="J170" s="635" t="str">
        <f>IF(ISBLANK(HLOOKUP(CaseName,CaseData,MATCH($G170,cases!$G$3:$G$2464,0),FALSE)),"",HLOOKUP(CaseName,CaseData,MATCH($G170,cases!$G$3:$G$2464,0),FALSE))</f>
        <v/>
      </c>
      <c r="K170" s="352">
        <f>1.5*(0.5*SQRT(L153*PI()/4)/L234)/(3600*24)</f>
        <v>16.717282129534052</v>
      </c>
      <c r="L170" s="636">
        <f>IF(ISBLANK(I170),IF(ISNUMBER(J170)=FALSE,K170*(3600*24),J170*(3600*24)),I170*(3600*24))</f>
        <v>1444373.1759917422</v>
      </c>
      <c r="M170" s="36" t="s">
        <v>115</v>
      </c>
      <c r="N170" s="29"/>
      <c r="O170" s="36"/>
    </row>
    <row r="171" spans="1:15" ht="12.75" customHeight="1" x14ac:dyDescent="0.3">
      <c r="A171" s="29"/>
      <c r="B171" s="29"/>
      <c r="C171" s="29"/>
      <c r="D171" s="29"/>
      <c r="E171" s="29"/>
      <c r="F171" s="29"/>
      <c r="G171" s="29"/>
      <c r="H171" s="29"/>
      <c r="I171" s="648"/>
      <c r="J171" s="635"/>
      <c r="K171" s="339"/>
      <c r="L171" s="339"/>
      <c r="M171" s="29"/>
      <c r="N171" s="29"/>
      <c r="O171" s="36"/>
    </row>
    <row r="172" spans="1:15" ht="12.75" customHeight="1" x14ac:dyDescent="0.3">
      <c r="A172" s="36" t="s">
        <v>1146</v>
      </c>
      <c r="B172" s="29"/>
      <c r="C172" s="29"/>
      <c r="D172" s="29"/>
      <c r="E172" s="29"/>
      <c r="F172" s="29"/>
      <c r="G172" s="36" t="s">
        <v>1257</v>
      </c>
      <c r="H172" s="36" t="s">
        <v>4037</v>
      </c>
      <c r="I172" s="639"/>
      <c r="J172" s="635" t="str">
        <f>IF(ISBLANK(HLOOKUP(CaseName,CaseData,MATCH($G172,cases!$G$3:$G$2464,0),FALSE)),"",HLOOKUP(CaseName,CaseData,MATCH($G172,cases!$G$3:$G$2464,0),FALSE))</f>
        <v/>
      </c>
      <c r="K172" s="641">
        <f>L174/L149</f>
        <v>0</v>
      </c>
      <c r="L172" s="636">
        <f t="shared" ref="L172:L177" si="9">IF(ISBLANK(I172),IF(ISNUMBER(J172)=FALSE,K172,J172),I172)</f>
        <v>0</v>
      </c>
      <c r="M172" s="29" t="s">
        <v>1488</v>
      </c>
      <c r="N172" s="29"/>
      <c r="O172" s="36"/>
    </row>
    <row r="173" spans="1:15" ht="12.75" customHeight="1" x14ac:dyDescent="0.3">
      <c r="A173" s="36" t="s">
        <v>1145</v>
      </c>
      <c r="B173" s="29"/>
      <c r="C173" s="29"/>
      <c r="D173" s="29"/>
      <c r="E173" s="29"/>
      <c r="F173" s="29"/>
      <c r="G173" s="36" t="s">
        <v>1115</v>
      </c>
      <c r="H173" s="36" t="s">
        <v>4037</v>
      </c>
      <c r="I173" s="639"/>
      <c r="J173" s="635" t="str">
        <f>IF(ISBLANK(HLOOKUP(CaseName,CaseData,MATCH($G173,cases!$G$3:$G$2464,0),FALSE)),"",HLOOKUP(CaseName,CaseData,MATCH($G173,cases!$G$3:$G$2464,0),FALSE))</f>
        <v/>
      </c>
      <c r="K173" s="641">
        <f>L38/L150</f>
        <v>1.9607843137254903E-9</v>
      </c>
      <c r="L173" s="636">
        <f t="shared" si="9"/>
        <v>1.9607843137254903E-9</v>
      </c>
      <c r="M173" s="29" t="s">
        <v>1488</v>
      </c>
      <c r="N173" s="29"/>
      <c r="O173" s="36"/>
    </row>
    <row r="174" spans="1:15" ht="12.75" customHeight="1" x14ac:dyDescent="0.3">
      <c r="A174" s="36"/>
      <c r="B174" s="36" t="s">
        <v>545</v>
      </c>
      <c r="C174" s="29"/>
      <c r="D174" s="29"/>
      <c r="E174" s="29"/>
      <c r="F174" s="29"/>
      <c r="G174" s="94" t="s">
        <v>1282</v>
      </c>
      <c r="H174" s="29" t="s">
        <v>4038</v>
      </c>
      <c r="I174" s="638"/>
      <c r="J174" s="635" t="str">
        <f>IF(ISBLANK(HLOOKUP(CaseName,CaseData,MATCH($G174,cases!$G$3:$G$2464,0),FALSE)),"",HLOOKUP(CaseName,CaseData,MATCH($G174,cases!$G$3:$G$2464,0),FALSE))</f>
        <v/>
      </c>
      <c r="K174" s="641">
        <f>0</f>
        <v>0</v>
      </c>
      <c r="L174" s="636">
        <f t="shared" si="9"/>
        <v>0</v>
      </c>
      <c r="M174" s="29" t="s">
        <v>4039</v>
      </c>
      <c r="N174" s="29"/>
      <c r="O174" s="36"/>
    </row>
    <row r="175" spans="1:15" ht="12.75" customHeight="1" x14ac:dyDescent="0.3">
      <c r="A175" s="36" t="s">
        <v>129</v>
      </c>
      <c r="B175" s="29"/>
      <c r="C175" s="29"/>
      <c r="D175" s="29"/>
      <c r="E175" s="29"/>
      <c r="F175" s="29"/>
      <c r="G175" s="36" t="s">
        <v>127</v>
      </c>
      <c r="H175" s="36" t="s">
        <v>4037</v>
      </c>
      <c r="I175" s="638"/>
      <c r="J175" s="635" t="str">
        <f>IF(ISBLANK(HLOOKUP(CaseName,CaseData,MATCH($G175,cases!$G$3:$G$2464,0),FALSE)),"",HLOOKUP(CaseName,CaseData,MATCH($G175,cases!$G$3:$G$2464,0),FALSE))</f>
        <v/>
      </c>
      <c r="K175" s="641">
        <f>(L38+L177)/L149</f>
        <v>2.6926123984947511E-7</v>
      </c>
      <c r="L175" s="636">
        <f t="shared" si="9"/>
        <v>2.6926123984947511E-7</v>
      </c>
      <c r="M175" s="29" t="s">
        <v>1488</v>
      </c>
      <c r="N175" s="29"/>
      <c r="O175" s="36"/>
    </row>
    <row r="176" spans="1:15" ht="12.75" customHeight="1" x14ac:dyDescent="0.3">
      <c r="A176" s="36" t="s">
        <v>130</v>
      </c>
      <c r="B176" s="29"/>
      <c r="C176" s="29"/>
      <c r="D176" s="29"/>
      <c r="E176" s="29"/>
      <c r="F176" s="29"/>
      <c r="G176" s="36" t="s">
        <v>128</v>
      </c>
      <c r="H176" s="36" t="s">
        <v>4037</v>
      </c>
      <c r="I176" s="639"/>
      <c r="J176" s="635" t="str">
        <f>IF(ISBLANK(HLOOKUP(CaseName,CaseData,MATCH($G176,cases!$G$3:$G$2464,0),FALSE)),"",HLOOKUP(CaseName,CaseData,MATCH($G176,cases!$G$3:$G$2464,0),FALSE))</f>
        <v/>
      </c>
      <c r="K176" s="641">
        <f>(L38+L177)/L150</f>
        <v>8.9753746616491718E-9</v>
      </c>
      <c r="L176" s="636">
        <f t="shared" si="9"/>
        <v>8.9753746616491718E-9</v>
      </c>
      <c r="M176" s="29" t="s">
        <v>1488</v>
      </c>
      <c r="N176" s="29"/>
      <c r="O176" s="36"/>
    </row>
    <row r="177" spans="1:15" ht="12.75" customHeight="1" x14ac:dyDescent="0.3">
      <c r="A177" s="36"/>
      <c r="B177" s="29" t="s">
        <v>693</v>
      </c>
      <c r="C177" s="29"/>
      <c r="D177" s="29"/>
      <c r="E177" s="29"/>
      <c r="F177" s="29"/>
      <c r="G177" s="37" t="s">
        <v>1281</v>
      </c>
      <c r="H177" s="29" t="s">
        <v>4038</v>
      </c>
      <c r="I177" s="639"/>
      <c r="J177" s="635" t="str">
        <f>IF(ISBLANK(HLOOKUP(CaseName,CaseData,MATCH($G177,cases!$G$3:$G$2464,0),FALSE)),"",HLOOKUP(CaseName,CaseData,MATCH($G177,cases!$G$3:$G$2464,0),FALSE))</f>
        <v/>
      </c>
      <c r="K177" s="349">
        <f>L149/L178</f>
        <v>536616161.61616164</v>
      </c>
      <c r="L177" s="636">
        <f t="shared" si="9"/>
        <v>536616161.61616164</v>
      </c>
      <c r="M177" s="29" t="s">
        <v>4039</v>
      </c>
      <c r="N177" s="29"/>
      <c r="O177" s="36"/>
    </row>
    <row r="178" spans="1:15" ht="12.75" customHeight="1" x14ac:dyDescent="0.3">
      <c r="A178" s="36"/>
      <c r="B178" s="36"/>
      <c r="C178" s="29" t="s">
        <v>1218</v>
      </c>
      <c r="D178" s="29"/>
      <c r="E178" s="29"/>
      <c r="F178" s="29"/>
      <c r="G178" s="37" t="s">
        <v>806</v>
      </c>
      <c r="H178" s="29" t="s">
        <v>723</v>
      </c>
      <c r="I178" s="639"/>
      <c r="J178" s="635" t="str">
        <f>IF(ISBLANK(HLOOKUP(CaseName,CaseData,MATCH($G178,cases!$G$3:$G$2464,0),FALSE)),"",HLOOKUP(CaseName,CaseData,MATCH($G178,cases!$G$3:$G$2464,0),FALSE))</f>
        <v/>
      </c>
      <c r="K178" s="352">
        <v>55</v>
      </c>
      <c r="L178" s="636">
        <f>IF(ISBLANK(I178),IF(ISNUMBER(J178)=FALSE,K178*(3600*24),J178*(3600*24)),I178*(3600*24))</f>
        <v>4752000</v>
      </c>
      <c r="M178" s="36" t="s">
        <v>115</v>
      </c>
      <c r="N178" s="29"/>
      <c r="O178" s="36"/>
    </row>
    <row r="179" spans="1:15" ht="12.75" customHeight="1" x14ac:dyDescent="0.3">
      <c r="A179" s="29"/>
      <c r="B179" s="29"/>
      <c r="C179" s="29"/>
      <c r="D179" s="29"/>
      <c r="E179" s="29"/>
      <c r="F179" s="29"/>
      <c r="G179" s="29"/>
      <c r="H179" s="29"/>
      <c r="I179" s="353"/>
      <c r="J179" s="353"/>
      <c r="K179" s="353"/>
      <c r="L179" s="339"/>
      <c r="M179" s="29"/>
      <c r="N179" s="29"/>
      <c r="O179" s="36"/>
    </row>
    <row r="180" spans="1:15" ht="12.75" customHeight="1" x14ac:dyDescent="0.3">
      <c r="A180" s="98" t="s">
        <v>209</v>
      </c>
      <c r="B180" s="97"/>
      <c r="C180" s="97"/>
      <c r="D180" s="97"/>
      <c r="E180" s="97"/>
      <c r="F180" s="97"/>
      <c r="G180" s="98" t="s">
        <v>1008</v>
      </c>
      <c r="H180" s="98" t="s">
        <v>968</v>
      </c>
      <c r="I180" s="364" t="s">
        <v>754</v>
      </c>
      <c r="J180" s="340" t="s">
        <v>37</v>
      </c>
      <c r="K180" s="340" t="s">
        <v>753</v>
      </c>
      <c r="L180" s="340" t="s">
        <v>1358</v>
      </c>
      <c r="M180" s="97"/>
      <c r="N180" s="98" t="s">
        <v>1371</v>
      </c>
      <c r="O180" s="36"/>
    </row>
    <row r="181" spans="1:15" ht="12.75" customHeight="1" x14ac:dyDescent="0.3">
      <c r="A181" s="36"/>
      <c r="B181" s="36"/>
      <c r="C181" s="29"/>
      <c r="D181" s="29"/>
      <c r="E181" s="29"/>
      <c r="F181" s="29"/>
      <c r="G181" s="29"/>
      <c r="H181" s="29"/>
      <c r="I181" s="353"/>
      <c r="J181" s="645"/>
      <c r="K181" s="353"/>
      <c r="L181" s="339"/>
      <c r="M181" s="29"/>
      <c r="N181" s="29"/>
      <c r="O181" s="36"/>
    </row>
    <row r="182" spans="1:15" ht="12.75" customHeight="1" x14ac:dyDescent="0.3">
      <c r="A182" s="29"/>
      <c r="B182" s="29" t="s">
        <v>986</v>
      </c>
      <c r="C182" s="29"/>
      <c r="D182" s="29"/>
      <c r="E182" s="29"/>
      <c r="F182" s="29"/>
      <c r="G182" s="36" t="s">
        <v>4019</v>
      </c>
      <c r="H182" s="36" t="s">
        <v>36</v>
      </c>
      <c r="I182" s="638"/>
      <c r="J182" s="635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0.96436534712618549</v>
      </c>
      <c r="L182" s="636">
        <f>IF(ISBLANK(I182),IF(ISNUMBER(J182)=FALSE,K182,J182),I182)</f>
        <v>0.96436534712618549</v>
      </c>
      <c r="M182" s="36" t="s">
        <v>486</v>
      </c>
      <c r="N182" s="36"/>
      <c r="O182" s="36"/>
    </row>
    <row r="183" spans="1:15" ht="12.75" customHeight="1" x14ac:dyDescent="0.3">
      <c r="A183" s="29"/>
      <c r="B183" s="29" t="s">
        <v>615</v>
      </c>
      <c r="C183" s="29"/>
      <c r="D183" s="29"/>
      <c r="E183" s="29"/>
      <c r="F183" s="29"/>
      <c r="G183" s="36" t="s">
        <v>639</v>
      </c>
      <c r="H183" s="36" t="s">
        <v>36</v>
      </c>
      <c r="I183" s="638"/>
      <c r="J183" s="635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1.2386888961088596E-2</v>
      </c>
      <c r="L183" s="636">
        <f>IF(ISBLANK(I183),IF(ISNUMBER(J183)=FALSE,K183,J183),I183)</f>
        <v>1.2386888961088596E-2</v>
      </c>
      <c r="M183" s="36" t="s">
        <v>486</v>
      </c>
      <c r="N183" s="36" t="s">
        <v>2185</v>
      </c>
      <c r="O183" s="36"/>
    </row>
    <row r="184" spans="1:15" ht="12.75" customHeight="1" x14ac:dyDescent="0.3">
      <c r="A184" s="29"/>
      <c r="B184" s="29" t="s">
        <v>616</v>
      </c>
      <c r="C184" s="29"/>
      <c r="D184" s="29"/>
      <c r="E184" s="29"/>
      <c r="F184" s="29"/>
      <c r="G184" s="36" t="s">
        <v>640</v>
      </c>
      <c r="H184" s="36" t="s">
        <v>36</v>
      </c>
      <c r="I184" s="638"/>
      <c r="J184" s="635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2.3247763912725882E-2</v>
      </c>
      <c r="L184" s="636">
        <f>IF(ISBLANK(I184),IF(ISNUMBER(J184)=FALSE,K184,J184),I184)</f>
        <v>2.3247763912725882E-2</v>
      </c>
      <c r="M184" s="36" t="s">
        <v>486</v>
      </c>
      <c r="N184" s="36" t="s">
        <v>2185</v>
      </c>
      <c r="O184" s="36"/>
    </row>
    <row r="185" spans="1:15" ht="12.75" customHeight="1" x14ac:dyDescent="0.3">
      <c r="A185" s="29"/>
      <c r="B185" s="29"/>
      <c r="C185" s="36" t="s">
        <v>1043</v>
      </c>
      <c r="D185" s="36"/>
      <c r="E185" s="36"/>
      <c r="F185" s="36"/>
      <c r="G185" s="36" t="s">
        <v>4020</v>
      </c>
      <c r="H185" s="36" t="s">
        <v>36</v>
      </c>
      <c r="I185" s="638"/>
      <c r="J185" s="635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1.557074866700018E-9</v>
      </c>
      <c r="L185" s="636">
        <f>IF(ISBLANK(I185),IF(ISNUMBER(J185)=FALSE,K185,J185),I185)</f>
        <v>1.557074866700018E-9</v>
      </c>
      <c r="M185" s="36" t="s">
        <v>486</v>
      </c>
      <c r="N185" s="29"/>
      <c r="O185" s="36"/>
    </row>
    <row r="186" spans="1:15" ht="12.75" customHeight="1" x14ac:dyDescent="0.3">
      <c r="A186" s="36"/>
      <c r="B186" s="29"/>
      <c r="C186" s="29" t="s">
        <v>1017</v>
      </c>
      <c r="D186" s="29"/>
      <c r="E186" s="29"/>
      <c r="F186" s="29"/>
      <c r="G186" s="29" t="s">
        <v>408</v>
      </c>
      <c r="H186" s="29" t="s">
        <v>4050</v>
      </c>
      <c r="I186" s="638"/>
      <c r="J186" s="635" t="str">
        <f>IF(ISBLANK(HLOOKUP(CaseName,CaseData,MATCH($G186,cases!$G$3:$G$2464,0),FALSE)),"",HLOOKUP(CaseName,CaseData,MATCH($G186,cases!$G$3:$G$2464,0),FALSE))</f>
        <v/>
      </c>
      <c r="K186" s="352">
        <v>-10</v>
      </c>
      <c r="L186" s="636">
        <f>IF(ISBLANK(I186),IF(ISNUMBER(J186)=FALSE,K186+273,J186+273),I186+273)</f>
        <v>263</v>
      </c>
      <c r="M186" s="36" t="s">
        <v>588</v>
      </c>
      <c r="N186" s="29"/>
      <c r="O186" s="36"/>
    </row>
    <row r="187" spans="1:15" ht="12.75" customHeight="1" x14ac:dyDescent="0.35">
      <c r="A187" s="29"/>
      <c r="B187" s="29"/>
      <c r="C187" s="29" t="s">
        <v>612</v>
      </c>
      <c r="D187" s="29"/>
      <c r="E187" s="29"/>
      <c r="F187" s="29"/>
      <c r="G187" s="29" t="s">
        <v>642</v>
      </c>
      <c r="H187" s="29" t="s">
        <v>4041</v>
      </c>
      <c r="I187" s="519"/>
      <c r="J187" s="635" t="str">
        <f>IF(ISBLANK(HLOOKUP(CaseName,CaseData,MATCH($G187,cases!$G$3:$G$2464,0),FALSE)),"",HLOOKUP(CaseName,CaseData,MATCH($G187,cases!$G$3:$G$2464,0),FALSE))</f>
        <v/>
      </c>
      <c r="K187" s="366">
        <f>1/(L185*FRorig.aerw)</f>
        <v>642230094.53842366</v>
      </c>
      <c r="L187" s="636">
        <f t="shared" ref="L187:L194" si="10">IF(ISBLANK(I187),IF(ISNUMBER(J187)=FALSE,K187,J187),I187)</f>
        <v>642230094.53842366</v>
      </c>
      <c r="M187" s="36" t="s">
        <v>4051</v>
      </c>
      <c r="N187" s="29"/>
      <c r="O187" s="36"/>
    </row>
    <row r="188" spans="1:15" ht="12.75" customHeight="1" x14ac:dyDescent="0.35">
      <c r="A188" s="29"/>
      <c r="B188" s="29"/>
      <c r="C188" s="29" t="s">
        <v>613</v>
      </c>
      <c r="D188" s="29"/>
      <c r="E188" s="29"/>
      <c r="F188" s="29"/>
      <c r="G188" s="29" t="s">
        <v>643</v>
      </c>
      <c r="H188" s="29" t="s">
        <v>4042</v>
      </c>
      <c r="I188" s="519"/>
      <c r="J188" s="635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1205340070.6487617</v>
      </c>
      <c r="L188" s="636">
        <f t="shared" si="10"/>
        <v>1205340070.6487617</v>
      </c>
      <c r="M188" s="36" t="s">
        <v>4052</v>
      </c>
      <c r="N188" s="29" t="s">
        <v>924</v>
      </c>
      <c r="O188" s="36"/>
    </row>
    <row r="189" spans="1:15" ht="12.75" customHeight="1" x14ac:dyDescent="0.3">
      <c r="A189" s="36"/>
      <c r="B189" s="36" t="s">
        <v>4002</v>
      </c>
      <c r="C189" s="95"/>
      <c r="D189" s="29"/>
      <c r="E189" s="29"/>
      <c r="F189" s="29"/>
      <c r="G189" s="37" t="s">
        <v>1147</v>
      </c>
      <c r="H189" s="36" t="s">
        <v>36</v>
      </c>
      <c r="I189" s="638"/>
      <c r="J189" s="635" t="str">
        <f>IF(ISBLANK(HLOOKUP(CaseName,CaseData,MATCH($G189,cases!$G$3:$G$2464,0),FALSE)),"",HLOOKUP(CaseName,CaseData,MATCH($G189,cases!$G$3:$G$2464,0),FALSE))</f>
        <v/>
      </c>
      <c r="K189" s="352">
        <f>1/(1+L191*L195/1000+L197*L199/1000)</f>
        <v>0.99923939228777903</v>
      </c>
      <c r="L189" s="636">
        <f t="shared" si="10"/>
        <v>0.99923939228777903</v>
      </c>
      <c r="M189" s="36" t="s">
        <v>486</v>
      </c>
      <c r="N189" s="29"/>
      <c r="O189" s="36"/>
    </row>
    <row r="190" spans="1:15" ht="12.75" customHeight="1" x14ac:dyDescent="0.3">
      <c r="A190" s="36"/>
      <c r="B190" s="36" t="s">
        <v>1119</v>
      </c>
      <c r="C190" s="95"/>
      <c r="D190" s="29"/>
      <c r="E190" s="29"/>
      <c r="F190" s="29"/>
      <c r="G190" s="37" t="s">
        <v>1148</v>
      </c>
      <c r="H190" s="36" t="s">
        <v>36</v>
      </c>
      <c r="I190" s="638"/>
      <c r="J190" s="635" t="str">
        <f>IF(ISBLANK(HLOOKUP(CaseName,CaseData,MATCH($G190,cases!$G$3:$G$2464,0),FALSE)),"",HLOOKUP(CaseName,CaseData,MATCH($G190,cases!$G$3:$G$2464,0),FALSE))</f>
        <v/>
      </c>
      <c r="K190" s="352">
        <f>1/(1+L192*L196/1000+L198*L200/1000)</f>
        <v>0.99923939228777903</v>
      </c>
      <c r="L190" s="636">
        <f t="shared" si="10"/>
        <v>0.99923939228777903</v>
      </c>
      <c r="M190" s="36" t="s">
        <v>486</v>
      </c>
      <c r="N190" s="29"/>
      <c r="O190" s="36"/>
    </row>
    <row r="191" spans="1:15" ht="12.75" customHeight="1" x14ac:dyDescent="0.3">
      <c r="A191" s="36"/>
      <c r="B191" s="29"/>
      <c r="C191" s="36" t="s">
        <v>4003</v>
      </c>
      <c r="D191" s="29"/>
      <c r="E191" s="29"/>
      <c r="F191" s="29"/>
      <c r="G191" s="94" t="s">
        <v>1149</v>
      </c>
      <c r="H191" s="36" t="s">
        <v>4043</v>
      </c>
      <c r="I191" s="638"/>
      <c r="J191" s="635" t="str">
        <f>IF(ISBLANK(HLOOKUP(CaseName,CaseData,MATCH($G191,cases!$G$3:$G$2464,0),FALSE)),"",HLOOKUP(CaseName,CaseData,MATCH($G191,cases!$G$3:$G$2464,0),FALSE))</f>
        <v/>
      </c>
      <c r="K191" s="352">
        <f>(FRorig.w2*Ksw+(1-FRorig.w2)*Ksw.alt)*(1000/RHOsolid/CORG)*L193</f>
        <v>99.435216023782488</v>
      </c>
      <c r="L191" s="636">
        <f t="shared" si="10"/>
        <v>99.435216023782488</v>
      </c>
      <c r="M191" s="36" t="s">
        <v>1498</v>
      </c>
      <c r="N191" s="29"/>
      <c r="O191" s="36"/>
    </row>
    <row r="192" spans="1:15" ht="12.75" customHeight="1" x14ac:dyDescent="0.3">
      <c r="A192" s="36"/>
      <c r="B192" s="29"/>
      <c r="C192" s="36" t="s">
        <v>1122</v>
      </c>
      <c r="D192" s="29"/>
      <c r="E192" s="29"/>
      <c r="F192" s="29"/>
      <c r="G192" s="94" t="s">
        <v>1150</v>
      </c>
      <c r="H192" s="36" t="s">
        <v>4043</v>
      </c>
      <c r="I192" s="638"/>
      <c r="J192" s="635" t="str">
        <f>IF(ISBLANK(HLOOKUP(CaseName,CaseData,MATCH($G192,cases!$G$3:$G$2464,0),FALSE)),"",HLOOKUP(CaseName,CaseData,MATCH($G192,cases!$G$3:$G$2464,0),FALSE))</f>
        <v/>
      </c>
      <c r="K192" s="352">
        <f>(FRorig.w2*Ksw+(1-FRorig.w2)*Ksw.alt)*(1000/RHOsolid/CORG)*L194</f>
        <v>99.435216023782488</v>
      </c>
      <c r="L192" s="636">
        <f t="shared" si="10"/>
        <v>99.435216023782488</v>
      </c>
      <c r="M192" s="36" t="s">
        <v>1498</v>
      </c>
      <c r="N192" s="29"/>
      <c r="O192" s="36"/>
    </row>
    <row r="193" spans="1:15" ht="12.75" customHeight="1" x14ac:dyDescent="0.3">
      <c r="A193" s="36"/>
      <c r="B193" s="29"/>
      <c r="C193" s="36" t="s">
        <v>4004</v>
      </c>
      <c r="D193" s="29"/>
      <c r="E193" s="29"/>
      <c r="F193" s="29"/>
      <c r="G193" s="94" t="s">
        <v>1458</v>
      </c>
      <c r="H193" s="36" t="s">
        <v>36</v>
      </c>
      <c r="I193" s="638"/>
      <c r="J193" s="635" t="str">
        <f>IF(ISBLANK(HLOOKUP(CaseName,CaseData,MATCH($G193,cases!$G$3:$G$2464,0),FALSE)),"",HLOOKUP(CaseName,CaseData,MATCH($G193,cases!$G$3:$G$2464,0),FALSE))</f>
        <v/>
      </c>
      <c r="K193" s="352">
        <v>0.1</v>
      </c>
      <c r="L193" s="636">
        <f t="shared" si="10"/>
        <v>0.1</v>
      </c>
      <c r="M193" s="36" t="s">
        <v>486</v>
      </c>
      <c r="N193" s="29"/>
      <c r="O193" s="36"/>
    </row>
    <row r="194" spans="1:15" ht="12.75" customHeight="1" x14ac:dyDescent="0.3">
      <c r="A194" s="36"/>
      <c r="B194" s="29"/>
      <c r="C194" s="36" t="s">
        <v>1124</v>
      </c>
      <c r="D194" s="29"/>
      <c r="E194" s="29"/>
      <c r="F194" s="29"/>
      <c r="G194" s="94" t="s">
        <v>1459</v>
      </c>
      <c r="H194" s="36" t="s">
        <v>36</v>
      </c>
      <c r="I194" s="638"/>
      <c r="J194" s="635" t="str">
        <f>IF(ISBLANK(HLOOKUP(CaseName,CaseData,MATCH($G194,cases!$G$3:$G$2464,0),FALSE)),"",HLOOKUP(CaseName,CaseData,MATCH($G194,cases!$G$3:$G$2464,0),FALSE))</f>
        <v/>
      </c>
      <c r="K194" s="352">
        <v>0.1</v>
      </c>
      <c r="L194" s="636">
        <f t="shared" si="10"/>
        <v>0.1</v>
      </c>
      <c r="M194" s="36" t="s">
        <v>486</v>
      </c>
      <c r="N194" s="29"/>
      <c r="O194" s="36"/>
    </row>
    <row r="195" spans="1:15" ht="12.75" customHeight="1" x14ac:dyDescent="0.3">
      <c r="A195" s="36"/>
      <c r="B195" s="29"/>
      <c r="C195" s="36" t="s">
        <v>4005</v>
      </c>
      <c r="D195" s="29"/>
      <c r="E195" s="29"/>
      <c r="F195" s="29"/>
      <c r="G195" s="94" t="s">
        <v>1151</v>
      </c>
      <c r="H195" s="36" t="s">
        <v>4044</v>
      </c>
      <c r="I195" s="638"/>
      <c r="J195" s="635" t="str">
        <f>IF(ISBLANK(HLOOKUP(CaseName,CaseData,MATCH($G195,cases!$G$3:$G$2464,0),FALSE)),"",HLOOKUP(CaseName,CaseData,MATCH($G195,cases!$G$3:$G$2464,0),FALSE))</f>
        <v/>
      </c>
      <c r="K195" s="352">
        <v>5</v>
      </c>
      <c r="L195" s="636">
        <f>IF(ISBLANK(I195),IF(ISNUMBER(J195)=FALSE,K195/1000,J195/1000),I195/1000)</f>
        <v>5.0000000000000001E-3</v>
      </c>
      <c r="M195" s="36" t="s">
        <v>1497</v>
      </c>
      <c r="N195" s="29"/>
      <c r="O195" s="36"/>
    </row>
    <row r="196" spans="1:15" ht="12.75" customHeight="1" x14ac:dyDescent="0.3">
      <c r="A196" s="36"/>
      <c r="B196" s="29"/>
      <c r="C196" s="36" t="s">
        <v>1126</v>
      </c>
      <c r="D196" s="29"/>
      <c r="E196" s="29"/>
      <c r="F196" s="29"/>
      <c r="G196" s="94" t="s">
        <v>1152</v>
      </c>
      <c r="H196" s="36" t="s">
        <v>4044</v>
      </c>
      <c r="I196" s="638"/>
      <c r="J196" s="635" t="str">
        <f>IF(ISBLANK(HLOOKUP(CaseName,CaseData,MATCH($G196,cases!$G$3:$G$2464,0),FALSE)),"",HLOOKUP(CaseName,CaseData,MATCH($G196,cases!$G$3:$G$2464,0),FALSE))</f>
        <v/>
      </c>
      <c r="K196" s="352">
        <v>5</v>
      </c>
      <c r="L196" s="636">
        <f>IF(ISBLANK(I196),IF(ISNUMBER(J196)=FALSE,K196/1000,J196/1000),I196/1000)</f>
        <v>5.0000000000000001E-3</v>
      </c>
      <c r="M196" s="36" t="s">
        <v>1497</v>
      </c>
      <c r="N196" s="29"/>
      <c r="O196" s="36"/>
    </row>
    <row r="197" spans="1:15" ht="12.75" customHeight="1" x14ac:dyDescent="0.3">
      <c r="A197" s="36"/>
      <c r="B197" s="29"/>
      <c r="C197" s="36" t="s">
        <v>4006</v>
      </c>
      <c r="D197" s="29"/>
      <c r="E197" s="29"/>
      <c r="F197" s="29"/>
      <c r="G197" s="94" t="s">
        <v>1153</v>
      </c>
      <c r="H197" s="36" t="s">
        <v>1039</v>
      </c>
      <c r="I197" s="634"/>
      <c r="J197" s="635" t="str">
        <f>IF(ISBLANK(HLOOKUP(CaseName,CaseData,MATCH($G197,cases!$G$3:$G$2464,0),FALSE)),"",HLOOKUP(CaseName,CaseData,MATCH($G197,cases!$G$3:$G$2464,0),FALSE))</f>
        <v/>
      </c>
      <c r="K197" s="352">
        <f>0.08*D</f>
        <v>264.01059655875667</v>
      </c>
      <c r="L197" s="636">
        <f>IF(ISBLANK(I197),IF(ISNUMBER(J197)=FALSE,K197,J197),I197)</f>
        <v>264.01059655875667</v>
      </c>
      <c r="M197" s="36" t="s">
        <v>1498</v>
      </c>
      <c r="N197" s="29"/>
      <c r="O197" s="36"/>
    </row>
    <row r="198" spans="1:15" ht="12.75" customHeight="1" x14ac:dyDescent="0.3">
      <c r="A198" s="36"/>
      <c r="B198" s="29"/>
      <c r="C198" s="36" t="s">
        <v>1143</v>
      </c>
      <c r="D198" s="29"/>
      <c r="E198" s="29"/>
      <c r="F198" s="29"/>
      <c r="G198" s="94" t="s">
        <v>1154</v>
      </c>
      <c r="H198" s="36" t="s">
        <v>1039</v>
      </c>
      <c r="I198" s="634"/>
      <c r="J198" s="635" t="str">
        <f>IF(ISBLANK(HLOOKUP(CaseName,CaseData,MATCH($G198,cases!$G$3:$G$2464,0),FALSE)),"",HLOOKUP(CaseName,CaseData,MATCH($G198,cases!$G$3:$G$2464,0),FALSE))</f>
        <v/>
      </c>
      <c r="K198" s="352">
        <f>0.08*D</f>
        <v>264.01059655875667</v>
      </c>
      <c r="L198" s="636">
        <f>IF(ISBLANK(I198),IF(ISNUMBER(J198)=FALSE,K198,J198),I198)</f>
        <v>264.01059655875667</v>
      </c>
      <c r="M198" s="36" t="s">
        <v>1498</v>
      </c>
      <c r="N198" s="29"/>
      <c r="O198" s="36"/>
    </row>
    <row r="199" spans="1:15" ht="12.75" customHeight="1" x14ac:dyDescent="0.3">
      <c r="A199" s="36"/>
      <c r="B199" s="29"/>
      <c r="C199" s="36" t="s">
        <v>4007</v>
      </c>
      <c r="D199" s="29"/>
      <c r="E199" s="29"/>
      <c r="F199" s="29"/>
      <c r="G199" s="94" t="s">
        <v>1155</v>
      </c>
      <c r="H199" s="36" t="s">
        <v>1038</v>
      </c>
      <c r="I199" s="634"/>
      <c r="J199" s="635" t="str">
        <f>IF(ISBLANK(HLOOKUP(CaseName,CaseData,MATCH($G199,cases!$G$3:$G$2464,0),FALSE)),"",HLOOKUP(CaseName,CaseData,MATCH($G199,cases!$G$3:$G$2464,0),FALSE))</f>
        <v/>
      </c>
      <c r="K199" s="352">
        <v>1</v>
      </c>
      <c r="L199" s="636">
        <f>IF(ISBLANK(I199),IF(ISNUMBER(J199)=FALSE,K199/1000,J199/1000),I199/1000)</f>
        <v>1E-3</v>
      </c>
      <c r="M199" s="36" t="s">
        <v>1497</v>
      </c>
      <c r="N199" s="29"/>
      <c r="O199" s="36"/>
    </row>
    <row r="200" spans="1:15" ht="12.75" customHeight="1" x14ac:dyDescent="0.3">
      <c r="A200" s="36"/>
      <c r="B200" s="29"/>
      <c r="C200" s="36" t="s">
        <v>1130</v>
      </c>
      <c r="D200" s="29"/>
      <c r="E200" s="29"/>
      <c r="F200" s="29"/>
      <c r="G200" s="94" t="s">
        <v>1156</v>
      </c>
      <c r="H200" s="36" t="s">
        <v>1038</v>
      </c>
      <c r="I200" s="634"/>
      <c r="J200" s="635" t="str">
        <f>IF(ISBLANK(HLOOKUP(CaseName,CaseData,MATCH($G200,cases!$G$3:$G$2464,0),FALSE)),"",HLOOKUP(CaseName,CaseData,MATCH($G200,cases!$G$3:$G$2464,0),FALSE))</f>
        <v/>
      </c>
      <c r="K200" s="352">
        <v>1</v>
      </c>
      <c r="L200" s="636">
        <f>IF(ISBLANK(I200),IF(ISNUMBER(J200)=FALSE,K200/1000,J200/1000),I200/1000)</f>
        <v>1E-3</v>
      </c>
      <c r="M200" s="36" t="s">
        <v>1497</v>
      </c>
      <c r="N200" s="29"/>
      <c r="O200" s="36"/>
    </row>
    <row r="201" spans="1:15" ht="12.75" customHeight="1" x14ac:dyDescent="0.3">
      <c r="A201" s="36"/>
      <c r="B201" s="36" t="s">
        <v>1375</v>
      </c>
      <c r="C201" s="95"/>
      <c r="D201" s="29"/>
      <c r="E201" s="29"/>
      <c r="F201" s="29"/>
      <c r="G201" s="94" t="s">
        <v>411</v>
      </c>
      <c r="H201" s="36" t="s">
        <v>36</v>
      </c>
      <c r="I201" s="638"/>
      <c r="J201" s="635" t="str">
        <f>IF(ISBLANK(HLOOKUP(CaseName,CaseData,MATCH($G201,cases!$G$3:$G$2464,0),FALSE)),"",HLOOKUP(CaseName,CaseData,MATCH($G201,cases!$G$3:$G$2464,0),FALSE))</f>
        <v/>
      </c>
      <c r="K201" s="352">
        <f>L166+L167*L202*RHOsolid/1000</f>
        <v>26.231033926700718</v>
      </c>
      <c r="L201" s="636">
        <f t="shared" ref="L201:L208" si="11">IF(ISBLANK(I201),IF(ISNUMBER(J201)=FALSE,K201,J201),I201)</f>
        <v>26.231033926700718</v>
      </c>
      <c r="M201" s="36" t="s">
        <v>486</v>
      </c>
      <c r="N201" s="29"/>
      <c r="O201" s="36"/>
    </row>
    <row r="202" spans="1:15" ht="12.75" customHeight="1" x14ac:dyDescent="0.3">
      <c r="A202" s="36"/>
      <c r="B202" s="29"/>
      <c r="C202" s="36" t="s">
        <v>1376</v>
      </c>
      <c r="D202" s="29"/>
      <c r="E202" s="29"/>
      <c r="F202" s="29"/>
      <c r="G202" s="94" t="s">
        <v>176</v>
      </c>
      <c r="H202" s="36" t="s">
        <v>4043</v>
      </c>
      <c r="I202" s="638"/>
      <c r="J202" s="635" t="str">
        <f>IF(ISBLANK(HLOOKUP(CaseName,CaseData,MATCH($G202,cases!$G$3:$G$2464,0),FALSE)),"",HLOOKUP(CaseName,CaseData,MATCH($G202,cases!$G$3:$G$2464,0),FALSE))</f>
        <v/>
      </c>
      <c r="K202" s="352">
        <f>(FRorig.sd2*Ksw+(1-FRorig.sd2)*Ksw.alt)*(1000/RHOsolid/CORG)*L203</f>
        <v>50.862067853401449</v>
      </c>
      <c r="L202" s="636">
        <f t="shared" si="11"/>
        <v>50.862067853401449</v>
      </c>
      <c r="M202" s="36" t="s">
        <v>1498</v>
      </c>
      <c r="N202" s="29"/>
      <c r="O202" s="36"/>
    </row>
    <row r="203" spans="1:15" ht="12.75" customHeight="1" x14ac:dyDescent="0.3">
      <c r="A203" s="36"/>
      <c r="B203" s="29"/>
      <c r="C203" s="36" t="s">
        <v>546</v>
      </c>
      <c r="D203" s="29"/>
      <c r="E203" s="29"/>
      <c r="F203" s="29"/>
      <c r="G203" s="94" t="s">
        <v>409</v>
      </c>
      <c r="H203" s="36" t="s">
        <v>36</v>
      </c>
      <c r="I203" s="638"/>
      <c r="J203" s="635" t="str">
        <f>IF(ISBLANK(HLOOKUP(CaseName,CaseData,MATCH($G203,cases!$G$3:$G$2464,0),FALSE)),"",HLOOKUP(CaseName,CaseData,MATCH($G203,cases!$G$3:$G$2464,0),FALSE))</f>
        <v/>
      </c>
      <c r="K203" s="352">
        <v>0.05</v>
      </c>
      <c r="L203" s="636">
        <f t="shared" si="11"/>
        <v>0.05</v>
      </c>
      <c r="M203" s="36" t="s">
        <v>486</v>
      </c>
      <c r="N203" s="29"/>
      <c r="O203" s="36"/>
    </row>
    <row r="204" spans="1:15" ht="12.75" customHeight="1" x14ac:dyDescent="0.3">
      <c r="A204" s="36"/>
      <c r="B204" s="36" t="s">
        <v>1372</v>
      </c>
      <c r="C204" s="95"/>
      <c r="D204" s="29"/>
      <c r="E204" s="29"/>
      <c r="F204" s="29"/>
      <c r="G204" s="94" t="s">
        <v>4021</v>
      </c>
      <c r="H204" s="36" t="s">
        <v>36</v>
      </c>
      <c r="I204" s="638"/>
      <c r="J204" s="635" t="str">
        <f>IF(ISBLANK(HLOOKUP(CaseName,CaseData,MATCH($G204,cases!$G$3:$G$2464,0),FALSE)),"",HLOOKUP(CaseName,CaseData,MATCH($G204,cases!$G$3:$G$2464,0),FALSE))</f>
        <v/>
      </c>
      <c r="K204" s="352">
        <f>L163*(L185*FRorig.s1w)+L164+L165*L207*RHOsolid/1000</f>
        <v>30.955150969700735</v>
      </c>
      <c r="L204" s="636">
        <f t="shared" si="11"/>
        <v>30.955150969700735</v>
      </c>
      <c r="M204" s="29" t="s">
        <v>486</v>
      </c>
      <c r="N204" s="29"/>
      <c r="O204" s="36"/>
    </row>
    <row r="205" spans="1:15" ht="12.75" customHeight="1" x14ac:dyDescent="0.3">
      <c r="A205" s="36"/>
      <c r="B205" s="36" t="s">
        <v>48</v>
      </c>
      <c r="C205" s="95"/>
      <c r="D205" s="29"/>
      <c r="E205" s="29"/>
      <c r="F205" s="29"/>
      <c r="G205" s="94" t="s">
        <v>1302</v>
      </c>
      <c r="H205" s="36" t="s">
        <v>36</v>
      </c>
      <c r="I205" s="638"/>
      <c r="J205" s="635" t="str">
        <f>IF(ISBLANK(HLOOKUP(CaseName,CaseData,MATCH($G205,cases!$G$3:$G$2464,0),FALSE)),"",HLOOKUP(CaseName,CaseData,MATCH($G205,cases!$G$3:$G$2464,0),FALSE))</f>
        <v/>
      </c>
      <c r="K205" s="352">
        <f>L164/(L163*(L185*FRorig.s1w)+L164+L165*L207*RHOsolid/1000)</f>
        <v>6.4609602516803215E-3</v>
      </c>
      <c r="L205" s="636">
        <f t="shared" si="11"/>
        <v>6.4609602516803215E-3</v>
      </c>
      <c r="M205" s="29" t="s">
        <v>486</v>
      </c>
      <c r="N205" s="29"/>
      <c r="O205" s="36"/>
    </row>
    <row r="206" spans="1:15" ht="12.75" customHeight="1" x14ac:dyDescent="0.3">
      <c r="A206" s="36"/>
      <c r="B206" s="36" t="s">
        <v>1301</v>
      </c>
      <c r="C206" s="95"/>
      <c r="D206" s="29"/>
      <c r="E206" s="29"/>
      <c r="F206" s="29"/>
      <c r="G206" s="94" t="s">
        <v>1303</v>
      </c>
      <c r="H206" s="36" t="s">
        <v>36</v>
      </c>
      <c r="I206" s="638"/>
      <c r="J206" s="635" t="str">
        <f>IF(ISBLANK(HLOOKUP(CaseName,CaseData,MATCH($G206,cases!$G$3:$G$2464,0),FALSE)),"",HLOOKUP(CaseName,CaseData,MATCH($G206,cases!$G$3:$G$2464,0),FALSE))</f>
        <v/>
      </c>
      <c r="K206" s="352">
        <f>L165 / (L163*L185*FRorig.s1w/(L207*RHOsolid/1000)+L164/(L207*RHOsolid/1000)+L165 )</f>
        <v>0.99353903973825985</v>
      </c>
      <c r="L206" s="636">
        <f t="shared" si="11"/>
        <v>0.99353903973825985</v>
      </c>
      <c r="M206" s="5" t="s">
        <v>486</v>
      </c>
      <c r="N206" s="29"/>
      <c r="O206" s="36"/>
    </row>
    <row r="207" spans="1:15" ht="12.75" customHeight="1" x14ac:dyDescent="0.3">
      <c r="A207" s="36"/>
      <c r="B207" s="29"/>
      <c r="C207" s="36" t="s">
        <v>1373</v>
      </c>
      <c r="D207" s="29"/>
      <c r="E207" s="29"/>
      <c r="F207" s="29"/>
      <c r="G207" s="94" t="s">
        <v>171</v>
      </c>
      <c r="H207" s="36" t="s">
        <v>4043</v>
      </c>
      <c r="I207" s="638"/>
      <c r="J207" s="635" t="str">
        <f>IF(ISBLANK(HLOOKUP(CaseName,CaseData,MATCH($G207,cases!$G$3:$G$2464,0),FALSE)),"",HLOOKUP(CaseName,CaseData,MATCH($G207,cases!$G$3:$G$2464,0),FALSE))</f>
        <v/>
      </c>
      <c r="K207" s="352">
        <f>(FRorig.s1*Ksw+(1-FRorig.s1)*Ksw.alt)*(1000/RHOsolid/CORG)*L208</f>
        <v>20.503433979592884</v>
      </c>
      <c r="L207" s="636">
        <f t="shared" si="11"/>
        <v>20.503433979592884</v>
      </c>
      <c r="M207" s="36" t="s">
        <v>1498</v>
      </c>
      <c r="N207" s="29"/>
      <c r="O207" s="36"/>
    </row>
    <row r="208" spans="1:15" ht="12.75" customHeight="1" x14ac:dyDescent="0.3">
      <c r="A208" s="36"/>
      <c r="B208" s="29"/>
      <c r="C208" s="36" t="s">
        <v>1374</v>
      </c>
      <c r="D208" s="29"/>
      <c r="E208" s="29"/>
      <c r="F208" s="29"/>
      <c r="G208" s="94" t="s">
        <v>410</v>
      </c>
      <c r="H208" s="36" t="s">
        <v>36</v>
      </c>
      <c r="I208" s="638"/>
      <c r="J208" s="635" t="str">
        <f>IF(ISBLANK(HLOOKUP(CaseName,CaseData,MATCH($G208,cases!$G$3:$G$2464,0),FALSE)),"",HLOOKUP(CaseName,CaseData,MATCH($G208,cases!$G$3:$G$2464,0),FALSE))</f>
        <v/>
      </c>
      <c r="K208" s="352">
        <v>0.02</v>
      </c>
      <c r="L208" s="636">
        <f t="shared" si="11"/>
        <v>0.02</v>
      </c>
      <c r="M208" s="29" t="s">
        <v>486</v>
      </c>
      <c r="N208" s="29"/>
      <c r="O208" s="36"/>
    </row>
    <row r="209" spans="1:15" ht="12.75" customHeight="1" x14ac:dyDescent="0.3">
      <c r="A209" s="29"/>
      <c r="B209" s="29"/>
      <c r="C209" s="29"/>
      <c r="D209" s="29"/>
      <c r="E209" s="29"/>
      <c r="F209" s="29"/>
      <c r="G209" s="29"/>
      <c r="H209" s="29"/>
      <c r="I209" s="645"/>
      <c r="J209" s="353"/>
      <c r="K209" s="353"/>
      <c r="L209" s="339"/>
      <c r="M209" s="29"/>
      <c r="N209" s="29"/>
      <c r="O209" s="36"/>
    </row>
    <row r="210" spans="1:15" ht="12.75" customHeight="1" x14ac:dyDescent="0.3">
      <c r="A210" s="98" t="s">
        <v>1311</v>
      </c>
      <c r="B210" s="97"/>
      <c r="C210" s="97"/>
      <c r="D210" s="97"/>
      <c r="E210" s="97"/>
      <c r="F210" s="97"/>
      <c r="G210" s="98" t="s">
        <v>1008</v>
      </c>
      <c r="H210" s="98" t="s">
        <v>968</v>
      </c>
      <c r="I210" s="364" t="s">
        <v>754</v>
      </c>
      <c r="J210" s="340" t="s">
        <v>37</v>
      </c>
      <c r="K210" s="340" t="s">
        <v>753</v>
      </c>
      <c r="L210" s="340" t="s">
        <v>1358</v>
      </c>
      <c r="M210" s="97"/>
      <c r="N210" s="98" t="s">
        <v>1371</v>
      </c>
      <c r="O210" s="36"/>
    </row>
    <row r="211" spans="1:15" ht="12.75" customHeight="1" x14ac:dyDescent="0.3">
      <c r="A211" s="29"/>
      <c r="B211" s="29"/>
      <c r="C211" s="29"/>
      <c r="D211" s="29"/>
      <c r="E211" s="29"/>
      <c r="F211" s="29"/>
      <c r="G211" s="29"/>
      <c r="H211" s="96"/>
      <c r="I211" s="645"/>
      <c r="J211" s="645"/>
      <c r="K211" s="353"/>
      <c r="L211" s="339"/>
      <c r="M211" s="29"/>
      <c r="N211" s="29"/>
      <c r="O211" s="36"/>
    </row>
    <row r="212" spans="1:15" ht="12.75" customHeight="1" x14ac:dyDescent="0.3">
      <c r="A212" s="36" t="s">
        <v>93</v>
      </c>
      <c r="B212" s="29"/>
      <c r="C212" s="29"/>
      <c r="D212" s="29"/>
      <c r="E212" s="29"/>
      <c r="F212" s="29"/>
      <c r="G212" s="36" t="s">
        <v>1259</v>
      </c>
      <c r="H212" s="36" t="s">
        <v>4037</v>
      </c>
      <c r="I212" s="637"/>
      <c r="J212" s="635" t="str">
        <f>IF(ISBLANK(HLOOKUP(CaseName,CaseData,MATCH($G212,cases!$G$3:$G$2464,0),FALSE)),"",HLOOKUP(CaseName,CaseData,MATCH($G212,cases!$G$3:$G$2464,0),FALSE))</f>
        <v/>
      </c>
      <c r="K212" s="352">
        <f>(L216+L228/L156)*L154</f>
        <v>5.7639436414589887E-6</v>
      </c>
      <c r="L212" s="636">
        <f t="shared" ref="L212:L225" si="12">IF(ISBLANK(I212),IF(ISNUMBER(J212)=FALSE,K212,J212),I212)</f>
        <v>5.7639436414589887E-6</v>
      </c>
      <c r="M212" s="29" t="s">
        <v>1488</v>
      </c>
      <c r="N212" s="29"/>
      <c r="O212" s="36"/>
    </row>
    <row r="213" spans="1:15" ht="12.75" customHeight="1" x14ac:dyDescent="0.3">
      <c r="A213" s="36" t="s">
        <v>94</v>
      </c>
      <c r="B213" s="29"/>
      <c r="C213" s="29"/>
      <c r="D213" s="29"/>
      <c r="E213" s="29"/>
      <c r="F213" s="29"/>
      <c r="G213" s="36" t="s">
        <v>847</v>
      </c>
      <c r="H213" s="36" t="s">
        <v>4037</v>
      </c>
      <c r="I213" s="637"/>
      <c r="J213" s="635" t="str">
        <f>IF(ISBLANK(HLOOKUP(CaseName,CaseData,MATCH($G213,cases!$G$3:$G$2464,0),FALSE)),"",HLOOKUP(CaseName,CaseData,MATCH($G213,cases!$G$3:$G$2464,0),FALSE))</f>
        <v/>
      </c>
      <c r="K213" s="352">
        <f>(L216+L229/L156)*L155</f>
        <v>2.7554103149897485E-6</v>
      </c>
      <c r="L213" s="636">
        <f t="shared" si="12"/>
        <v>2.7554103149897485E-6</v>
      </c>
      <c r="M213" s="29" t="s">
        <v>1488</v>
      </c>
      <c r="N213" s="29"/>
      <c r="O213" s="36"/>
    </row>
    <row r="214" spans="1:15" ht="12.75" customHeight="1" x14ac:dyDescent="0.3">
      <c r="A214" s="36" t="s">
        <v>95</v>
      </c>
      <c r="B214" s="29"/>
      <c r="C214" s="29"/>
      <c r="D214" s="29"/>
      <c r="E214" s="29"/>
      <c r="F214" s="29"/>
      <c r="G214" s="36" t="s">
        <v>1260</v>
      </c>
      <c r="H214" s="36" t="s">
        <v>4037</v>
      </c>
      <c r="I214" s="637"/>
      <c r="J214" s="635" t="str">
        <f>IF(ISBLANK(HLOOKUP(CaseName,CaseData,MATCH($G214,cases!$G$3:$G$2464,0),FALSE)),"",HLOOKUP(CaseName,CaseData,MATCH($G214,cases!$G$3:$G$2464,0),FALSE))</f>
        <v/>
      </c>
      <c r="K214" s="352">
        <f>L230/L157</f>
        <v>5.8182101402276973E-14</v>
      </c>
      <c r="L214" s="636">
        <f t="shared" si="12"/>
        <v>5.8182101402276973E-14</v>
      </c>
      <c r="M214" s="29" t="s">
        <v>1488</v>
      </c>
      <c r="N214" s="29"/>
      <c r="O214" s="36"/>
    </row>
    <row r="215" spans="1:15" ht="12.75" customHeight="1" x14ac:dyDescent="0.3">
      <c r="A215" s="36" t="s">
        <v>96</v>
      </c>
      <c r="B215" s="29"/>
      <c r="C215" s="29"/>
      <c r="D215" s="29"/>
      <c r="E215" s="29"/>
      <c r="F215" s="29"/>
      <c r="G215" s="36" t="s">
        <v>848</v>
      </c>
      <c r="H215" s="36" t="s">
        <v>4037</v>
      </c>
      <c r="I215" s="637"/>
      <c r="J215" s="635" t="str">
        <f>IF(ISBLANK(HLOOKUP(CaseName,CaseData,MATCH($G215,cases!$G$3:$G$2464,0),FALSE)),"",HLOOKUP(CaseName,CaseData,MATCH($G215,cases!$G$3:$G$2464,0),FALSE))</f>
        <v/>
      </c>
      <c r="K215" s="352">
        <f>L231/L160</f>
        <v>1.3393308083542548E-12</v>
      </c>
      <c r="L215" s="636">
        <f t="shared" si="12"/>
        <v>1.3393308083542548E-12</v>
      </c>
      <c r="M215" s="29" t="s">
        <v>1488</v>
      </c>
      <c r="N215" s="29"/>
      <c r="O215" s="36"/>
    </row>
    <row r="216" spans="1:15" ht="12.75" customHeight="1" x14ac:dyDescent="0.3">
      <c r="A216" s="36"/>
      <c r="B216" s="36" t="s">
        <v>2266</v>
      </c>
      <c r="C216" s="29"/>
      <c r="D216" s="29"/>
      <c r="E216" s="29"/>
      <c r="F216" s="29"/>
      <c r="G216" s="37" t="s">
        <v>2283</v>
      </c>
      <c r="H216" s="36" t="s">
        <v>4037</v>
      </c>
      <c r="I216" s="637"/>
      <c r="J216" s="635" t="str">
        <f>IF(ISBLANK(HLOOKUP(CaseName,CaseData,MATCH($G216,cases!$G$3:$G$2464,0),FALSE)),"",HLOOKUP(CaseName,CaseData,MATCH($G216,cases!$G$3:$G$2464,0),FALSE))</f>
        <v/>
      </c>
      <c r="K216" s="352">
        <f>L217 - SUM((L228*L154+L229*L155)/L156,L265,L169)</f>
        <v>5.8781603074910724E-6</v>
      </c>
      <c r="L216" s="636">
        <f t="shared" si="12"/>
        <v>5.8781603074910724E-6</v>
      </c>
      <c r="M216" s="29" t="s">
        <v>1555</v>
      </c>
      <c r="N216" s="29"/>
      <c r="O216" s="36"/>
    </row>
    <row r="217" spans="1:15" ht="12.75" customHeight="1" x14ac:dyDescent="0.3">
      <c r="A217" s="36"/>
      <c r="B217" s="36"/>
      <c r="C217" s="29" t="s">
        <v>2267</v>
      </c>
      <c r="D217" s="29"/>
      <c r="E217" s="29"/>
      <c r="F217" s="29"/>
      <c r="G217" s="37" t="s">
        <v>2284</v>
      </c>
      <c r="H217" s="36" t="s">
        <v>4037</v>
      </c>
      <c r="I217" s="637"/>
      <c r="J217" s="635" t="str">
        <f>IF(ISBLANK(HLOOKUP(CaseName,CaseData,MATCH($G217,cases!$G$3:$G$2464,0),FALSE)),"",HLOOKUP(CaseName,CaseData,MATCH($G217,cases!$G$3:$G$2464,0),FALSE))</f>
        <v/>
      </c>
      <c r="K217" s="352">
        <f>((1/L218)*L220/(L220+L221)+(1/L219)*L221/(L220+L221)-((1/L219-1/L218)^2/(L220+L221))*(1-EXP(-L218*L220))*(1-EXP(-L219*L221))/(1-EXP(-L218*L220-L219*L221)))^-1</f>
        <v>1.6685678004500911E-5</v>
      </c>
      <c r="L217" s="636">
        <f t="shared" si="12"/>
        <v>1.6685678004500911E-5</v>
      </c>
      <c r="M217" s="29" t="s">
        <v>1488</v>
      </c>
      <c r="N217" s="29"/>
      <c r="O217" s="36"/>
    </row>
    <row r="218" spans="1:15" ht="12.75" customHeight="1" x14ac:dyDescent="0.3">
      <c r="A218" s="36"/>
      <c r="B218" s="36"/>
      <c r="C218" s="36"/>
      <c r="D218" s="36" t="s">
        <v>3977</v>
      </c>
      <c r="E218" s="29"/>
      <c r="F218" s="29"/>
      <c r="G218" s="37" t="s">
        <v>759</v>
      </c>
      <c r="H218" s="36" t="s">
        <v>4037</v>
      </c>
      <c r="I218" s="637"/>
      <c r="J218" s="635" t="str">
        <f>IF(ISBLANK(HLOOKUP(CaseName,CaseData,MATCH($G218,cases!$G$3:$G$2464,0),FALSE)),"",HLOOKUP(CaseName,CaseData,MATCH($G218,cases!$G$3:$G$2464,0),FALSE))</f>
        <v/>
      </c>
      <c r="K218" s="352">
        <f>L222/L156 + SUM((L228*L154+L229*L155)/L156,L265,L169)</f>
        <v>1.0843152349883652E-5</v>
      </c>
      <c r="L218" s="636">
        <f t="shared" si="12"/>
        <v>1.0843152349883652E-5</v>
      </c>
      <c r="M218" s="29" t="s">
        <v>1488</v>
      </c>
      <c r="N218" s="29"/>
      <c r="O218" s="36"/>
    </row>
    <row r="219" spans="1:15" ht="12.75" customHeight="1" x14ac:dyDescent="0.3">
      <c r="A219" s="36"/>
      <c r="B219" s="36"/>
      <c r="C219" s="36"/>
      <c r="D219" s="36" t="s">
        <v>3978</v>
      </c>
      <c r="E219" s="29"/>
      <c r="F219" s="29"/>
      <c r="G219" s="37" t="s">
        <v>760</v>
      </c>
      <c r="H219" s="36" t="s">
        <v>4037</v>
      </c>
      <c r="I219" s="637"/>
      <c r="J219" s="635" t="str">
        <f>IF(ISBLANK(HLOOKUP(CaseName,CaseData,MATCH($G219,cases!$G$3:$G$2464,0),FALSE)),"",HLOOKUP(CaseName,CaseData,MATCH($G219,cases!$G$3:$G$2464,0),FALSE))</f>
        <v/>
      </c>
      <c r="K219" s="352">
        <f>(L223+L224)/L156 + SUM((L228*L154+L229*L155)/L156,L265,L169)</f>
        <v>8.1841770227934568E-2</v>
      </c>
      <c r="L219" s="636">
        <f t="shared" si="12"/>
        <v>8.1841770227934568E-2</v>
      </c>
      <c r="M219" s="29" t="s">
        <v>1488</v>
      </c>
      <c r="N219" s="29"/>
      <c r="O219" s="36"/>
    </row>
    <row r="220" spans="1:15" ht="12.75" customHeight="1" x14ac:dyDescent="0.3">
      <c r="A220" s="36"/>
      <c r="B220" s="29" t="s">
        <v>929</v>
      </c>
      <c r="C220" s="29"/>
      <c r="D220" s="29"/>
      <c r="E220" s="29"/>
      <c r="F220" s="29"/>
      <c r="G220" s="29" t="s">
        <v>761</v>
      </c>
      <c r="H220" s="29" t="s">
        <v>2192</v>
      </c>
      <c r="I220" s="637"/>
      <c r="J220" s="635" t="str">
        <f>IF(ISBLANK(HLOOKUP(CaseName,CaseData,MATCH($G220,cases!$G$3:$G$2464,0),FALSE)),"",HLOOKUP(CaseName,CaseData,MATCH($G220,cases!$G$3:$G$2464,0),FALSE))</f>
        <v/>
      </c>
      <c r="K220" s="352">
        <f>3.3*24</f>
        <v>79.199999999999989</v>
      </c>
      <c r="L220" s="650">
        <f>IF(ISBLANK(I220),IF(ISNUMBER(J220)=FALSE,K220*3600,J220*3600),I220*3600)</f>
        <v>285119.99999999994</v>
      </c>
      <c r="M220" s="36" t="s">
        <v>115</v>
      </c>
      <c r="N220" s="29"/>
      <c r="O220" s="36"/>
    </row>
    <row r="221" spans="1:15" ht="12.75" customHeight="1" x14ac:dyDescent="0.3">
      <c r="A221" s="36"/>
      <c r="B221" s="29" t="s">
        <v>931</v>
      </c>
      <c r="C221" s="29"/>
      <c r="D221" s="29"/>
      <c r="E221" s="29"/>
      <c r="F221" s="29"/>
      <c r="G221" s="29" t="s">
        <v>762</v>
      </c>
      <c r="H221" s="29" t="s">
        <v>2192</v>
      </c>
      <c r="I221" s="637"/>
      <c r="J221" s="635" t="str">
        <f>IF(ISBLANK(HLOOKUP(CaseName,CaseData,MATCH($G221,cases!$G$3:$G$2464,0),FALSE)),"",HLOOKUP(CaseName,CaseData,MATCH($G221,cases!$G$3:$G$2464,0),FALSE))</f>
        <v/>
      </c>
      <c r="K221" s="352">
        <f>3.3*24*(0.06/(1-0.06))</f>
        <v>5.0553191489361691</v>
      </c>
      <c r="L221" s="650">
        <f>IF(ISBLANK(I221),IF(ISNUMBER(J221)=FALSE,K221*3600,J221*3600),I221*3600)</f>
        <v>18199.148936170208</v>
      </c>
      <c r="M221" s="36" t="s">
        <v>763</v>
      </c>
      <c r="N221" s="29"/>
      <c r="O221" s="36"/>
    </row>
    <row r="222" spans="1:15" ht="12.75" customHeight="1" x14ac:dyDescent="0.3">
      <c r="A222" s="36"/>
      <c r="B222" s="36" t="s">
        <v>493</v>
      </c>
      <c r="C222" s="29"/>
      <c r="D222" s="29"/>
      <c r="E222" s="29"/>
      <c r="F222" s="29"/>
      <c r="G222" s="94" t="s">
        <v>413</v>
      </c>
      <c r="H222" s="30" t="s">
        <v>4045</v>
      </c>
      <c r="I222" s="638"/>
      <c r="J222" s="635" t="str">
        <f>IF(ISBLANK(HLOOKUP(CaseName,CaseData,MATCH($G222,cases!$G$3:$G$2464,0),FALSE)),"",HLOOKUP(CaseName,CaseData,MATCH($G222,cases!$G$3:$G$2464,0),FALSE))</f>
        <v/>
      </c>
      <c r="K222" s="352">
        <f>L225*(L183+L184)</f>
        <v>3.5634652873814484E-5</v>
      </c>
      <c r="L222" s="636">
        <f t="shared" si="12"/>
        <v>3.5634652873814484E-5</v>
      </c>
      <c r="M222" s="29" t="s">
        <v>1490</v>
      </c>
      <c r="N222" s="29"/>
      <c r="O222" s="36"/>
    </row>
    <row r="223" spans="1:15" ht="12.75" customHeight="1" x14ac:dyDescent="0.3">
      <c r="A223" s="36"/>
      <c r="B223" s="36" t="s">
        <v>745</v>
      </c>
      <c r="C223" s="29"/>
      <c r="D223" s="29"/>
      <c r="E223" s="29"/>
      <c r="F223" s="29"/>
      <c r="G223" s="37" t="s">
        <v>1023</v>
      </c>
      <c r="H223" s="95" t="s">
        <v>4045</v>
      </c>
      <c r="I223" s="638"/>
      <c r="J223" s="635" t="str">
        <f>IF(ISBLANK(HLOOKUP(CaseName,CaseData,MATCH($G223,cases!$G$3:$G$2464,0),FALSE)),"",HLOOKUP(CaseName,CaseData,MATCH($G223,cases!$G$3:$G$2464,0),FALSE))</f>
        <v/>
      </c>
      <c r="K223" s="352">
        <f>L184*(L220+L221)/L221*L226*L227</f>
        <v>6.1431813146683902E-4</v>
      </c>
      <c r="L223" s="636">
        <f t="shared" si="12"/>
        <v>6.1431813146683902E-4</v>
      </c>
      <c r="M223" s="29" t="s">
        <v>1490</v>
      </c>
      <c r="N223" s="29"/>
      <c r="O223" s="36"/>
    </row>
    <row r="224" spans="1:15" ht="12.75" customHeight="1" x14ac:dyDescent="0.3">
      <c r="A224" s="36"/>
      <c r="B224" s="36" t="s">
        <v>746</v>
      </c>
      <c r="C224" s="29"/>
      <c r="D224" s="29"/>
      <c r="E224" s="29"/>
      <c r="F224" s="29"/>
      <c r="G224" s="37" t="s">
        <v>1024</v>
      </c>
      <c r="H224" s="95" t="s">
        <v>4045</v>
      </c>
      <c r="I224" s="638"/>
      <c r="J224" s="635" t="str">
        <f>IF(ISBLANK(HLOOKUP(CaseName,CaseData,MATCH($G224,cases!$G$3:$G$2464,0),FALSE)),"",HLOOKUP(CaseName,CaseData,MATCH($G224,cases!$G$3:$G$2464,0),FALSE))</f>
        <v/>
      </c>
      <c r="K224" s="352">
        <f>L182*(L220+L221)/L221*L226/(L185*FRorig.aerw)</f>
        <v>81.830348392106089</v>
      </c>
      <c r="L224" s="636">
        <f t="shared" si="12"/>
        <v>81.830348392106089</v>
      </c>
      <c r="M224" s="29" t="s">
        <v>1490</v>
      </c>
      <c r="N224" s="29"/>
      <c r="O224" s="36"/>
    </row>
    <row r="225" spans="1:15" ht="12.75" customHeight="1" x14ac:dyDescent="0.3">
      <c r="A225" s="36"/>
      <c r="B225" s="29"/>
      <c r="C225" s="95" t="s">
        <v>747</v>
      </c>
      <c r="D225" s="95"/>
      <c r="E225" s="95"/>
      <c r="F225" s="95"/>
      <c r="G225" s="94" t="s">
        <v>494</v>
      </c>
      <c r="H225" s="30" t="s">
        <v>4045</v>
      </c>
      <c r="I225" s="638"/>
      <c r="J225" s="635" t="str">
        <f>IF(ISBLANK(HLOOKUP(CaseName,CaseData,MATCH($G225,cases!$G$3:$G$2464,0),FALSE)),"",HLOOKUP(CaseName,CaseData,MATCH($G225,cases!$G$3:$G$2464,0),FALSE))</f>
        <v/>
      </c>
      <c r="K225" s="352">
        <v>1E-3</v>
      </c>
      <c r="L225" s="636">
        <f t="shared" si="12"/>
        <v>1E-3</v>
      </c>
      <c r="M225" s="29" t="s">
        <v>1490</v>
      </c>
      <c r="N225" s="29"/>
      <c r="O225" s="36"/>
    </row>
    <row r="226" spans="1:15" ht="12.75" customHeight="1" x14ac:dyDescent="0.3">
      <c r="A226" s="36"/>
      <c r="B226" s="29"/>
      <c r="C226" s="36" t="s">
        <v>748</v>
      </c>
      <c r="D226" s="95"/>
      <c r="E226" s="95"/>
      <c r="F226" s="95"/>
      <c r="G226" s="94" t="s">
        <v>495</v>
      </c>
      <c r="H226" s="95" t="s">
        <v>4053</v>
      </c>
      <c r="I226" s="638"/>
      <c r="J226" s="635" t="str">
        <f>IF(ISBLANK(HLOOKUP(CaseName,CaseData,MATCH($G226,cases!$G$3:$G$2464,0),FALSE)),"",HLOOKUP(CaseName,CaseData,MATCH($G226,cases!$G$3:$G$2464,0),FALSE))</f>
        <v/>
      </c>
      <c r="K226" s="352">
        <v>250</v>
      </c>
      <c r="L226" s="636">
        <f>IF(ISBLANK(I226),IF(ISNUMBER(J226)=FALSE,K226/(1000*3600*24*365),J226/(1000*3600*24*365)),I226/(1000*3600*24*365))</f>
        <v>7.9274479959411465E-9</v>
      </c>
      <c r="M226" s="29" t="s">
        <v>1490</v>
      </c>
      <c r="N226" s="29"/>
      <c r="O226" s="36"/>
    </row>
    <row r="227" spans="1:15" ht="12.75" customHeight="1" x14ac:dyDescent="0.3">
      <c r="A227" s="36"/>
      <c r="B227" s="29"/>
      <c r="C227" s="36" t="s">
        <v>444</v>
      </c>
      <c r="D227" s="29"/>
      <c r="E227" s="29"/>
      <c r="F227" s="29"/>
      <c r="G227" s="94" t="s">
        <v>496</v>
      </c>
      <c r="H227" s="36" t="s">
        <v>36</v>
      </c>
      <c r="I227" s="638"/>
      <c r="J227" s="635" t="str">
        <f>IF(ISBLANK(HLOOKUP(CaseName,CaseData,MATCH($G227,cases!$G$3:$G$2464,0),FALSE)),"",HLOOKUP(CaseName,CaseData,MATCH($G227,cases!$G$3:$G$2464,0),FALSE))</f>
        <v/>
      </c>
      <c r="K227" s="352">
        <v>200000</v>
      </c>
      <c r="L227" s="636">
        <f t="shared" ref="L227:L237" si="13">IF(ISBLANK(I227),IF(ISNUMBER(J227)=FALSE,K227,J227),I227)</f>
        <v>200000</v>
      </c>
      <c r="M227" s="36" t="s">
        <v>486</v>
      </c>
      <c r="N227" s="29"/>
      <c r="O227" s="36"/>
    </row>
    <row r="228" spans="1:15" ht="12.75" customHeight="1" x14ac:dyDescent="0.3">
      <c r="A228" s="36"/>
      <c r="B228" s="36" t="s">
        <v>2218</v>
      </c>
      <c r="C228" s="29"/>
      <c r="D228" s="29"/>
      <c r="E228" s="95"/>
      <c r="F228" s="95"/>
      <c r="G228" s="37" t="s">
        <v>2285</v>
      </c>
      <c r="H228" s="36" t="s">
        <v>4046</v>
      </c>
      <c r="I228" s="638"/>
      <c r="J228" s="635" t="str">
        <f>IF(ISBLANK(HLOOKUP(CaseName,CaseData,MATCH($G228,cases!$G$3:$G$2464,0),FALSE)),"",HLOOKUP(CaseName,CaseData,MATCH($G228,cases!$G$3:$G$2464,0),FALSE))</f>
        <v/>
      </c>
      <c r="K228" s="352">
        <f>L182*(L232*L233/(L232*(L185*FRorig.w2)+L233))</f>
        <v>3.7284124282739089E-3</v>
      </c>
      <c r="L228" s="636">
        <f t="shared" si="13"/>
        <v>3.7284124282739089E-3</v>
      </c>
      <c r="M228" s="36" t="s">
        <v>4047</v>
      </c>
      <c r="N228" s="29"/>
      <c r="O228" s="36"/>
    </row>
    <row r="229" spans="1:15" ht="12.75" customHeight="1" x14ac:dyDescent="0.3">
      <c r="A229" s="36"/>
      <c r="B229" s="36" t="s">
        <v>2219</v>
      </c>
      <c r="C229" s="29"/>
      <c r="D229" s="29"/>
      <c r="E229" s="95"/>
      <c r="F229" s="95"/>
      <c r="G229" s="37" t="s">
        <v>2286</v>
      </c>
      <c r="H229" s="36" t="s">
        <v>4046</v>
      </c>
      <c r="I229" s="638"/>
      <c r="J229" s="635" t="str">
        <f>IF(ISBLANK(HLOOKUP(CaseName,CaseData,MATCH($G229,cases!$G$3:$G$2464,0),FALSE)),"",HLOOKUP(CaseName,CaseData,MATCH($G229,cases!$G$3:$G$2464,0),FALSE))</f>
        <v/>
      </c>
      <c r="K229" s="352">
        <f>L182*(L235*L236)/(L235*((L185*FRorig.s1w)/L204)+L236)</f>
        <v>1.0103654799832984E-3</v>
      </c>
      <c r="L229" s="636">
        <f>IF(ISBLANK(I229),IF(ISNUMBER(J229)=FALSE,K229,J229),I229)</f>
        <v>1.0103654799832984E-3</v>
      </c>
      <c r="M229" s="36" t="s">
        <v>4047</v>
      </c>
      <c r="N229" s="29"/>
      <c r="O229" s="36"/>
    </row>
    <row r="230" spans="1:15" ht="12.75" customHeight="1" x14ac:dyDescent="0.3">
      <c r="A230" s="36"/>
      <c r="B230" s="36" t="s">
        <v>2270</v>
      </c>
      <c r="C230" s="29"/>
      <c r="D230" s="29"/>
      <c r="E230" s="29"/>
      <c r="F230" s="29"/>
      <c r="G230" s="37" t="s">
        <v>2287</v>
      </c>
      <c r="H230" s="36" t="s">
        <v>4046</v>
      </c>
      <c r="I230" s="638"/>
      <c r="J230" s="635" t="str">
        <f>IF(ISBLANK(HLOOKUP(CaseName,CaseData,MATCH($G230,cases!$G$3:$G$2464,0),FALSE)),"",HLOOKUP(CaseName,CaseData,MATCH($G230,cases!$G$3:$G$2464,0),FALSE))</f>
        <v/>
      </c>
      <c r="K230" s="352">
        <f>(L232*L233/(L232*(L185*FRorig.w2)+L233))*(L185*FRorig.w2)*L189</f>
        <v>5.8182101402276977E-12</v>
      </c>
      <c r="L230" s="636">
        <f t="shared" si="13"/>
        <v>5.8182101402276977E-12</v>
      </c>
      <c r="M230" s="36" t="s">
        <v>4047</v>
      </c>
      <c r="N230" s="29"/>
      <c r="O230" s="36"/>
    </row>
    <row r="231" spans="1:15" ht="12.75" customHeight="1" x14ac:dyDescent="0.3">
      <c r="A231" s="36"/>
      <c r="B231" s="36" t="s">
        <v>2272</v>
      </c>
      <c r="C231" s="29"/>
      <c r="D231" s="29"/>
      <c r="E231" s="95"/>
      <c r="F231" s="95"/>
      <c r="G231" s="37" t="s">
        <v>2289</v>
      </c>
      <c r="H231" s="36" t="s">
        <v>4046</v>
      </c>
      <c r="I231" s="638"/>
      <c r="J231" s="635" t="str">
        <f>IF(ISBLANK(HLOOKUP(CaseName,CaseData,MATCH($G231,cases!$G$3:$G$2464,0),FALSE)),"",HLOOKUP(CaseName,CaseData,MATCH($G231,cases!$G$3:$G$2464,0),FALSE))</f>
        <v/>
      </c>
      <c r="K231" s="352">
        <f>(L235*L236)/(L235+L236/((L185*FRorig.s1w)/L204))*L237</f>
        <v>6.6966540417712738E-14</v>
      </c>
      <c r="L231" s="636">
        <f>IF(ISBLANK(I231),IF(ISNUMBER(J231)=FALSE,K231,J231),I231)</f>
        <v>6.6966540417712738E-14</v>
      </c>
      <c r="M231" s="36" t="s">
        <v>4047</v>
      </c>
      <c r="N231" s="29"/>
      <c r="O231" s="36"/>
    </row>
    <row r="232" spans="1:15" ht="12.75" customHeight="1" x14ac:dyDescent="0.3">
      <c r="A232" s="29"/>
      <c r="B232" s="36"/>
      <c r="C232" s="29" t="s">
        <v>1077</v>
      </c>
      <c r="D232" s="29"/>
      <c r="E232" s="29"/>
      <c r="F232" s="29"/>
      <c r="G232" s="29" t="s">
        <v>4022</v>
      </c>
      <c r="H232" s="30" t="s">
        <v>4045</v>
      </c>
      <c r="I232" s="638"/>
      <c r="J232" s="635" t="str">
        <f>IF(ISBLANK(HLOOKUP(CaseName,CaseData,MATCH($G232,cases!$G$3:$G$2464,0),FALSE)),"",HLOOKUP(CaseName,CaseData,MATCH($G232,cases!$G$3:$G$2464,0),FALSE))</f>
        <v/>
      </c>
      <c r="K232" s="352">
        <f>0.01*(0.3+0.2*L234)*((0.018/Molweight)^(0.67*0.5))</f>
        <v>3.8661873187415758E-3</v>
      </c>
      <c r="L232" s="636">
        <f t="shared" si="13"/>
        <v>3.8661873187415758E-3</v>
      </c>
      <c r="M232" s="29" t="s">
        <v>1490</v>
      </c>
      <c r="N232" s="29"/>
      <c r="O232" s="36"/>
    </row>
    <row r="233" spans="1:15" ht="12.75" customHeight="1" x14ac:dyDescent="0.3">
      <c r="A233" s="29"/>
      <c r="B233" s="36"/>
      <c r="C233" s="29" t="s">
        <v>1048</v>
      </c>
      <c r="D233" s="29"/>
      <c r="E233" s="29"/>
      <c r="F233" s="29"/>
      <c r="G233" s="29" t="s">
        <v>4023</v>
      </c>
      <c r="H233" s="30" t="s">
        <v>4045</v>
      </c>
      <c r="I233" s="638"/>
      <c r="J233" s="635" t="str">
        <f>IF(ISBLANK(HLOOKUP(CaseName,CaseData,MATCH($G233,cases!$G$3:$G$2464,0),FALSE)),"",HLOOKUP(CaseName,CaseData,MATCH($G233,cases!$G$3:$G$2464,0),FALSE))</f>
        <v/>
      </c>
      <c r="K233" s="352">
        <f>0.01*(0.0004+0.00004*L234^2)*((0.032/Molweight)^(0.5*0.5))</f>
        <v>4.6712434275245704E-6</v>
      </c>
      <c r="L233" s="636">
        <f t="shared" si="13"/>
        <v>4.6712434275245704E-6</v>
      </c>
      <c r="M233" s="29" t="s">
        <v>1490</v>
      </c>
      <c r="N233" s="29"/>
      <c r="O233" s="36"/>
    </row>
    <row r="234" spans="1:15" ht="12.75" customHeight="1" x14ac:dyDescent="0.3">
      <c r="A234" s="36"/>
      <c r="B234" s="29"/>
      <c r="C234" s="29"/>
      <c r="D234" s="95" t="s">
        <v>705</v>
      </c>
      <c r="E234" s="29"/>
      <c r="F234" s="29"/>
      <c r="G234" s="37" t="s">
        <v>407</v>
      </c>
      <c r="H234" s="30" t="s">
        <v>4045</v>
      </c>
      <c r="I234" s="638"/>
      <c r="J234" s="635" t="str">
        <f>IF(ISBLANK(HLOOKUP(CaseName,CaseData,MATCH($G234,cases!$G$3:$G$2464,0),FALSE)),"",HLOOKUP(CaseName,CaseData,MATCH($G234,cases!$G$3:$G$2464,0),FALSE))</f>
        <v/>
      </c>
      <c r="K234" s="352">
        <v>3</v>
      </c>
      <c r="L234" s="636">
        <f t="shared" si="13"/>
        <v>3</v>
      </c>
      <c r="M234" s="29" t="s">
        <v>1490</v>
      </c>
      <c r="N234" s="29"/>
      <c r="O234" s="36"/>
    </row>
    <row r="235" spans="1:15" ht="12.75" customHeight="1" x14ac:dyDescent="0.3">
      <c r="A235" s="36"/>
      <c r="B235" s="36"/>
      <c r="C235" s="29" t="s">
        <v>1049</v>
      </c>
      <c r="D235" s="29"/>
      <c r="E235" s="95"/>
      <c r="F235" s="95"/>
      <c r="G235" s="29" t="s">
        <v>4024</v>
      </c>
      <c r="H235" s="30" t="s">
        <v>4045</v>
      </c>
      <c r="I235" s="638"/>
      <c r="J235" s="635" t="str">
        <f>IF(ISBLANK(HLOOKUP(CaseName,CaseData,MATCH($G235,cases!$G$3:$G$2464,0),FALSE)),"",HLOOKUP(CaseName,CaseData,MATCH($G235,cases!$G$3:$G$2464,0),FALSE))</f>
        <v/>
      </c>
      <c r="K235" s="352">
        <f>0.43/(24*3600)/0.00475</f>
        <v>1.0477582846003899E-3</v>
      </c>
      <c r="L235" s="636">
        <f>IF(ISBLANK(I235),IF(ISNUMBER(J235)=FALSE,K235,J235),I235)</f>
        <v>1.0477582846003899E-3</v>
      </c>
      <c r="M235" s="29" t="s">
        <v>1490</v>
      </c>
      <c r="N235" s="29"/>
      <c r="O235" s="36"/>
    </row>
    <row r="236" spans="1:15" ht="12.75" customHeight="1" x14ac:dyDescent="0.3">
      <c r="A236" s="36"/>
      <c r="B236" s="36"/>
      <c r="C236" s="29" t="s">
        <v>872</v>
      </c>
      <c r="D236" s="29"/>
      <c r="E236" s="29"/>
      <c r="F236" s="29"/>
      <c r="G236" s="29" t="s">
        <v>4025</v>
      </c>
      <c r="H236" s="95" t="s">
        <v>4045</v>
      </c>
      <c r="I236" s="638"/>
      <c r="J236" s="635" t="str">
        <f>IF(ISBLANK(HLOOKUP(CaseName,CaseData,MATCH($G236,cases!$G$3:$G$2464,0),FALSE)),"",HLOOKUP(CaseName,CaseData,MATCH($G236,cases!$G$3:$G$2464,0),FALSE))</f>
        <v/>
      </c>
      <c r="K236" s="352">
        <f>0.1*L274</f>
        <v>9.4575531983700746E-10</v>
      </c>
      <c r="L236" s="636">
        <f>IF(ISBLANK(I236),IF(ISNUMBER(J236)=FALSE,K236,J236),I236)</f>
        <v>9.4575531983700746E-10</v>
      </c>
      <c r="M236" s="29" t="s">
        <v>1490</v>
      </c>
      <c r="N236" s="29" t="s">
        <v>1415</v>
      </c>
      <c r="O236" s="36"/>
    </row>
    <row r="237" spans="1:15" ht="12.75" customHeight="1" x14ac:dyDescent="0.3">
      <c r="A237" s="36"/>
      <c r="B237" s="36"/>
      <c r="C237" s="29" t="s">
        <v>185</v>
      </c>
      <c r="D237" s="29"/>
      <c r="E237" s="95"/>
      <c r="F237" s="29"/>
      <c r="G237" s="37" t="s">
        <v>917</v>
      </c>
      <c r="H237" s="29" t="s">
        <v>36</v>
      </c>
      <c r="I237" s="638"/>
      <c r="J237" s="635" t="str">
        <f>IF(ISBLANK(HLOOKUP(CaseName,CaseData,MATCH($G237,cases!$G$3:$G$2464,0),FALSE)),"",HLOOKUP(CaseName,CaseData,MATCH($G237,cases!$G$3:$G$2464,0),FALSE))</f>
        <v/>
      </c>
      <c r="K237" s="352">
        <f>(EXP((-1/0.1)*0)*(1/0.1)*L160/(1-EXP((-1/0.1)*L160)))</f>
        <v>1.2707470412683992</v>
      </c>
      <c r="L237" s="636">
        <f t="shared" si="13"/>
        <v>1.2707470412683992</v>
      </c>
      <c r="M237" s="36" t="s">
        <v>486</v>
      </c>
      <c r="N237" s="29" t="s">
        <v>995</v>
      </c>
      <c r="O237" s="36"/>
    </row>
    <row r="238" spans="1:15" ht="12.75" customHeight="1" x14ac:dyDescent="0.3">
      <c r="A238" s="29"/>
      <c r="B238" s="29"/>
      <c r="C238" s="29"/>
      <c r="D238" s="29"/>
      <c r="E238" s="29"/>
      <c r="F238" s="29"/>
      <c r="G238" s="29"/>
      <c r="H238" s="29"/>
      <c r="I238" s="648"/>
      <c r="J238" s="635"/>
      <c r="K238" s="339"/>
      <c r="L238" s="339"/>
      <c r="M238" s="29"/>
      <c r="N238" s="29"/>
      <c r="O238" s="36"/>
    </row>
    <row r="239" spans="1:15" ht="12.75" customHeight="1" x14ac:dyDescent="0.3">
      <c r="A239" s="36" t="s">
        <v>97</v>
      </c>
      <c r="B239" s="29"/>
      <c r="C239" s="29"/>
      <c r="D239" s="29"/>
      <c r="E239" s="29"/>
      <c r="F239" s="29"/>
      <c r="G239" s="37" t="s">
        <v>1164</v>
      </c>
      <c r="H239" s="36" t="s">
        <v>4037</v>
      </c>
      <c r="I239" s="639"/>
      <c r="J239" s="635" t="str">
        <f>IF(ISBLANK(HLOOKUP(CaseName,CaseData,MATCH($G239,cases!$G$3:$G$2464,0),FALSE)),"",HLOOKUP(CaseName,CaseData,MATCH($G239,cases!$G$3:$G$2464,0),FALSE))</f>
        <v/>
      </c>
      <c r="K239" s="352">
        <f>(L241+L247)/L158</f>
        <v>1.6497451674657539E-11</v>
      </c>
      <c r="L239" s="636">
        <f t="shared" ref="L239:L245" si="14">IF(ISBLANK(I239),IF(ISNUMBER(J239)=FALSE,K239,J239),I239)</f>
        <v>1.6497451674657539E-11</v>
      </c>
      <c r="M239" s="29" t="s">
        <v>1488</v>
      </c>
      <c r="N239" s="29"/>
      <c r="O239" s="36"/>
    </row>
    <row r="240" spans="1:15" ht="12.75" customHeight="1" x14ac:dyDescent="0.3">
      <c r="A240" s="36" t="s">
        <v>98</v>
      </c>
      <c r="B240" s="29"/>
      <c r="C240" s="29"/>
      <c r="D240" s="29"/>
      <c r="E240" s="29"/>
      <c r="F240" s="29"/>
      <c r="G240" s="37" t="s">
        <v>1165</v>
      </c>
      <c r="H240" s="36" t="s">
        <v>4037</v>
      </c>
      <c r="I240" s="639"/>
      <c r="J240" s="635" t="str">
        <f>IF(ISBLANK(HLOOKUP(CaseName,CaseData,MATCH($G240,cases!$G$3:$G$2464,0),FALSE)),"",HLOOKUP(CaseName,CaseData,MATCH($G240,cases!$G$3:$G$2464,0),FALSE))</f>
        <v/>
      </c>
      <c r="K240" s="352">
        <f>(L242+L248)/L159</f>
        <v>4.4595122549031241E-8</v>
      </c>
      <c r="L240" s="636">
        <f t="shared" si="14"/>
        <v>4.4595122549031241E-8</v>
      </c>
      <c r="M240" s="29" t="s">
        <v>1488</v>
      </c>
      <c r="N240" s="29"/>
      <c r="O240" s="36"/>
    </row>
    <row r="241" spans="1:15" ht="12.75" customHeight="1" x14ac:dyDescent="0.3">
      <c r="A241" s="36"/>
      <c r="B241" s="36" t="s">
        <v>2273</v>
      </c>
      <c r="C241" s="29"/>
      <c r="D241" s="29"/>
      <c r="E241" s="29"/>
      <c r="F241" s="29"/>
      <c r="G241" s="37" t="s">
        <v>2290</v>
      </c>
      <c r="H241" s="36" t="s">
        <v>4046</v>
      </c>
      <c r="I241" s="638"/>
      <c r="J241" s="635" t="str">
        <f>IF(ISBLANK(HLOOKUP(CaseName,CaseData,MATCH($G241,cases!$G$3:$G$2464,0),FALSE)),"",HLOOKUP(CaseName,CaseData,MATCH($G241,cases!$G$3:$G$2464,0),FALSE))</f>
        <v/>
      </c>
      <c r="K241" s="352">
        <f>L244*(1-L190)</f>
        <v>2.20083250063939E-8</v>
      </c>
      <c r="L241" s="636">
        <f t="shared" si="14"/>
        <v>2.20083250063939E-8</v>
      </c>
      <c r="M241" s="36" t="s">
        <v>4047</v>
      </c>
      <c r="N241" s="325"/>
      <c r="O241" s="36"/>
    </row>
    <row r="242" spans="1:15" ht="12.75" customHeight="1" x14ac:dyDescent="0.3">
      <c r="A242" s="36"/>
      <c r="B242" s="36" t="s">
        <v>2274</v>
      </c>
      <c r="C242" s="29"/>
      <c r="D242" s="29"/>
      <c r="E242" s="29"/>
      <c r="F242" s="29"/>
      <c r="G242" s="37" t="s">
        <v>2291</v>
      </c>
      <c r="H242" s="36" t="s">
        <v>4046</v>
      </c>
      <c r="I242" s="638"/>
      <c r="J242" s="635" t="str">
        <f>IF(ISBLANK(HLOOKUP(CaseName,CaseData,MATCH($G242,cases!$G$3:$G$2464,0),FALSE)),"",HLOOKUP(CaseName,CaseData,MATCH($G242,cases!$G$3:$G$2464,0),FALSE))</f>
        <v/>
      </c>
      <c r="K242" s="352">
        <f>L243-L245</f>
        <v>2.8928843226788437E-10</v>
      </c>
      <c r="L242" s="636">
        <f t="shared" si="14"/>
        <v>2.8928843226788437E-10</v>
      </c>
      <c r="M242" s="36" t="s">
        <v>4047</v>
      </c>
      <c r="N242" s="29"/>
      <c r="O242" s="36"/>
    </row>
    <row r="243" spans="1:15" ht="12.75" customHeight="1" x14ac:dyDescent="0.3">
      <c r="A243" s="36"/>
      <c r="B243" s="36"/>
      <c r="C243" s="36" t="s">
        <v>1228</v>
      </c>
      <c r="D243" s="36"/>
      <c r="E243" s="29"/>
      <c r="F243" s="29"/>
      <c r="G243" s="94" t="s">
        <v>162</v>
      </c>
      <c r="H243" s="30" t="s">
        <v>4045</v>
      </c>
      <c r="I243" s="638"/>
      <c r="J243" s="635" t="str">
        <f>IF(ISBLANK(HLOOKUP(CaseName,CaseData,MATCH($G243,cases!$G$3:$G$2464,0),FALSE)),"",HLOOKUP(CaseName,CaseData,MATCH($G243,cases!$G$3:$G$2464,0),FALSE))</f>
        <v/>
      </c>
      <c r="K243" s="352">
        <f>IF(L244*L195/(L167*RHOsolid)&gt;L245,L244*L195/(L167*RHOsolid),L245)</f>
        <v>2.893518518518519E-10</v>
      </c>
      <c r="L243" s="653">
        <f t="shared" si="14"/>
        <v>2.893518518518519E-10</v>
      </c>
      <c r="M243" s="29" t="s">
        <v>1490</v>
      </c>
      <c r="N243" s="29"/>
      <c r="O243" s="36"/>
    </row>
    <row r="244" spans="1:15" ht="12.75" customHeight="1" x14ac:dyDescent="0.3">
      <c r="A244" s="36"/>
      <c r="B244" s="36"/>
      <c r="C244" s="29"/>
      <c r="D244" s="36" t="s">
        <v>582</v>
      </c>
      <c r="E244" s="95"/>
      <c r="F244" s="95"/>
      <c r="G244" s="94" t="s">
        <v>1285</v>
      </c>
      <c r="H244" s="30" t="s">
        <v>4045</v>
      </c>
      <c r="I244" s="638"/>
      <c r="J244" s="635" t="str">
        <f>IF(ISBLANK(HLOOKUP(CaseName,CaseData,MATCH($G244,cases!$G$3:$G$2464,0),FALSE)),"",HLOOKUP(CaseName,CaseData,MATCH($G244,cases!$G$3:$G$2464,0),FALSE))</f>
        <v/>
      </c>
      <c r="K244" s="352">
        <f>2.5/(24*3600)</f>
        <v>2.8935185185185186E-5</v>
      </c>
      <c r="L244" s="653">
        <f t="shared" si="14"/>
        <v>2.8935185185185186E-5</v>
      </c>
      <c r="M244" s="29" t="s">
        <v>1490</v>
      </c>
      <c r="N244" s="29"/>
      <c r="O244" s="36"/>
    </row>
    <row r="245" spans="1:15" ht="12.75" customHeight="1" x14ac:dyDescent="0.3">
      <c r="A245" s="36"/>
      <c r="B245" s="36"/>
      <c r="C245" s="29"/>
      <c r="D245" s="36" t="s">
        <v>565</v>
      </c>
      <c r="E245" s="95"/>
      <c r="F245" s="95"/>
      <c r="G245" s="94" t="s">
        <v>1287</v>
      </c>
      <c r="H245" s="30" t="s">
        <v>4045</v>
      </c>
      <c r="I245" s="638"/>
      <c r="J245" s="635" t="str">
        <f>IF(ISBLANK(HLOOKUP(CaseName,CaseData,MATCH($G245,cases!$G$3:$G$2464,0),FALSE)),"",HLOOKUP(CaseName,CaseData,MATCH($G245,cases!$G$3:$G$2464,0),FALSE))</f>
        <v/>
      </c>
      <c r="K245" s="352">
        <v>6.3419583967528499E-14</v>
      </c>
      <c r="L245" s="636">
        <f t="shared" si="14"/>
        <v>6.3419583967528499E-14</v>
      </c>
      <c r="M245" s="29" t="s">
        <v>1490</v>
      </c>
      <c r="N245" s="29" t="s">
        <v>923</v>
      </c>
      <c r="O245" s="36"/>
    </row>
    <row r="246" spans="1:15" ht="12.75" customHeight="1" x14ac:dyDescent="0.3">
      <c r="A246" s="36"/>
      <c r="B246" s="36"/>
      <c r="C246" s="36"/>
      <c r="D246" s="29"/>
      <c r="E246" s="36" t="s">
        <v>803</v>
      </c>
      <c r="F246" s="36"/>
      <c r="G246" s="94" t="s">
        <v>1286</v>
      </c>
      <c r="H246" s="36" t="s">
        <v>4048</v>
      </c>
      <c r="I246" s="638"/>
      <c r="J246" s="635" t="str">
        <f>IF(ISBLANK(HLOOKUP(CaseName,CaseData,MATCH($G246,cases!$G$3:$G$2464,0),FALSE)),"",HLOOKUP(CaseName,CaseData,MATCH($G246,cases!$G$3:$G$2464,0),FALSE))</f>
        <v/>
      </c>
      <c r="K246" s="352">
        <v>1</v>
      </c>
      <c r="L246" s="636">
        <f>IF(ISBLANK(I246),IF(ISNUMBER(J246)=FALSE,K246/(1000*3600*24*365)*L154*L153,J246/(1000*3600*24*365)*L154*L153),I246/(1000*3600*24*365)*L154*L153)</f>
        <v>808.59969558599687</v>
      </c>
      <c r="M246" s="36" t="s">
        <v>1499</v>
      </c>
      <c r="N246" s="29"/>
      <c r="O246" s="36"/>
    </row>
    <row r="247" spans="1:15" ht="12.75" customHeight="1" x14ac:dyDescent="0.3">
      <c r="A247" s="29"/>
      <c r="B247" s="29" t="s">
        <v>2275</v>
      </c>
      <c r="C247" s="95"/>
      <c r="D247" s="95"/>
      <c r="E247" s="29"/>
      <c r="F247" s="29"/>
      <c r="G247" s="37" t="s">
        <v>2292</v>
      </c>
      <c r="H247" s="36" t="s">
        <v>4046</v>
      </c>
      <c r="I247" s="638"/>
      <c r="J247" s="635" t="str">
        <f>IF(ISBLANK(HLOOKUP(CaseName,CaseData,MATCH($G247,cases!$G$3:$G$2464,0),FALSE)),"",HLOOKUP(CaseName,CaseData,MATCH($G247,cases!$G$3:$G$2464,0),FALSE))</f>
        <v/>
      </c>
      <c r="K247" s="352">
        <f>(L249*L250)/(L249+L250)*L190</f>
        <v>2.7484030017578716E-8</v>
      </c>
      <c r="L247" s="636">
        <f>IF(ISBLANK(I247),IF(ISNUMBER(J247)=FALSE,K247,J247),I247)</f>
        <v>2.7484030017578716E-8</v>
      </c>
      <c r="M247" s="36" t="s">
        <v>4047</v>
      </c>
      <c r="N247" s="29"/>
      <c r="O247" s="36"/>
    </row>
    <row r="248" spans="1:15" ht="12.75" customHeight="1" x14ac:dyDescent="0.3">
      <c r="A248" s="29"/>
      <c r="B248" s="29" t="s">
        <v>2276</v>
      </c>
      <c r="C248" s="95"/>
      <c r="D248" s="95"/>
      <c r="E248" s="29"/>
      <c r="F248" s="29"/>
      <c r="G248" s="37" t="s">
        <v>2293</v>
      </c>
      <c r="H248" s="36" t="s">
        <v>4046</v>
      </c>
      <c r="I248" s="638"/>
      <c r="J248" s="635" t="str">
        <f>IF(ISBLANK(HLOOKUP(CaseName,CaseData,MATCH($G248,cases!$G$3:$G$2464,0),FALSE)),"",HLOOKUP(CaseName,CaseData,MATCH($G248,cases!$G$3:$G$2464,0),FALSE))</f>
        <v/>
      </c>
      <c r="K248" s="352">
        <f>(L249*L250/(L249+L250))/L201</f>
        <v>1.0485652442030529E-9</v>
      </c>
      <c r="L248" s="636">
        <f>IF(ISBLANK(I248),IF(ISNUMBER(J248)=FALSE,K248,J248),I248)</f>
        <v>1.0485652442030529E-9</v>
      </c>
      <c r="M248" s="36" t="s">
        <v>4047</v>
      </c>
      <c r="N248" s="29"/>
      <c r="O248" s="36"/>
    </row>
    <row r="249" spans="1:15" ht="12.75" customHeight="1" x14ac:dyDescent="0.3">
      <c r="A249" s="36"/>
      <c r="B249" s="36"/>
      <c r="C249" s="29" t="s">
        <v>1076</v>
      </c>
      <c r="D249" s="29"/>
      <c r="E249" s="29"/>
      <c r="F249" s="29"/>
      <c r="G249" s="29" t="s">
        <v>1288</v>
      </c>
      <c r="H249" s="30" t="s">
        <v>4045</v>
      </c>
      <c r="I249" s="638"/>
      <c r="J249" s="635" t="str">
        <f>IF(ISBLANK(HLOOKUP(CaseName,CaseData,MATCH($G249,cases!$G$3:$G$2464,0),FALSE)),"",HLOOKUP(CaseName,CaseData,MATCH($G249,cases!$G$3:$G$2464,0),FALSE))</f>
        <v/>
      </c>
      <c r="K249" s="345">
        <v>2.7779999999999999E-6</v>
      </c>
      <c r="L249" s="636">
        <f>IF(ISBLANK(I249),IF(ISNUMBER(J249)=FALSE,K249,J249),I249)</f>
        <v>2.7779999999999999E-6</v>
      </c>
      <c r="M249" s="29" t="s">
        <v>1490</v>
      </c>
      <c r="N249" s="29"/>
      <c r="O249" s="36"/>
    </row>
    <row r="250" spans="1:15" ht="12.75" customHeight="1" x14ac:dyDescent="0.3">
      <c r="A250" s="36"/>
      <c r="B250" s="36"/>
      <c r="C250" s="29" t="s">
        <v>1230</v>
      </c>
      <c r="D250" s="29"/>
      <c r="E250" s="29"/>
      <c r="F250" s="29"/>
      <c r="G250" s="29" t="s">
        <v>1289</v>
      </c>
      <c r="H250" s="30" t="s">
        <v>4045</v>
      </c>
      <c r="I250" s="638"/>
      <c r="J250" s="635" t="str">
        <f>IF(ISBLANK(HLOOKUP(CaseName,CaseData,MATCH($G250,cases!$G$3:$G$2464,0),FALSE)),"",HLOOKUP(CaseName,CaseData,MATCH($G250,cases!$G$3:$G$2464,0),FALSE))</f>
        <v/>
      </c>
      <c r="K250" s="345">
        <v>2.7779999999999998E-8</v>
      </c>
      <c r="L250" s="636">
        <f>IF(ISBLANK(I250),IF(ISNUMBER(J250)=FALSE,K250,J250),I250)</f>
        <v>2.7779999999999998E-8</v>
      </c>
      <c r="M250" s="29" t="s">
        <v>1490</v>
      </c>
      <c r="N250" s="29"/>
      <c r="O250" s="36"/>
    </row>
    <row r="251" spans="1:15" ht="12.75" customHeight="1" x14ac:dyDescent="0.3">
      <c r="A251" s="29"/>
      <c r="B251" s="29"/>
      <c r="C251" s="29"/>
      <c r="D251" s="29"/>
      <c r="E251" s="29"/>
      <c r="F251" s="29"/>
      <c r="G251" s="29"/>
      <c r="H251" s="29"/>
      <c r="I251" s="648"/>
      <c r="J251" s="635"/>
      <c r="K251" s="339"/>
      <c r="L251" s="339"/>
      <c r="M251" s="29"/>
      <c r="N251" s="29"/>
      <c r="O251" s="36"/>
    </row>
    <row r="252" spans="1:15" ht="12.75" customHeight="1" x14ac:dyDescent="0.3">
      <c r="A252" s="36" t="s">
        <v>89</v>
      </c>
      <c r="B252" s="29"/>
      <c r="C252" s="29"/>
      <c r="D252" s="29"/>
      <c r="E252" s="29"/>
      <c r="F252" s="29"/>
      <c r="G252" s="37" t="s">
        <v>1261</v>
      </c>
      <c r="H252" s="36" t="s">
        <v>4037</v>
      </c>
      <c r="I252" s="639"/>
      <c r="J252" s="635" t="str">
        <f>IF(ISBLANK(HLOOKUP(CaseName,CaseData,MATCH($G252,cases!$G$3:$G$2464,0),FALSE)),"",HLOOKUP(CaseName,CaseData,MATCH($G252,cases!$G$3:$G$2464,0),FALSE))</f>
        <v/>
      </c>
      <c r="K252" s="352">
        <f>(L226*L254/L204+L253)*L255/L160</f>
        <v>1.6513345540686168E-9</v>
      </c>
      <c r="L252" s="636">
        <f>IF(ISBLANK(I252),IF(ISNUMBER(J252)=FALSE,K252,J252),I252)</f>
        <v>1.6513345540686168E-9</v>
      </c>
      <c r="M252" s="29" t="s">
        <v>1488</v>
      </c>
      <c r="N252" s="29"/>
      <c r="O252" s="36"/>
    </row>
    <row r="253" spans="1:15" ht="12.75" customHeight="1" x14ac:dyDescent="0.3">
      <c r="A253" s="29"/>
      <c r="B253" s="29"/>
      <c r="C253" s="95" t="s">
        <v>211</v>
      </c>
      <c r="D253" s="29"/>
      <c r="E253" s="29"/>
      <c r="F253" s="29"/>
      <c r="G253" s="94" t="s">
        <v>669</v>
      </c>
      <c r="H253" s="30" t="s">
        <v>4045</v>
      </c>
      <c r="I253" s="638"/>
      <c r="J253" s="635" t="str">
        <f>IF(ISBLANK(HLOOKUP(CaseName,CaseData,MATCH($G253,cases!$G$3:$G$2464,0),FALSE)),"",HLOOKUP(CaseName,CaseData,MATCH($G253,cases!$G$3:$G$2464,0),FALSE))</f>
        <v/>
      </c>
      <c r="K253" s="352">
        <f>EROSION.C</f>
        <v>9.5129375951293754E-13</v>
      </c>
      <c r="L253" s="636">
        <f>IF(ISBLANK(I253),IF(ISNUMBER(J253)=FALSE,K253,J253),I253)</f>
        <v>9.5129375951293754E-13</v>
      </c>
      <c r="M253" s="29" t="s">
        <v>1490</v>
      </c>
      <c r="N253" s="29"/>
      <c r="O253" s="36"/>
    </row>
    <row r="254" spans="1:15" ht="12.75" customHeight="1" x14ac:dyDescent="0.3">
      <c r="A254" s="29"/>
      <c r="B254" s="29"/>
      <c r="C254" s="36" t="s">
        <v>1002</v>
      </c>
      <c r="D254" s="29"/>
      <c r="E254" s="29"/>
      <c r="F254" s="29"/>
      <c r="G254" s="94" t="s">
        <v>670</v>
      </c>
      <c r="H254" s="36" t="s">
        <v>36</v>
      </c>
      <c r="I254" s="638"/>
      <c r="J254" s="635" t="str">
        <f>IF(ISBLANK(HLOOKUP(CaseName,CaseData,MATCH($G254,cases!$G$3:$G$2464,0),FALSE)),"",HLOOKUP(CaseName,CaseData,MATCH($G254,cases!$G$3:$G$2464,0),FALSE))</f>
        <v/>
      </c>
      <c r="K254" s="352">
        <f>FRACrun.C</f>
        <v>0.25</v>
      </c>
      <c r="L254" s="636">
        <f>IF(ISBLANK(I254),IF(ISNUMBER(J254)=FALSE,K254,J254),I254)</f>
        <v>0.25</v>
      </c>
      <c r="M254" s="29" t="s">
        <v>486</v>
      </c>
      <c r="N254" s="29"/>
      <c r="O254" s="36"/>
    </row>
    <row r="255" spans="1:15" ht="12.75" customHeight="1" x14ac:dyDescent="0.3">
      <c r="A255" s="36"/>
      <c r="B255" s="36"/>
      <c r="C255" s="29" t="s">
        <v>185</v>
      </c>
      <c r="D255" s="29"/>
      <c r="E255" s="95"/>
      <c r="F255" s="95"/>
      <c r="G255" s="37" t="s">
        <v>918</v>
      </c>
      <c r="H255" s="29" t="s">
        <v>36</v>
      </c>
      <c r="I255" s="639"/>
      <c r="J255" s="635" t="str">
        <f>IF(ISBLANK(HLOOKUP(CaseName,CaseData,MATCH($G255,cases!$G$3:$G$2464,0),FALSE)),"",HLOOKUP(CaseName,CaseData,MATCH($G255,cases!$G$3:$G$2464,0),FALSE))</f>
        <v/>
      </c>
      <c r="K255" s="352">
        <f>(EXP((-1/0.1)*0)*(1/0.1)*L160/(1-EXP((-1/0.1)*L160)))</f>
        <v>1.2707470412683992</v>
      </c>
      <c r="L255" s="636">
        <f>IF(ISBLANK(I255),IF(ISNUMBER(J255)=FALSE,K255,J255),I255)</f>
        <v>1.2707470412683992</v>
      </c>
      <c r="M255" s="36" t="s">
        <v>486</v>
      </c>
      <c r="N255" s="29" t="s">
        <v>995</v>
      </c>
      <c r="O255" s="36"/>
    </row>
    <row r="256" spans="1:15" ht="12.75" customHeight="1" x14ac:dyDescent="0.3">
      <c r="A256" s="29"/>
      <c r="B256" s="29"/>
      <c r="C256" s="29"/>
      <c r="D256" s="95"/>
      <c r="E256" s="29"/>
      <c r="F256" s="29"/>
      <c r="G256" s="29"/>
      <c r="H256" s="29"/>
      <c r="I256" s="654"/>
      <c r="J256" s="353"/>
      <c r="K256" s="353"/>
      <c r="L256" s="339"/>
      <c r="M256" s="29"/>
      <c r="N256" s="29"/>
      <c r="O256" s="36"/>
    </row>
    <row r="257" spans="1:15" ht="12.75" customHeight="1" x14ac:dyDescent="0.3">
      <c r="A257" s="98" t="s">
        <v>419</v>
      </c>
      <c r="B257" s="97"/>
      <c r="C257" s="97"/>
      <c r="D257" s="97"/>
      <c r="E257" s="97"/>
      <c r="F257" s="97"/>
      <c r="G257" s="98" t="s">
        <v>1008</v>
      </c>
      <c r="H257" s="98" t="s">
        <v>968</v>
      </c>
      <c r="I257" s="364" t="s">
        <v>754</v>
      </c>
      <c r="J257" s="340" t="s">
        <v>37</v>
      </c>
      <c r="K257" s="340" t="s">
        <v>753</v>
      </c>
      <c r="L257" s="340" t="s">
        <v>1358</v>
      </c>
      <c r="M257" s="97"/>
      <c r="N257" s="98" t="s">
        <v>1371</v>
      </c>
      <c r="O257" s="36"/>
    </row>
    <row r="258" spans="1:15" ht="12.75" customHeight="1" x14ac:dyDescent="0.3">
      <c r="A258" s="36"/>
      <c r="B258" s="29"/>
      <c r="C258" s="29"/>
      <c r="D258" s="29"/>
      <c r="E258" s="29"/>
      <c r="F258" s="29"/>
      <c r="G258" s="29"/>
      <c r="H258" s="29"/>
      <c r="I258" s="645"/>
      <c r="J258" s="645"/>
      <c r="K258" s="651"/>
      <c r="L258" s="342"/>
      <c r="M258" s="29"/>
      <c r="N258" s="29"/>
      <c r="O258" s="36"/>
    </row>
    <row r="259" spans="1:15" ht="12.75" customHeight="1" x14ac:dyDescent="0.3">
      <c r="A259" s="36" t="s">
        <v>224</v>
      </c>
      <c r="B259" s="29"/>
      <c r="C259" s="29"/>
      <c r="D259" s="29"/>
      <c r="E259" s="29"/>
      <c r="F259" s="29"/>
      <c r="G259" s="37" t="s">
        <v>1365</v>
      </c>
      <c r="H259" s="36" t="s">
        <v>4037</v>
      </c>
      <c r="I259" s="639"/>
      <c r="J259" s="635" t="str">
        <f>IF(ISBLANK(HLOOKUP(CaseName,CaseData,MATCH($G259,cases!$G$3:$G$2464,0),FALSE)),"",HLOOKUP(CaseName,CaseData,MATCH($G259,cases!$G$3:$G$2464,0),FALSE))</f>
        <v/>
      </c>
      <c r="K259" s="352">
        <f>L264+L265</f>
        <v>7.4743485216883895E-6</v>
      </c>
      <c r="L259" s="636">
        <f t="shared" ref="L259:L274" si="15">IF(ISBLANK(I259),IF(ISNUMBER(J259)=FALSE,K259,J259),I259)</f>
        <v>7.4743485216883895E-6</v>
      </c>
      <c r="M259" s="29" t="s">
        <v>1488</v>
      </c>
      <c r="N259" s="29"/>
      <c r="O259" s="36"/>
    </row>
    <row r="260" spans="1:15" ht="12.75" customHeight="1" x14ac:dyDescent="0.3">
      <c r="A260" s="36" t="s">
        <v>4013</v>
      </c>
      <c r="B260" s="29"/>
      <c r="C260" s="29"/>
      <c r="D260" s="29"/>
      <c r="E260" s="29"/>
      <c r="F260" s="29"/>
      <c r="G260" s="37" t="s">
        <v>1046</v>
      </c>
      <c r="H260" s="36" t="s">
        <v>4037</v>
      </c>
      <c r="I260" s="639"/>
      <c r="J260" s="635" t="str">
        <f>IF(ISBLANK(HLOOKUP(CaseName,CaseData,MATCH($G260,cases!$G$3:$G$2464,0),FALSE)),"",HLOOKUP(CaseName,CaseData,MATCH($G260,cases!$G$3:$G$2464,0),FALSE))</f>
        <v/>
      </c>
      <c r="K260" s="352">
        <f>L268</f>
        <v>1.8894918047157747E-8</v>
      </c>
      <c r="L260" s="636">
        <f t="shared" si="15"/>
        <v>1.8894918047157747E-8</v>
      </c>
      <c r="M260" s="29" t="s">
        <v>1488</v>
      </c>
      <c r="N260" s="29"/>
      <c r="O260" s="36"/>
    </row>
    <row r="261" spans="1:15" ht="12.75" customHeight="1" x14ac:dyDescent="0.3">
      <c r="A261" s="36" t="s">
        <v>1168</v>
      </c>
      <c r="B261" s="29"/>
      <c r="C261" s="29"/>
      <c r="D261" s="29"/>
      <c r="E261" s="29"/>
      <c r="F261" s="29"/>
      <c r="G261" s="37" t="s">
        <v>1170</v>
      </c>
      <c r="H261" s="36" t="s">
        <v>4037</v>
      </c>
      <c r="I261" s="639"/>
      <c r="J261" s="635" t="str">
        <f>IF(ISBLANK(HLOOKUP(CaseName,CaseData,MATCH($G261,cases!$G$3:$G$2464,0),FALSE)),"",HLOOKUP(CaseName,CaseData,MATCH($G261,cases!$G$3:$G$2464,0),FALSE))</f>
        <v/>
      </c>
      <c r="K261" s="352">
        <f>L269</f>
        <v>1.8894918047157747E-8</v>
      </c>
      <c r="L261" s="636">
        <f t="shared" si="15"/>
        <v>1.8894918047157747E-8</v>
      </c>
      <c r="M261" s="29" t="s">
        <v>1488</v>
      </c>
      <c r="N261" s="29"/>
      <c r="O261" s="36"/>
    </row>
    <row r="262" spans="1:15" ht="12.75" customHeight="1" x14ac:dyDescent="0.3">
      <c r="A262" s="36" t="s">
        <v>225</v>
      </c>
      <c r="B262" s="29"/>
      <c r="C262" s="29"/>
      <c r="D262" s="29"/>
      <c r="E262" s="29"/>
      <c r="F262" s="29"/>
      <c r="G262" s="37" t="s">
        <v>1262</v>
      </c>
      <c r="H262" s="36" t="s">
        <v>4037</v>
      </c>
      <c r="I262" s="639"/>
      <c r="J262" s="635" t="str">
        <f>IF(ISBLANK(HLOOKUP(CaseName,CaseData,MATCH($G262,cases!$G$3:$G$2464,0),FALSE)),"",HLOOKUP(CaseName,CaseData,MATCH($G262,cases!$G$3:$G$2464,0),FALSE))</f>
        <v/>
      </c>
      <c r="K262" s="352">
        <f>L273+L245/L159</f>
        <v>2.10575666016223E-9</v>
      </c>
      <c r="L262" s="636">
        <f t="shared" si="15"/>
        <v>2.10575666016223E-9</v>
      </c>
      <c r="M262" s="29" t="s">
        <v>1488</v>
      </c>
      <c r="N262" s="29"/>
      <c r="O262" s="36"/>
    </row>
    <row r="263" spans="1:15" ht="12.75" customHeight="1" x14ac:dyDescent="0.3">
      <c r="A263" s="36" t="s">
        <v>844</v>
      </c>
      <c r="B263" s="29"/>
      <c r="C263" s="29"/>
      <c r="D263" s="29"/>
      <c r="E263" s="29"/>
      <c r="F263" s="29"/>
      <c r="G263" s="37" t="s">
        <v>1366</v>
      </c>
      <c r="H263" s="36" t="s">
        <v>4037</v>
      </c>
      <c r="I263" s="639"/>
      <c r="J263" s="635" t="str">
        <f>IF(ISBLANK(HLOOKUP(CaseName,CaseData,MATCH($G263,cases!$G$3:$G$2464,0),FALSE)),"",HLOOKUP(CaseName,CaseData,MATCH($G263,cases!$G$3:$G$2464,0),FALSE))</f>
        <v/>
      </c>
      <c r="K263" s="352">
        <f>L274+L275*L226/L204*L276/L160</f>
        <v>9.4685168992258617E-9</v>
      </c>
      <c r="L263" s="636">
        <f t="shared" si="15"/>
        <v>9.4685168992258617E-9</v>
      </c>
      <c r="M263" s="29" t="s">
        <v>1488</v>
      </c>
      <c r="N263" s="29"/>
      <c r="O263" s="36"/>
    </row>
    <row r="264" spans="1:15" ht="12.75" customHeight="1" x14ac:dyDescent="0.3">
      <c r="A264" s="36"/>
      <c r="B264" s="36" t="s">
        <v>796</v>
      </c>
      <c r="C264" s="95"/>
      <c r="D264" s="29"/>
      <c r="E264" s="29"/>
      <c r="F264" s="29"/>
      <c r="G264" s="94" t="s">
        <v>674</v>
      </c>
      <c r="H264" s="36" t="s">
        <v>4037</v>
      </c>
      <c r="I264" s="639"/>
      <c r="J264" s="635" t="str">
        <f>IF(ISBLANK(HLOOKUP(CaseName,CaseData,MATCH($G264,cases!$G$3:$G$2464,0),FALSE)),"",HLOOKUP(CaseName,CaseData,MATCH($G264,cases!$G$3:$G$2464,0),FALSE))</f>
        <v/>
      </c>
      <c r="K264" s="352">
        <f>LN(2)/(60*365*24*3600)</f>
        <v>3.663258818281463E-10</v>
      </c>
      <c r="L264" s="636">
        <f t="shared" si="15"/>
        <v>3.663258818281463E-10</v>
      </c>
      <c r="M264" s="36" t="s">
        <v>1488</v>
      </c>
      <c r="N264" s="29"/>
      <c r="O264" s="36"/>
    </row>
    <row r="265" spans="1:15" ht="12.75" customHeight="1" x14ac:dyDescent="0.3">
      <c r="A265" s="36"/>
      <c r="B265" s="36" t="s">
        <v>797</v>
      </c>
      <c r="C265" s="29"/>
      <c r="D265" s="29"/>
      <c r="E265" s="29"/>
      <c r="F265" s="29"/>
      <c r="G265" s="37" t="s">
        <v>671</v>
      </c>
      <c r="H265" s="36" t="s">
        <v>4037</v>
      </c>
      <c r="I265" s="638"/>
      <c r="J265" s="635" t="str">
        <f>IF(ISBLANK(HLOOKUP(CaseName,CaseData,MATCH($G265,cases!$G$3:$G$2464,0),FALSE)),"",HLOOKUP(CaseName,CaseData,MATCH($G265,cases!$G$3:$G$2464,0),FALSE))</f>
        <v/>
      </c>
      <c r="K265" s="352">
        <f>L182*kdeg.air*(L266/C.OHrad)*L267</f>
        <v>7.4739821958065615E-6</v>
      </c>
      <c r="L265" s="636">
        <f t="shared" si="15"/>
        <v>7.4739821958065615E-6</v>
      </c>
      <c r="M265" s="36" t="s">
        <v>1488</v>
      </c>
      <c r="N265" s="29"/>
      <c r="O265" s="36"/>
    </row>
    <row r="266" spans="1:15" ht="12.75" customHeight="1" x14ac:dyDescent="0.3">
      <c r="A266" s="95"/>
      <c r="B266" s="95"/>
      <c r="C266" s="36" t="s">
        <v>1021</v>
      </c>
      <c r="D266" s="29"/>
      <c r="E266" s="29"/>
      <c r="F266" s="29"/>
      <c r="G266" s="37" t="s">
        <v>804</v>
      </c>
      <c r="H266" s="36" t="s">
        <v>4049</v>
      </c>
      <c r="I266" s="638"/>
      <c r="J266" s="635" t="str">
        <f>IF(ISBLANK(HLOOKUP(CaseName,CaseData,MATCH($G266,cases!$G$3:$G$2464,0),FALSE)),"",HLOOKUP(CaseName,CaseData,MATCH($G266,cases!$G$3:$G$2464,0),FALSE))</f>
        <v/>
      </c>
      <c r="K266" s="352">
        <v>500000</v>
      </c>
      <c r="L266" s="636">
        <f t="shared" si="15"/>
        <v>500000</v>
      </c>
      <c r="M266" s="36" t="s">
        <v>1500</v>
      </c>
      <c r="N266" s="29"/>
      <c r="O266" s="36"/>
    </row>
    <row r="267" spans="1:15" ht="12.75" customHeight="1" x14ac:dyDescent="0.3">
      <c r="A267" s="95"/>
      <c r="B267" s="95"/>
      <c r="C267" s="36" t="s">
        <v>35</v>
      </c>
      <c r="D267" s="29"/>
      <c r="E267" s="29"/>
      <c r="F267" s="29"/>
      <c r="G267" s="37" t="s">
        <v>805</v>
      </c>
      <c r="H267" s="36" t="s">
        <v>36</v>
      </c>
      <c r="I267" s="638"/>
      <c r="J267" s="635" t="str">
        <f>IF(ISBLANK(HLOOKUP(CaseName,CaseData,MATCH($G267,cases!$G$3:$G$2464,0),FALSE)),"",HLOOKUP(CaseName,CaseData,MATCH($G267,cases!$G$3:$G$2464,0),FALSE))</f>
        <v/>
      </c>
      <c r="K267" s="352">
        <f>EXP((Ea.OHrad/8.314)*(L186-298)/298^2)</f>
        <v>0.75244236176784551</v>
      </c>
      <c r="L267" s="636">
        <f t="shared" si="15"/>
        <v>0.75244236176784551</v>
      </c>
      <c r="M267" s="36" t="s">
        <v>486</v>
      </c>
      <c r="N267" s="29"/>
      <c r="O267" s="36"/>
    </row>
    <row r="268" spans="1:15" ht="12.75" customHeight="1" x14ac:dyDescent="0.3">
      <c r="A268" s="36"/>
      <c r="B268" s="36" t="s">
        <v>4014</v>
      </c>
      <c r="C268" s="29"/>
      <c r="D268" s="29"/>
      <c r="E268" s="29"/>
      <c r="F268" s="29"/>
      <c r="G268" s="37" t="s">
        <v>1158</v>
      </c>
      <c r="H268" s="36" t="s">
        <v>4037</v>
      </c>
      <c r="I268" s="638"/>
      <c r="J268" s="635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1.8894918047157747E-8</v>
      </c>
      <c r="L268" s="636">
        <f t="shared" si="15"/>
        <v>1.8894918047157747E-8</v>
      </c>
      <c r="M268" s="36" t="s">
        <v>1488</v>
      </c>
      <c r="N268" s="29"/>
      <c r="O268" s="36"/>
    </row>
    <row r="269" spans="1:15" ht="12.75" customHeight="1" x14ac:dyDescent="0.3">
      <c r="A269" s="36"/>
      <c r="B269" s="36" t="s">
        <v>1138</v>
      </c>
      <c r="C269" s="29"/>
      <c r="D269" s="29"/>
      <c r="E269" s="29"/>
      <c r="F269" s="29"/>
      <c r="G269" s="37" t="s">
        <v>1159</v>
      </c>
      <c r="H269" s="36" t="s">
        <v>4037</v>
      </c>
      <c r="I269" s="638"/>
      <c r="J269" s="635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1.8894918047157747E-8</v>
      </c>
      <c r="L269" s="636">
        <f t="shared" si="15"/>
        <v>1.8894918047157747E-8</v>
      </c>
      <c r="M269" s="36" t="s">
        <v>1488</v>
      </c>
      <c r="N269" s="29"/>
      <c r="O269" s="36"/>
    </row>
    <row r="270" spans="1:15" ht="12.75" customHeight="1" x14ac:dyDescent="0.3">
      <c r="A270" s="36"/>
      <c r="B270" s="36"/>
      <c r="C270" s="36" t="s">
        <v>4015</v>
      </c>
      <c r="D270" s="29"/>
      <c r="E270" s="29"/>
      <c r="F270" s="29"/>
      <c r="G270" s="94" t="s">
        <v>1160</v>
      </c>
      <c r="H270" s="36" t="s">
        <v>730</v>
      </c>
      <c r="I270" s="638"/>
      <c r="J270" s="635" t="str">
        <f>IF(ISBLANK(HLOOKUP(CaseName,CaseData,MATCH($G270,cases!$G$3:$G$2464,0),FALSE)),"",HLOOKUP(CaseName,CaseData,MATCH($G270,cases!$G$3:$G$2464,0),FALSE))</f>
        <v/>
      </c>
      <c r="K270" s="352">
        <v>40000</v>
      </c>
      <c r="L270" s="636">
        <f t="shared" si="15"/>
        <v>40000</v>
      </c>
      <c r="M270" s="36" t="s">
        <v>731</v>
      </c>
      <c r="N270" s="29"/>
      <c r="O270" s="36"/>
    </row>
    <row r="271" spans="1:15" ht="12.75" customHeight="1" x14ac:dyDescent="0.3">
      <c r="A271" s="36"/>
      <c r="B271" s="36"/>
      <c r="C271" s="36" t="s">
        <v>1140</v>
      </c>
      <c r="D271" s="29"/>
      <c r="E271" s="29"/>
      <c r="F271" s="29"/>
      <c r="G271" s="94" t="s">
        <v>1161</v>
      </c>
      <c r="H271" s="36" t="s">
        <v>730</v>
      </c>
      <c r="I271" s="638"/>
      <c r="J271" s="635" t="str">
        <f>IF(ISBLANK(HLOOKUP(CaseName,CaseData,MATCH($G271,cases!$G$3:$G$2464,0),FALSE)),"",HLOOKUP(CaseName,CaseData,MATCH($G271,cases!$G$3:$G$2464,0),FALSE))</f>
        <v/>
      </c>
      <c r="K271" s="352">
        <v>40000</v>
      </c>
      <c r="L271" s="636">
        <f t="shared" si="15"/>
        <v>40000</v>
      </c>
      <c r="M271" s="36" t="s">
        <v>731</v>
      </c>
      <c r="N271" s="29"/>
      <c r="O271" s="36"/>
    </row>
    <row r="272" spans="1:15" ht="12.75" customHeight="1" x14ac:dyDescent="0.3">
      <c r="A272" s="95"/>
      <c r="B272" s="95"/>
      <c r="C272" s="36" t="s">
        <v>766</v>
      </c>
      <c r="D272" s="29"/>
      <c r="E272" s="29"/>
      <c r="F272" s="29"/>
      <c r="G272" s="37" t="s">
        <v>542</v>
      </c>
      <c r="H272" s="36" t="s">
        <v>36</v>
      </c>
      <c r="I272" s="638"/>
      <c r="J272" s="635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36">
        <f t="shared" si="15"/>
        <v>8.8388347648318447E-2</v>
      </c>
      <c r="M272" s="36" t="s">
        <v>486</v>
      </c>
      <c r="N272" s="29"/>
      <c r="O272" s="36"/>
    </row>
    <row r="273" spans="1:15" ht="12.75" customHeight="1" x14ac:dyDescent="0.3">
      <c r="A273" s="36"/>
      <c r="B273" s="36" t="s">
        <v>772</v>
      </c>
      <c r="C273" s="29"/>
      <c r="D273" s="29"/>
      <c r="E273" s="29"/>
      <c r="F273" s="29"/>
      <c r="G273" s="37" t="s">
        <v>672</v>
      </c>
      <c r="H273" s="36" t="s">
        <v>4037</v>
      </c>
      <c r="I273" s="638"/>
      <c r="J273" s="635" t="str">
        <f>IF(ISBLANK(HLOOKUP(CaseName,CaseData,MATCH($G273,cases!$G$3:$G$2464,0),FALSE)),"",HLOOKUP(CaseName,CaseData,MATCH($G273,cases!$G$3:$G$2464,0),FALSE))</f>
        <v/>
      </c>
      <c r="K273" s="366">
        <f>L272*kdeg.sed</f>
        <v>2.103642674029979E-9</v>
      </c>
      <c r="L273" s="636">
        <f t="shared" si="15"/>
        <v>2.103642674029979E-9</v>
      </c>
      <c r="M273" s="36" t="s">
        <v>1488</v>
      </c>
      <c r="N273" s="29"/>
      <c r="O273" s="36"/>
    </row>
    <row r="274" spans="1:15" ht="12.75" customHeight="1" x14ac:dyDescent="0.3">
      <c r="A274" s="36"/>
      <c r="B274" s="36" t="s">
        <v>773</v>
      </c>
      <c r="C274" s="29"/>
      <c r="D274" s="29"/>
      <c r="E274" s="29"/>
      <c r="F274" s="29"/>
      <c r="G274" s="37" t="s">
        <v>673</v>
      </c>
      <c r="H274" s="36" t="s">
        <v>4037</v>
      </c>
      <c r="I274" s="638"/>
      <c r="J274" s="635" t="str">
        <f>IF(ISBLANK(HLOOKUP(CaseName,CaseData,MATCH($G274,cases!$G$3:$G$2464,0),FALSE)),"",HLOOKUP(CaseName,CaseData,MATCH($G274,cases!$G$3:$G$2464,0),FALSE))</f>
        <v/>
      </c>
      <c r="K274" s="366">
        <f>L272*kdeg.soil</f>
        <v>9.4575531983700746E-9</v>
      </c>
      <c r="L274" s="636">
        <f t="shared" si="15"/>
        <v>9.4575531983700746E-9</v>
      </c>
      <c r="M274" s="36" t="s">
        <v>1488</v>
      </c>
      <c r="N274" s="29"/>
      <c r="O274" s="36"/>
    </row>
    <row r="275" spans="1:15" ht="12.75" customHeight="1" x14ac:dyDescent="0.3">
      <c r="A275" s="29"/>
      <c r="B275" s="36" t="s">
        <v>1036</v>
      </c>
      <c r="C275" s="29"/>
      <c r="D275" s="29"/>
      <c r="E275" s="29"/>
      <c r="F275" s="29"/>
      <c r="G275" s="94" t="s">
        <v>877</v>
      </c>
      <c r="H275" s="36" t="s">
        <v>36</v>
      </c>
      <c r="I275" s="638"/>
      <c r="J275" s="635" t="str">
        <f>IF(ISBLANK(HLOOKUP(CaseName,CaseData,MATCH($G275,cases!$G$3:$G$2464,0),FALSE)),"",HLOOKUP(CaseName,CaseData,MATCH($G275,cases!$G$3:$G$2464,0),FALSE))</f>
        <v/>
      </c>
      <c r="K275" s="352">
        <f>FRACinf.C</f>
        <v>0.25</v>
      </c>
      <c r="L275" s="636">
        <f>IF(ISBLANK(I275),IF(ISNUMBER(J275)=FALSE,K275,J275),I275)</f>
        <v>0.25</v>
      </c>
      <c r="M275" s="29" t="s">
        <v>486</v>
      </c>
      <c r="N275" s="29"/>
      <c r="O275" s="36"/>
    </row>
    <row r="276" spans="1:15" ht="12.75" customHeight="1" x14ac:dyDescent="0.3">
      <c r="A276" s="36"/>
      <c r="B276" s="29" t="s">
        <v>185</v>
      </c>
      <c r="C276" s="29"/>
      <c r="D276" s="29"/>
      <c r="E276" s="95"/>
      <c r="F276" s="95"/>
      <c r="G276" s="37" t="s">
        <v>919</v>
      </c>
      <c r="H276" s="29" t="s">
        <v>36</v>
      </c>
      <c r="I276" s="639"/>
      <c r="J276" s="635" t="str">
        <f>IF(ISBLANK(HLOOKUP(CaseName,CaseData,MATCH($G276,cases!$G$3:$G$2464,0),FALSE)),"",HLOOKUP(CaseName,CaseData,MATCH($G276,cases!$G$3:$G$2464,0),FALSE))</f>
        <v/>
      </c>
      <c r="K276" s="352">
        <f>(EXP((-1/0.1)*0.5)*(1/0.1)*L160/(1-EXP((-1/0.1)*L160)))</f>
        <v>8.5622262133111474E-3</v>
      </c>
      <c r="L276" s="636">
        <f>IF(ISBLANK(I276),IF(ISNUMBER(J276)=FALSE,K276,J276),I276)</f>
        <v>8.5622262133111474E-3</v>
      </c>
      <c r="M276" s="36" t="s">
        <v>486</v>
      </c>
      <c r="N276" s="29" t="s">
        <v>995</v>
      </c>
      <c r="O276" s="36"/>
    </row>
    <row r="277" spans="1:15" ht="12.75" customHeight="1" x14ac:dyDescent="0.3">
      <c r="A277" s="134"/>
      <c r="B277" s="134"/>
      <c r="C277" s="134"/>
      <c r="D277" s="134"/>
      <c r="E277" s="134"/>
      <c r="F277" s="134"/>
      <c r="G277" s="134"/>
      <c r="H277" s="134"/>
      <c r="I277" s="643"/>
      <c r="J277" s="652"/>
      <c r="K277" s="643"/>
      <c r="L277" s="356"/>
      <c r="M277" s="134"/>
      <c r="N277" s="134"/>
      <c r="O277" s="36"/>
    </row>
    <row r="278" spans="1:15" ht="12.75" customHeight="1" x14ac:dyDescent="0.3">
      <c r="A278" s="44"/>
      <c r="B278" s="5"/>
      <c r="C278" s="29"/>
      <c r="D278" s="29"/>
      <c r="E278" s="29"/>
      <c r="F278" s="29"/>
      <c r="G278" s="29"/>
      <c r="H278" s="36"/>
      <c r="I278" s="645"/>
      <c r="J278" s="635"/>
      <c r="K278" s="353"/>
      <c r="L278" s="353"/>
      <c r="M278" s="29"/>
      <c r="N278" s="29"/>
      <c r="O278" s="36"/>
    </row>
    <row r="279" spans="1:15" ht="12.75" customHeight="1" x14ac:dyDescent="0.3">
      <c r="A279" s="44"/>
      <c r="B279" s="5"/>
      <c r="C279" s="29"/>
      <c r="D279" s="29"/>
      <c r="E279" s="29"/>
      <c r="F279" s="29"/>
      <c r="G279" s="29"/>
      <c r="H279" s="36"/>
      <c r="I279" s="645"/>
      <c r="J279" s="635"/>
      <c r="K279" s="353"/>
      <c r="L279" s="353"/>
      <c r="M279" s="29"/>
      <c r="N279" s="29"/>
      <c r="O279" s="36"/>
    </row>
    <row r="280" spans="1:15" ht="12.75" customHeight="1" x14ac:dyDescent="0.3">
      <c r="A280" s="62" t="s">
        <v>1404</v>
      </c>
      <c r="B280" s="5"/>
      <c r="C280" s="29"/>
      <c r="D280" s="29"/>
      <c r="E280" s="29"/>
      <c r="F280" s="29"/>
      <c r="G280" s="29"/>
      <c r="H280" s="36"/>
      <c r="I280" s="645"/>
      <c r="J280" s="635"/>
      <c r="K280" s="353"/>
      <c r="L280" s="353"/>
      <c r="M280" s="29"/>
      <c r="N280" s="29"/>
      <c r="O280" s="36"/>
    </row>
    <row r="281" spans="1:15" ht="12.75" customHeight="1" x14ac:dyDescent="0.3">
      <c r="A281" s="29"/>
      <c r="B281" s="29"/>
      <c r="C281" s="29"/>
      <c r="D281" s="29"/>
      <c r="E281" s="29"/>
      <c r="F281" s="29"/>
      <c r="G281" s="29"/>
      <c r="H281" s="36"/>
      <c r="I281" s="645"/>
      <c r="J281" s="353"/>
      <c r="K281" s="353"/>
      <c r="L281" s="339"/>
      <c r="M281" s="29"/>
      <c r="N281" s="29"/>
      <c r="O281" s="36"/>
    </row>
    <row r="282" spans="1:15" ht="12.75" customHeight="1" x14ac:dyDescent="0.3">
      <c r="A282" s="97" t="s">
        <v>1310</v>
      </c>
      <c r="B282" s="97"/>
      <c r="C282" s="97"/>
      <c r="D282" s="97"/>
      <c r="E282" s="97"/>
      <c r="F282" s="97"/>
      <c r="G282" s="98" t="s">
        <v>1008</v>
      </c>
      <c r="H282" s="98" t="s">
        <v>968</v>
      </c>
      <c r="I282" s="364" t="s">
        <v>754</v>
      </c>
      <c r="J282" s="340" t="s">
        <v>37</v>
      </c>
      <c r="K282" s="340" t="s">
        <v>753</v>
      </c>
      <c r="L282" s="340" t="s">
        <v>1358</v>
      </c>
      <c r="M282" s="97"/>
      <c r="N282" s="98" t="s">
        <v>1371</v>
      </c>
      <c r="O282" s="36"/>
    </row>
    <row r="283" spans="1:15" ht="12.75" customHeight="1" x14ac:dyDescent="0.3">
      <c r="A283" s="29"/>
      <c r="B283" s="29"/>
      <c r="C283" s="29"/>
      <c r="D283" s="29"/>
      <c r="E283" s="29"/>
      <c r="F283" s="29"/>
      <c r="G283" s="29"/>
      <c r="H283" s="36"/>
      <c r="I283" s="645"/>
      <c r="J283" s="645"/>
      <c r="K283" s="353"/>
      <c r="L283" s="339"/>
      <c r="M283" s="29"/>
      <c r="N283" s="29"/>
      <c r="O283" s="36"/>
    </row>
    <row r="284" spans="1:15" ht="12.75" customHeight="1" x14ac:dyDescent="0.3">
      <c r="A284" s="36" t="s">
        <v>1089</v>
      </c>
      <c r="B284" s="29"/>
      <c r="C284" s="29"/>
      <c r="D284" s="29"/>
      <c r="E284" s="29"/>
      <c r="F284" s="29"/>
      <c r="G284" s="37" t="s">
        <v>1406</v>
      </c>
      <c r="H284" s="36" t="s">
        <v>4035</v>
      </c>
      <c r="I284" s="638"/>
      <c r="J284" s="635" t="str">
        <f>IF(ISBLANK(HLOOKUP(CaseName,CaseData,MATCH($G284,cases!$G$3:$G$2464,0),FALSE)),"",HLOOKUP(CaseName,CaseData,MATCH($G284,cases!$G$3:$G$2464,0),FALSE))</f>
        <v/>
      </c>
      <c r="K284" s="352">
        <f>L289*L292</f>
        <v>1.275E+17</v>
      </c>
      <c r="L284" s="636">
        <f>IF(ISBLANK(I284),IF(ISNUMBER(J284)=FALSE,K284,J284),I284)</f>
        <v>1.275E+17</v>
      </c>
      <c r="M284" s="36" t="s">
        <v>1496</v>
      </c>
      <c r="N284" s="29"/>
      <c r="O284" s="36"/>
    </row>
    <row r="285" spans="1:15" ht="12.75" customHeight="1" x14ac:dyDescent="0.3">
      <c r="A285" s="29" t="s">
        <v>4016</v>
      </c>
      <c r="B285" s="29"/>
      <c r="C285" s="29"/>
      <c r="D285" s="29"/>
      <c r="E285" s="29"/>
      <c r="F285" s="29"/>
      <c r="G285" s="37" t="s">
        <v>944</v>
      </c>
      <c r="H285" s="29" t="s">
        <v>4035</v>
      </c>
      <c r="I285" s="638"/>
      <c r="J285" s="635" t="str">
        <f>IF(ISBLANK(HLOOKUP(CaseName,CaseData,MATCH($G285,cases!$G$3:$G$2464,0),FALSE)),"",HLOOKUP(CaseName,CaseData,MATCH($G285,cases!$G$3:$G$2464,0),FALSE))</f>
        <v/>
      </c>
      <c r="K285" s="352">
        <f>L289*L293*L290</f>
        <v>8924999999999999</v>
      </c>
      <c r="L285" s="636">
        <f>IF(ISBLANK(I285),IF(ISNUMBER(J285)=FALSE,K285,J285),I285)</f>
        <v>8924999999999999</v>
      </c>
      <c r="M285" s="36" t="s">
        <v>1496</v>
      </c>
      <c r="N285" s="29"/>
      <c r="O285" s="36"/>
    </row>
    <row r="286" spans="1:15" ht="12.75" customHeight="1" x14ac:dyDescent="0.3">
      <c r="A286" s="36" t="s">
        <v>104</v>
      </c>
      <c r="B286" s="29"/>
      <c r="C286" s="29"/>
      <c r="D286" s="29"/>
      <c r="E286" s="29"/>
      <c r="F286" s="29"/>
      <c r="G286" s="37" t="s">
        <v>945</v>
      </c>
      <c r="H286" s="29" t="s">
        <v>4035</v>
      </c>
      <c r="I286" s="638"/>
      <c r="J286" s="635" t="str">
        <f>IF(ISBLANK(HLOOKUP(CaseName,CaseData,MATCH($G286,cases!$G$3:$G$2464,0),FALSE)),"",HLOOKUP(CaseName,CaseData,MATCH($G286,cases!$G$3:$G$2464,0),FALSE))</f>
        <v/>
      </c>
      <c r="K286" s="352">
        <f>L289*L294*L290</f>
        <v>2.6774999999999997E+17</v>
      </c>
      <c r="L286" s="636">
        <f>IF(ISBLANK(I286),IF(ISNUMBER(J286)=FALSE,K286,J286),I286)</f>
        <v>2.6774999999999997E+17</v>
      </c>
      <c r="M286" s="36" t="s">
        <v>1496</v>
      </c>
      <c r="N286" s="29"/>
      <c r="O286" s="36"/>
    </row>
    <row r="287" spans="1:15" ht="12.75" customHeight="1" x14ac:dyDescent="0.3">
      <c r="A287" s="36" t="s">
        <v>734</v>
      </c>
      <c r="B287" s="29"/>
      <c r="C287" s="29"/>
      <c r="D287" s="29"/>
      <c r="E287" s="29"/>
      <c r="F287" s="29"/>
      <c r="G287" s="37" t="s">
        <v>1407</v>
      </c>
      <c r="H287" s="36" t="s">
        <v>4035</v>
      </c>
      <c r="I287" s="638"/>
      <c r="J287" s="635" t="str">
        <f>IF(ISBLANK(HLOOKUP(CaseName,CaseData,MATCH($G287,cases!$G$3:$G$2464,0),FALSE)),"",HLOOKUP(CaseName,CaseData,MATCH($G287,cases!$G$3:$G$2464,0),FALSE))</f>
        <v/>
      </c>
      <c r="K287" s="352">
        <f>L289*L295*L290</f>
        <v>2677500000000</v>
      </c>
      <c r="L287" s="636">
        <f>IF(ISBLANK(I287),IF(ISNUMBER(J287)=FALSE,K287,J287),I287)</f>
        <v>2677500000000</v>
      </c>
      <c r="M287" s="36" t="s">
        <v>1496</v>
      </c>
      <c r="N287" s="29"/>
      <c r="O287" s="36"/>
    </row>
    <row r="288" spans="1:15" ht="12.75" customHeight="1" x14ac:dyDescent="0.3">
      <c r="A288" s="36" t="s">
        <v>735</v>
      </c>
      <c r="B288" s="29"/>
      <c r="C288" s="29"/>
      <c r="D288" s="29"/>
      <c r="E288" s="29"/>
      <c r="F288" s="29"/>
      <c r="G288" s="37" t="s">
        <v>1408</v>
      </c>
      <c r="H288" s="36" t="s">
        <v>4035</v>
      </c>
      <c r="I288" s="638"/>
      <c r="J288" s="635" t="str">
        <f>IF(ISBLANK(HLOOKUP(CaseName,CaseData,MATCH($G288,cases!$G$3:$G$2464,0),FALSE)),"",HLOOKUP(CaseName,CaseData,MATCH($G288,cases!$G$3:$G$2464,0),FALSE))</f>
        <v/>
      </c>
      <c r="K288" s="352">
        <f>L289*L291*L296</f>
        <v>1912500000000.0005</v>
      </c>
      <c r="L288" s="636">
        <f>IF(ISBLANK(I288),IF(ISNUMBER(J288)=FALSE,K288,J288),I288)</f>
        <v>1912500000000.0005</v>
      </c>
      <c r="M288" s="36" t="s">
        <v>1496</v>
      </c>
      <c r="N288" s="29"/>
      <c r="O288" s="36"/>
    </row>
    <row r="289" spans="1:15" ht="12.75" customHeight="1" x14ac:dyDescent="0.3">
      <c r="A289" s="29"/>
      <c r="B289" s="36" t="s">
        <v>1022</v>
      </c>
      <c r="C289" s="29"/>
      <c r="D289" s="29"/>
      <c r="E289" s="29"/>
      <c r="F289" s="29"/>
      <c r="G289" s="37" t="s">
        <v>1409</v>
      </c>
      <c r="H289" s="36" t="s">
        <v>4036</v>
      </c>
      <c r="I289" s="638"/>
      <c r="J289" s="635" t="str">
        <f>IF(ISBLANK(HLOOKUP(CaseName,CaseData,MATCH($G289,cases!$G$3:$G$2464,0),FALSE)),"",HLOOKUP(CaseName,CaseData,MATCH($G289,cases!$G$3:$G$2464,0),FALSE))</f>
        <v/>
      </c>
      <c r="K289" s="345">
        <v>127500000</v>
      </c>
      <c r="L289" s="636">
        <f>IF(ISBLANK(I289),IF(ISNUMBER(J289)=FALSE,K289*1000000,J289*1000000),I289*1000000)</f>
        <v>127500000000000</v>
      </c>
      <c r="M289" s="36" t="s">
        <v>1492</v>
      </c>
      <c r="N289" s="29"/>
      <c r="O289" s="36"/>
    </row>
    <row r="290" spans="1:15" ht="12.75" customHeight="1" x14ac:dyDescent="0.3">
      <c r="A290" s="29"/>
      <c r="B290" s="36" t="s">
        <v>3992</v>
      </c>
      <c r="C290" s="29"/>
      <c r="D290" s="29"/>
      <c r="E290" s="29"/>
      <c r="F290" s="29"/>
      <c r="G290" s="94" t="s">
        <v>1410</v>
      </c>
      <c r="H290" s="36" t="s">
        <v>36</v>
      </c>
      <c r="I290" s="638"/>
      <c r="J290" s="635" t="str">
        <f>IF(ISBLANK(HLOOKUP(CaseName,CaseData,MATCH($G290,cases!$G$3:$G$2464,0),FALSE)),"",HLOOKUP(CaseName,CaseData,MATCH($G290,cases!$G$3:$G$2464,0),FALSE))</f>
        <v/>
      </c>
      <c r="K290" s="345">
        <v>0.7</v>
      </c>
      <c r="L290" s="636">
        <f>IF(ISBLANK(I290),IF(ISNUMBER(J290)=FALSE,K290,J290),I290)</f>
        <v>0.7</v>
      </c>
      <c r="M290" s="29" t="s">
        <v>486</v>
      </c>
      <c r="N290" s="29"/>
      <c r="O290" s="36"/>
    </row>
    <row r="291" spans="1:15" ht="12.75" customHeight="1" x14ac:dyDescent="0.3">
      <c r="A291" s="29"/>
      <c r="B291" s="36" t="s">
        <v>3993</v>
      </c>
      <c r="C291" s="29"/>
      <c r="D291" s="29"/>
      <c r="E291" s="29"/>
      <c r="F291" s="29"/>
      <c r="G291" s="94" t="s">
        <v>1411</v>
      </c>
      <c r="H291" s="36" t="s">
        <v>36</v>
      </c>
      <c r="I291" s="638"/>
      <c r="J291" s="635" t="str">
        <f>IF(ISBLANK(HLOOKUP(CaseName,CaseData,MATCH($G291,cases!$G$3:$G$2464,0),FALSE)),"",HLOOKUP(CaseName,CaseData,MATCH($G291,cases!$G$3:$G$2464,0),FALSE))</f>
        <v/>
      </c>
      <c r="K291" s="352">
        <f>1-L290</f>
        <v>0.30000000000000004</v>
      </c>
      <c r="L291" s="636">
        <f>IF(ISBLANK(I291),IF(ISNUMBER(J291)=FALSE,K291,J291),I291)</f>
        <v>0.30000000000000004</v>
      </c>
      <c r="M291" s="29" t="s">
        <v>486</v>
      </c>
      <c r="N291" s="29"/>
      <c r="O291" s="36"/>
    </row>
    <row r="292" spans="1:15" ht="12.75" customHeight="1" x14ac:dyDescent="0.3">
      <c r="A292" s="29"/>
      <c r="B292" s="29"/>
      <c r="C292" s="36" t="s">
        <v>767</v>
      </c>
      <c r="D292" s="29"/>
      <c r="E292" s="29"/>
      <c r="F292" s="29"/>
      <c r="G292" s="94" t="s">
        <v>1412</v>
      </c>
      <c r="H292" s="36" t="s">
        <v>719</v>
      </c>
      <c r="I292" s="638"/>
      <c r="J292" s="635" t="str">
        <f>IF(ISBLANK(HLOOKUP(CaseName,CaseData,MATCH($G292,cases!$G$3:$G$2464,0),FALSE)),"",HLOOKUP(CaseName,CaseData,MATCH($G292,cases!$G$3:$G$2464,0),FALSE))</f>
        <v/>
      </c>
      <c r="K292" s="345">
        <v>1000</v>
      </c>
      <c r="L292" s="636">
        <f>IF(ISBLANK(I292),IF(ISNUMBER(J292)=FALSE,K292,J292),I292)</f>
        <v>1000</v>
      </c>
      <c r="M292" s="36" t="s">
        <v>720</v>
      </c>
      <c r="N292" s="29"/>
      <c r="O292" s="36"/>
    </row>
    <row r="293" spans="1:15" ht="12.75" customHeight="1" x14ac:dyDescent="0.3">
      <c r="A293" s="29"/>
      <c r="B293" s="29"/>
      <c r="C293" s="36" t="s">
        <v>106</v>
      </c>
      <c r="D293" s="29"/>
      <c r="E293" s="29"/>
      <c r="F293" s="29"/>
      <c r="G293" s="94" t="s">
        <v>947</v>
      </c>
      <c r="H293" s="36" t="s">
        <v>719</v>
      </c>
      <c r="I293" s="639"/>
      <c r="J293" s="635" t="str">
        <f>IF(ISBLANK(HLOOKUP(CaseName,CaseData,MATCH($G293,cases!$G$3:$G$2464,0),FALSE)),"",HLOOKUP(CaseName,CaseData,MATCH($G293,cases!$G$3:$G$2464,0),FALSE))</f>
        <v/>
      </c>
      <c r="K293" s="345">
        <v>100</v>
      </c>
      <c r="L293" s="636">
        <f>IF(ISBLANK(I293),IF(ISNUMBER(J293)=FALSE,K293,J293),I293)</f>
        <v>100</v>
      </c>
      <c r="M293" s="36" t="s">
        <v>720</v>
      </c>
      <c r="N293" s="29"/>
      <c r="O293" s="36"/>
    </row>
    <row r="294" spans="1:15" ht="12.75" customHeight="1" x14ac:dyDescent="0.3">
      <c r="A294" s="29"/>
      <c r="B294" s="29"/>
      <c r="C294" s="36" t="s">
        <v>105</v>
      </c>
      <c r="D294" s="29"/>
      <c r="E294" s="29"/>
      <c r="F294" s="29"/>
      <c r="G294" s="94" t="s">
        <v>948</v>
      </c>
      <c r="H294" s="36" t="s">
        <v>719</v>
      </c>
      <c r="I294" s="639"/>
      <c r="J294" s="635" t="str">
        <f>IF(ISBLANK(HLOOKUP(CaseName,CaseData,MATCH($G294,cases!$G$3:$G$2464,0),FALSE)),"",HLOOKUP(CaseName,CaseData,MATCH($G294,cases!$G$3:$G$2464,0),FALSE))</f>
        <v/>
      </c>
      <c r="K294" s="352">
        <v>3000</v>
      </c>
      <c r="L294" s="636">
        <f>IF(ISBLANK(I294),IF(ISNUMBER(J294)=FALSE,K294,J294),I294)</f>
        <v>3000</v>
      </c>
      <c r="M294" s="36" t="s">
        <v>720</v>
      </c>
      <c r="N294" s="29"/>
      <c r="O294" s="36"/>
    </row>
    <row r="295" spans="1:15" ht="12.75" customHeight="1" x14ac:dyDescent="0.3">
      <c r="A295" s="29"/>
      <c r="B295" s="29"/>
      <c r="C295" s="36" t="s">
        <v>1053</v>
      </c>
      <c r="D295" s="29"/>
      <c r="E295" s="29"/>
      <c r="F295" s="29"/>
      <c r="G295" s="94" t="s">
        <v>1413</v>
      </c>
      <c r="H295" s="36" t="s">
        <v>721</v>
      </c>
      <c r="I295" s="638"/>
      <c r="J295" s="635" t="str">
        <f>IF(ISBLANK(HLOOKUP(CaseName,CaseData,MATCH($G295,cases!$G$3:$G$2464,0),FALSE)),"",HLOOKUP(CaseName,CaseData,MATCH($G295,cases!$G$3:$G$2464,0),FALSE))</f>
        <v/>
      </c>
      <c r="K295" s="345">
        <v>3</v>
      </c>
      <c r="L295" s="636">
        <f>IF(ISBLANK(I295),IF(ISNUMBER(J295)=FALSE,K295/100,J295/100),I295/100)</f>
        <v>0.03</v>
      </c>
      <c r="M295" s="36" t="s">
        <v>720</v>
      </c>
      <c r="N295" s="29"/>
      <c r="O295" s="36"/>
    </row>
    <row r="296" spans="1:15" ht="12.75" customHeight="1" x14ac:dyDescent="0.3">
      <c r="A296" s="36"/>
      <c r="B296" s="29"/>
      <c r="C296" s="36" t="s">
        <v>3994</v>
      </c>
      <c r="D296" s="95"/>
      <c r="E296" s="95"/>
      <c r="F296" s="95"/>
      <c r="G296" s="94" t="s">
        <v>1414</v>
      </c>
      <c r="H296" s="36" t="s">
        <v>719</v>
      </c>
      <c r="I296" s="634"/>
      <c r="J296" s="635" t="str">
        <f>IF(ISBLANK(HLOOKUP(CaseName,CaseData,MATCH($G296,cases!$G$3:$G$2464,0),FALSE)),"",HLOOKUP(CaseName,CaseData,MATCH($G296,cases!$G$3:$G$2464,0),FALSE))</f>
        <v/>
      </c>
      <c r="K296" s="352">
        <v>0.05</v>
      </c>
      <c r="L296" s="636">
        <f t="shared" ref="L296:L303" si="16">IF(ISBLANK(I296),IF(ISNUMBER(J296)=FALSE,K296,J296),I296)</f>
        <v>0.05</v>
      </c>
      <c r="M296" s="29" t="s">
        <v>720</v>
      </c>
      <c r="N296" s="29"/>
      <c r="O296" s="36"/>
    </row>
    <row r="297" spans="1:15" ht="12.75" customHeight="1" x14ac:dyDescent="0.3">
      <c r="A297" s="29"/>
      <c r="B297" s="29"/>
      <c r="C297" s="29" t="s">
        <v>216</v>
      </c>
      <c r="D297" s="29"/>
      <c r="E297" s="29"/>
      <c r="F297" s="29"/>
      <c r="G297" s="36" t="s">
        <v>4026</v>
      </c>
      <c r="H297" s="36" t="s">
        <v>722</v>
      </c>
      <c r="I297" s="638"/>
      <c r="J297" s="635" t="str">
        <f>IF(ISBLANK(HLOOKUP(CaseName,CaseData,MATCH($G297,cases!$G$3:$G$2464,0),FALSE)),"",HLOOKUP(CaseName,CaseData,MATCH($G297,cases!$G$3:$G$2464,0),FALSE))</f>
        <v/>
      </c>
      <c r="K297" s="352">
        <v>1.9999999999999999E-11</v>
      </c>
      <c r="L297" s="636">
        <f t="shared" si="16"/>
        <v>1.9999999999999999E-11</v>
      </c>
      <c r="M297" s="36" t="s">
        <v>486</v>
      </c>
      <c r="N297" s="29" t="s">
        <v>2184</v>
      </c>
      <c r="O297" s="36"/>
    </row>
    <row r="298" spans="1:15" ht="12.75" customHeight="1" x14ac:dyDescent="0.3">
      <c r="A298" s="29"/>
      <c r="B298" s="29"/>
      <c r="C298" s="29" t="s">
        <v>217</v>
      </c>
      <c r="D298" s="29"/>
      <c r="E298" s="29"/>
      <c r="F298" s="29"/>
      <c r="G298" s="36" t="s">
        <v>4027</v>
      </c>
      <c r="H298" s="36" t="s">
        <v>722</v>
      </c>
      <c r="I298" s="638"/>
      <c r="J298" s="635" t="str">
        <f>IF(ISBLANK(HLOOKUP(CaseName,CaseData,MATCH($G298,cases!$G$3:$G$2464,0),FALSE)),"",HLOOKUP(CaseName,CaseData,MATCH($G298,cases!$G$3:$G$2464,0),FALSE))</f>
        <v/>
      </c>
      <c r="K298" s="352">
        <v>1.9999999999999999E-11</v>
      </c>
      <c r="L298" s="636">
        <f t="shared" si="16"/>
        <v>1.9999999999999999E-11</v>
      </c>
      <c r="M298" s="36" t="s">
        <v>486</v>
      </c>
      <c r="N298" s="29" t="s">
        <v>2184</v>
      </c>
      <c r="O298" s="36"/>
    </row>
    <row r="299" spans="1:15" ht="12.75" customHeight="1" x14ac:dyDescent="0.3">
      <c r="A299" s="29"/>
      <c r="B299" s="29"/>
      <c r="C299" s="36" t="s">
        <v>1054</v>
      </c>
      <c r="D299" s="95"/>
      <c r="E299" s="95"/>
      <c r="F299" s="95"/>
      <c r="G299" s="94" t="s">
        <v>1081</v>
      </c>
      <c r="H299" s="36" t="s">
        <v>722</v>
      </c>
      <c r="I299" s="638"/>
      <c r="J299" s="635" t="str">
        <f>IF(ISBLANK(HLOOKUP(CaseName,CaseData,MATCH($G299,cases!$G$3:$G$2464,0),FALSE)),"",HLOOKUP(CaseName,CaseData,MATCH($G299,cases!$G$3:$G$2464,0),FALSE))</f>
        <v/>
      </c>
      <c r="K299" s="345">
        <v>0.2</v>
      </c>
      <c r="L299" s="636">
        <f t="shared" si="16"/>
        <v>0.2</v>
      </c>
      <c r="M299" s="29" t="s">
        <v>486</v>
      </c>
      <c r="N299" s="29"/>
      <c r="O299" s="36"/>
    </row>
    <row r="300" spans="1:15" ht="12.75" customHeight="1" x14ac:dyDescent="0.3">
      <c r="A300" s="29"/>
      <c r="B300" s="29"/>
      <c r="C300" s="36" t="s">
        <v>1055</v>
      </c>
      <c r="D300" s="29"/>
      <c r="E300" s="29"/>
      <c r="F300" s="29"/>
      <c r="G300" s="94" t="s">
        <v>1079</v>
      </c>
      <c r="H300" s="36" t="s">
        <v>722</v>
      </c>
      <c r="I300" s="638"/>
      <c r="J300" s="635" t="str">
        <f>IF(ISBLANK(HLOOKUP(CaseName,CaseData,MATCH($G300,cases!$G$3:$G$2464,0),FALSE)),"",HLOOKUP(CaseName,CaseData,MATCH($G300,cases!$G$3:$G$2464,0),FALSE))</f>
        <v/>
      </c>
      <c r="K300" s="345">
        <v>0.2</v>
      </c>
      <c r="L300" s="636">
        <f t="shared" si="16"/>
        <v>0.2</v>
      </c>
      <c r="M300" s="29" t="s">
        <v>486</v>
      </c>
      <c r="N300" s="29"/>
      <c r="O300" s="36"/>
    </row>
    <row r="301" spans="1:15" ht="12.75" customHeight="1" x14ac:dyDescent="0.3">
      <c r="A301" s="29"/>
      <c r="B301" s="29"/>
      <c r="C301" s="36" t="s">
        <v>1056</v>
      </c>
      <c r="D301" s="29"/>
      <c r="E301" s="29"/>
      <c r="F301" s="29"/>
      <c r="G301" s="94" t="s">
        <v>1080</v>
      </c>
      <c r="H301" s="36" t="s">
        <v>722</v>
      </c>
      <c r="I301" s="638"/>
      <c r="J301" s="635" t="str">
        <f>IF(ISBLANK(HLOOKUP(CaseName,CaseData,MATCH($G301,cases!$G$3:$G$2464,0),FALSE)),"",HLOOKUP(CaseName,CaseData,MATCH($G301,cases!$G$3:$G$2464,0),FALSE))</f>
        <v/>
      </c>
      <c r="K301" s="352">
        <f>1-L299-L300</f>
        <v>0.60000000000000009</v>
      </c>
      <c r="L301" s="636">
        <f t="shared" si="16"/>
        <v>0.60000000000000009</v>
      </c>
      <c r="M301" s="29" t="s">
        <v>486</v>
      </c>
      <c r="N301" s="29"/>
      <c r="O301" s="36"/>
    </row>
    <row r="302" spans="1:15" ht="12.75" customHeight="1" x14ac:dyDescent="0.3">
      <c r="A302" s="36"/>
      <c r="B302" s="29"/>
      <c r="C302" s="36" t="s">
        <v>434</v>
      </c>
      <c r="D302" s="95"/>
      <c r="E302" s="95"/>
      <c r="F302" s="95"/>
      <c r="G302" s="94" t="s">
        <v>1078</v>
      </c>
      <c r="H302" s="36" t="s">
        <v>722</v>
      </c>
      <c r="I302" s="638"/>
      <c r="J302" s="635" t="str">
        <f>IF(ISBLANK(HLOOKUP(CaseName,CaseData,MATCH($G302,cases!$G$3:$G$2464,0),FALSE)),"",HLOOKUP(CaseName,CaseData,MATCH($G302,cases!$G$3:$G$2464,0),FALSE))</f>
        <v/>
      </c>
      <c r="K302" s="345">
        <v>0.8</v>
      </c>
      <c r="L302" s="636">
        <f t="shared" si="16"/>
        <v>0.8</v>
      </c>
      <c r="M302" s="36" t="s">
        <v>486</v>
      </c>
      <c r="N302" s="29"/>
      <c r="O302" s="36"/>
    </row>
    <row r="303" spans="1:15" ht="12.75" customHeight="1" x14ac:dyDescent="0.3">
      <c r="A303" s="36"/>
      <c r="B303" s="29"/>
      <c r="C303" s="36" t="s">
        <v>888</v>
      </c>
      <c r="D303" s="95"/>
      <c r="E303" s="95"/>
      <c r="F303" s="95"/>
      <c r="G303" s="94" t="s">
        <v>1082</v>
      </c>
      <c r="H303" s="36" t="s">
        <v>722</v>
      </c>
      <c r="I303" s="638"/>
      <c r="J303" s="635" t="str">
        <f>IF(ISBLANK(HLOOKUP(CaseName,CaseData,MATCH($G303,cases!$G$3:$G$2464,0),FALSE)),"",HLOOKUP(CaseName,CaseData,MATCH($G303,cases!$G$3:$G$2464,0),FALSE))</f>
        <v/>
      </c>
      <c r="K303" s="352">
        <f>1-L302</f>
        <v>0.19999999999999996</v>
      </c>
      <c r="L303" s="636">
        <f t="shared" si="16"/>
        <v>0.19999999999999996</v>
      </c>
      <c r="M303" s="36" t="s">
        <v>486</v>
      </c>
      <c r="N303" s="29"/>
      <c r="O303" s="36"/>
    </row>
    <row r="304" spans="1:15" ht="12.75" customHeight="1" x14ac:dyDescent="0.3">
      <c r="A304" s="29"/>
      <c r="B304" s="29"/>
      <c r="C304" s="29"/>
      <c r="D304" s="29"/>
      <c r="E304" s="29"/>
      <c r="F304" s="29"/>
      <c r="G304" s="29"/>
      <c r="H304" s="29"/>
      <c r="I304" s="648"/>
      <c r="J304" s="635"/>
      <c r="K304" s="339"/>
      <c r="L304" s="339"/>
      <c r="M304" s="29"/>
      <c r="N304" s="29"/>
      <c r="O304" s="36"/>
    </row>
    <row r="305" spans="1:15" ht="12.75" customHeight="1" x14ac:dyDescent="0.3">
      <c r="A305" s="36" t="s">
        <v>101</v>
      </c>
      <c r="B305" s="29"/>
      <c r="C305" s="29"/>
      <c r="D305" s="29"/>
      <c r="E305" s="29"/>
      <c r="F305" s="29"/>
      <c r="G305" s="36" t="s">
        <v>846</v>
      </c>
      <c r="H305" s="36" t="s">
        <v>4037</v>
      </c>
      <c r="I305" s="639"/>
      <c r="J305" s="635" t="str">
        <f>IF(ISBLANK(HLOOKUP(CaseName,CaseData,MATCH($G305,cases!$G$3:$G$2464,0),FALSE)),"",HLOOKUP(CaseName,CaseData,MATCH($G305,cases!$G$3:$G$2464,0),FALSE))</f>
        <v/>
      </c>
      <c r="K305" s="352">
        <f>1/L306</f>
        <v>3.9972375476524815E-7</v>
      </c>
      <c r="L305" s="636">
        <f>IF(ISBLANK(I305),IF(ISNUMBER(J305)=FALSE,K305,J305),I305)</f>
        <v>3.9972375476524815E-7</v>
      </c>
      <c r="M305" s="29" t="s">
        <v>1488</v>
      </c>
      <c r="N305" s="29"/>
      <c r="O305" s="36"/>
    </row>
    <row r="306" spans="1:15" ht="12.75" customHeight="1" x14ac:dyDescent="0.3">
      <c r="A306" s="36"/>
      <c r="B306" s="36" t="s">
        <v>511</v>
      </c>
      <c r="C306" s="29"/>
      <c r="D306" s="29"/>
      <c r="E306" s="29"/>
      <c r="F306" s="29"/>
      <c r="G306" s="37" t="s">
        <v>1205</v>
      </c>
      <c r="H306" s="29" t="s">
        <v>723</v>
      </c>
      <c r="I306" s="638"/>
      <c r="J306" s="635" t="str">
        <f>IF(ISBLANK(HLOOKUP(CaseName,CaseData,MATCH($G306,cases!$G$3:$G$2464,0),FALSE)),"",HLOOKUP(CaseName,CaseData,MATCH($G306,cases!$G$3:$G$2464,0),FALSE))</f>
        <v/>
      </c>
      <c r="K306" s="352">
        <f>1.5*(0.5*SQRT(L289*PI()/4)/L370)/(3600*24)</f>
        <v>28.955182012816216</v>
      </c>
      <c r="L306" s="636">
        <f>IF(ISBLANK(I306),IF(ISNUMBER(J306)=FALSE,K306*(3600*24),J306*(3600*24)),I306*(3600*24))</f>
        <v>2501727.7259073211</v>
      </c>
      <c r="M306" s="36" t="s">
        <v>115</v>
      </c>
      <c r="N306" s="29"/>
      <c r="O306" s="36"/>
    </row>
    <row r="307" spans="1:15" ht="12.75" customHeight="1" x14ac:dyDescent="0.3">
      <c r="A307" s="29"/>
      <c r="B307" s="29"/>
      <c r="C307" s="29"/>
      <c r="D307" s="29"/>
      <c r="E307" s="29"/>
      <c r="F307" s="29"/>
      <c r="G307" s="29"/>
      <c r="H307" s="29"/>
      <c r="I307" s="648"/>
      <c r="J307" s="635"/>
      <c r="K307" s="339"/>
      <c r="L307" s="339"/>
      <c r="M307" s="29"/>
      <c r="N307" s="29"/>
      <c r="O307" s="36"/>
    </row>
    <row r="308" spans="1:15" ht="12.75" customHeight="1" x14ac:dyDescent="0.3">
      <c r="A308" s="36" t="s">
        <v>102</v>
      </c>
      <c r="B308" s="29"/>
      <c r="C308" s="29"/>
      <c r="D308" s="29"/>
      <c r="E308" s="29"/>
      <c r="F308" s="29"/>
      <c r="G308" s="36" t="s">
        <v>1263</v>
      </c>
      <c r="H308" s="36" t="s">
        <v>4037</v>
      </c>
      <c r="I308" s="639"/>
      <c r="J308" s="635" t="str">
        <f>IF(ISBLANK(HLOOKUP(CaseName,CaseData,MATCH($G308,cases!$G$3:$G$2464,0),FALSE)),"",HLOOKUP(CaseName,CaseData,MATCH($G308,cases!$G$3:$G$2464,0),FALSE))</f>
        <v/>
      </c>
      <c r="K308" s="641">
        <f>L310/L285</f>
        <v>1.6806722689075633E-8</v>
      </c>
      <c r="L308" s="636">
        <f t="shared" ref="L308:L313" si="17">IF(ISBLANK(I308),IF(ISNUMBER(J308)=FALSE,K308,J308),I308)</f>
        <v>1.6806722689075633E-8</v>
      </c>
      <c r="M308" s="29" t="s">
        <v>1488</v>
      </c>
      <c r="N308" s="29"/>
      <c r="O308" s="36"/>
    </row>
    <row r="309" spans="1:15" ht="12.75" customHeight="1" x14ac:dyDescent="0.3">
      <c r="A309" s="36" t="s">
        <v>103</v>
      </c>
      <c r="B309" s="29"/>
      <c r="C309" s="29"/>
      <c r="D309" s="29"/>
      <c r="E309" s="29"/>
      <c r="F309" s="29"/>
      <c r="G309" s="36" t="s">
        <v>59</v>
      </c>
      <c r="H309" s="36" t="s">
        <v>4037</v>
      </c>
      <c r="I309" s="639"/>
      <c r="J309" s="635" t="str">
        <f>IF(ISBLANK(HLOOKUP(CaseName,CaseData,MATCH($G309,cases!$G$3:$G$2464,0),FALSE)),"",HLOOKUP(CaseName,CaseData,MATCH($G309,cases!$G$3:$G$2464,0),FALSE))</f>
        <v/>
      </c>
      <c r="K309" s="641">
        <v>0</v>
      </c>
      <c r="L309" s="636">
        <f t="shared" si="17"/>
        <v>0</v>
      </c>
      <c r="M309" s="29" t="s">
        <v>1488</v>
      </c>
      <c r="N309" s="29"/>
      <c r="O309" s="36"/>
    </row>
    <row r="310" spans="1:15" ht="12.75" customHeight="1" x14ac:dyDescent="0.3">
      <c r="A310" s="36"/>
      <c r="B310" s="36" t="s">
        <v>512</v>
      </c>
      <c r="C310" s="29"/>
      <c r="D310" s="29"/>
      <c r="E310" s="29"/>
      <c r="F310" s="29"/>
      <c r="G310" s="94" t="s">
        <v>62</v>
      </c>
      <c r="H310" s="29" t="s">
        <v>4038</v>
      </c>
      <c r="I310" s="638"/>
      <c r="J310" s="635" t="str">
        <f>IF(ISBLANK(HLOOKUP(CaseName,CaseData,MATCH($G310,cases!$G$3:$G$2464,0),FALSE)),"",HLOOKUP(CaseName,CaseData,MATCH($G310,cases!$G$3:$G$2464,0),FALSE))</f>
        <v/>
      </c>
      <c r="K310" s="641">
        <f>L38</f>
        <v>150000000</v>
      </c>
      <c r="L310" s="636">
        <f t="shared" si="17"/>
        <v>150000000</v>
      </c>
      <c r="M310" s="29" t="s">
        <v>4039</v>
      </c>
      <c r="N310" s="29"/>
      <c r="O310" s="36"/>
    </row>
    <row r="311" spans="1:15" ht="12.75" customHeight="1" x14ac:dyDescent="0.3">
      <c r="A311" s="36" t="s">
        <v>129</v>
      </c>
      <c r="B311" s="29"/>
      <c r="C311" s="29"/>
      <c r="D311" s="29"/>
      <c r="E311" s="29"/>
      <c r="F311" s="29"/>
      <c r="G311" s="36" t="s">
        <v>60</v>
      </c>
      <c r="H311" s="36" t="s">
        <v>4037</v>
      </c>
      <c r="I311" s="639"/>
      <c r="J311" s="635" t="str">
        <f>IF(ISBLANK(HLOOKUP(CaseName,CaseData,MATCH($G311,cases!$G$3:$G$2464,0),FALSE)),"",HLOOKUP(CaseName,CaseData,MATCH($G311,cases!$G$3:$G$2464,0),FALSE))</f>
        <v/>
      </c>
      <c r="K311" s="641">
        <f>(L38+L313)/L285</f>
        <v>2.2724443312678606E-7</v>
      </c>
      <c r="L311" s="636">
        <f t="shared" si="17"/>
        <v>2.2724443312678606E-7</v>
      </c>
      <c r="M311" s="29" t="s">
        <v>1488</v>
      </c>
      <c r="N311" s="29"/>
      <c r="O311" s="36"/>
    </row>
    <row r="312" spans="1:15" ht="12.75" customHeight="1" x14ac:dyDescent="0.3">
      <c r="A312" s="36" t="s">
        <v>130</v>
      </c>
      <c r="B312" s="29"/>
      <c r="C312" s="29"/>
      <c r="D312" s="29"/>
      <c r="E312" s="29"/>
      <c r="F312" s="29"/>
      <c r="G312" s="36" t="s">
        <v>61</v>
      </c>
      <c r="H312" s="36" t="s">
        <v>4037</v>
      </c>
      <c r="I312" s="639"/>
      <c r="J312" s="635" t="str">
        <f>IF(ISBLANK(HLOOKUP(CaseName,CaseData,MATCH($G312,cases!$G$3:$G$2464,0),FALSE)),"",HLOOKUP(CaseName,CaseData,MATCH($G312,cases!$G$3:$G$2464,0),FALSE))</f>
        <v/>
      </c>
      <c r="K312" s="641">
        <f>(L38+L313)/L286</f>
        <v>7.5748144375595357E-9</v>
      </c>
      <c r="L312" s="636">
        <f t="shared" si="17"/>
        <v>7.5748144375595357E-9</v>
      </c>
      <c r="M312" s="29" t="s">
        <v>1488</v>
      </c>
      <c r="N312" s="29"/>
      <c r="O312" s="36"/>
    </row>
    <row r="313" spans="1:15" ht="12.75" customHeight="1" x14ac:dyDescent="0.3">
      <c r="A313" s="36"/>
      <c r="B313" s="29" t="s">
        <v>693</v>
      </c>
      <c r="C313" s="29"/>
      <c r="D313" s="29"/>
      <c r="E313" s="29"/>
      <c r="F313" s="29"/>
      <c r="G313" s="37" t="s">
        <v>1283</v>
      </c>
      <c r="H313" s="29" t="s">
        <v>4038</v>
      </c>
      <c r="I313" s="639"/>
      <c r="J313" s="635" t="str">
        <f>IF(ISBLANK(HLOOKUP(CaseName,CaseData,MATCH($G313,cases!$G$3:$G$2464,0),FALSE)),"",HLOOKUP(CaseName,CaseData,MATCH($G313,cases!$G$3:$G$2464,0),FALSE))</f>
        <v/>
      </c>
      <c r="K313" s="352">
        <f>L285/L314</f>
        <v>1878156565.6565654</v>
      </c>
      <c r="L313" s="636">
        <f t="shared" si="17"/>
        <v>1878156565.6565654</v>
      </c>
      <c r="M313" s="29" t="s">
        <v>4039</v>
      </c>
      <c r="N313" s="29"/>
      <c r="O313" s="36"/>
    </row>
    <row r="314" spans="1:15" ht="12.75" customHeight="1" x14ac:dyDescent="0.3">
      <c r="A314" s="36"/>
      <c r="B314" s="36"/>
      <c r="C314" s="29" t="s">
        <v>1218</v>
      </c>
      <c r="D314" s="29"/>
      <c r="E314" s="29"/>
      <c r="F314" s="29"/>
      <c r="G314" s="37" t="s">
        <v>807</v>
      </c>
      <c r="H314" s="29" t="s">
        <v>723</v>
      </c>
      <c r="I314" s="639"/>
      <c r="J314" s="635" t="str">
        <f>IF(ISBLANK(HLOOKUP(CaseName,CaseData,MATCH($G314,cases!$G$3:$G$2464,0),FALSE)),"",HLOOKUP(CaseName,CaseData,MATCH($G314,cases!$G$3:$G$2464,0),FALSE))</f>
        <v/>
      </c>
      <c r="K314" s="352">
        <v>55</v>
      </c>
      <c r="L314" s="636">
        <f>IF(ISBLANK(I314),IF(ISNUMBER(J314)=FALSE,K314*(3600*24),J314*(3600*24)),I314*(3600*24))</f>
        <v>4752000</v>
      </c>
      <c r="M314" s="36" t="s">
        <v>115</v>
      </c>
      <c r="N314" s="29"/>
      <c r="O314" s="36"/>
    </row>
    <row r="315" spans="1:15" ht="12.75" customHeight="1" x14ac:dyDescent="0.3">
      <c r="A315" s="29"/>
      <c r="B315" s="29"/>
      <c r="C315" s="29"/>
      <c r="D315" s="29"/>
      <c r="E315" s="29"/>
      <c r="F315" s="29"/>
      <c r="G315" s="29"/>
      <c r="H315" s="36"/>
      <c r="I315" s="353"/>
      <c r="J315" s="353"/>
      <c r="K315" s="353"/>
      <c r="L315" s="339"/>
      <c r="M315" s="29"/>
      <c r="N315" s="29"/>
      <c r="O315" s="36"/>
    </row>
    <row r="316" spans="1:15" ht="12.75" customHeight="1" x14ac:dyDescent="0.3">
      <c r="A316" s="98" t="s">
        <v>2229</v>
      </c>
      <c r="B316" s="97"/>
      <c r="C316" s="97"/>
      <c r="D316" s="97"/>
      <c r="E316" s="97"/>
      <c r="F316" s="97"/>
      <c r="G316" s="98" t="s">
        <v>1008</v>
      </c>
      <c r="H316" s="98" t="s">
        <v>968</v>
      </c>
      <c r="I316" s="364" t="s">
        <v>754</v>
      </c>
      <c r="J316" s="340" t="s">
        <v>37</v>
      </c>
      <c r="K316" s="340" t="s">
        <v>753</v>
      </c>
      <c r="L316" s="340" t="s">
        <v>1358</v>
      </c>
      <c r="M316" s="97"/>
      <c r="N316" s="98" t="s">
        <v>1371</v>
      </c>
      <c r="O316" s="36"/>
    </row>
    <row r="317" spans="1:15" ht="12.75" customHeight="1" x14ac:dyDescent="0.3">
      <c r="A317" s="29"/>
      <c r="B317" s="29"/>
      <c r="C317" s="29"/>
      <c r="D317" s="29"/>
      <c r="E317" s="29"/>
      <c r="F317" s="29"/>
      <c r="G317" s="29"/>
      <c r="H317" s="36"/>
      <c r="I317" s="353"/>
      <c r="J317" s="645"/>
      <c r="K317" s="353"/>
      <c r="L317" s="339"/>
      <c r="M317" s="29"/>
      <c r="N317" s="29"/>
      <c r="O317" s="36"/>
    </row>
    <row r="318" spans="1:15" ht="12.75" customHeight="1" x14ac:dyDescent="0.3">
      <c r="A318" s="29"/>
      <c r="B318" s="36" t="s">
        <v>986</v>
      </c>
      <c r="C318" s="36"/>
      <c r="D318" s="36"/>
      <c r="E318" s="36"/>
      <c r="F318" s="36"/>
      <c r="G318" s="36" t="s">
        <v>4028</v>
      </c>
      <c r="H318" s="36" t="s">
        <v>36</v>
      </c>
      <c r="I318" s="638"/>
      <c r="J318" s="635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0.97639638854517607</v>
      </c>
      <c r="L318" s="636">
        <f>IF(ISBLANK(I318),IF(ISNUMBER(J318)=FALSE,K318,J318),I318)</f>
        <v>0.97639638854517607</v>
      </c>
      <c r="M318" s="20" t="s">
        <v>486</v>
      </c>
      <c r="N318" s="36"/>
      <c r="O318" s="36"/>
    </row>
    <row r="319" spans="1:15" ht="12.75" customHeight="1" x14ac:dyDescent="0.3">
      <c r="A319" s="29"/>
      <c r="B319" s="29" t="s">
        <v>615</v>
      </c>
      <c r="C319" s="29"/>
      <c r="D319" s="29"/>
      <c r="E319" s="29"/>
      <c r="F319" s="29"/>
      <c r="G319" s="29" t="s">
        <v>629</v>
      </c>
      <c r="H319" s="29" t="s">
        <v>36</v>
      </c>
      <c r="I319" s="519"/>
      <c r="J319" s="635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6.581761581910175E-5</v>
      </c>
      <c r="L319" s="636">
        <f>IF(ISBLANK(I319),IF(ISNUMBER(J319)=FALSE,K319,J319),I319)</f>
        <v>6.581761581910175E-5</v>
      </c>
      <c r="M319" s="36" t="s">
        <v>486</v>
      </c>
      <c r="N319" s="29" t="s">
        <v>2185</v>
      </c>
      <c r="O319" s="36"/>
    </row>
    <row r="320" spans="1:15" ht="12.75" customHeight="1" x14ac:dyDescent="0.3">
      <c r="A320" s="29"/>
      <c r="B320" s="29" t="s">
        <v>616</v>
      </c>
      <c r="C320" s="29"/>
      <c r="D320" s="29"/>
      <c r="E320" s="29"/>
      <c r="F320" s="29"/>
      <c r="G320" s="29" t="s">
        <v>630</v>
      </c>
      <c r="H320" s="29" t="s">
        <v>36</v>
      </c>
      <c r="I320" s="638"/>
      <c r="J320" s="635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2.3537793839004766E-2</v>
      </c>
      <c r="L320" s="636">
        <f>IF(ISBLANK(I320),IF(ISNUMBER(J320)=FALSE,K320,J320),I320)</f>
        <v>2.3537793839004766E-2</v>
      </c>
      <c r="M320" s="36" t="s">
        <v>486</v>
      </c>
      <c r="N320" s="29" t="s">
        <v>2185</v>
      </c>
      <c r="O320" s="36"/>
    </row>
    <row r="321" spans="1:15" ht="12.75" customHeight="1" x14ac:dyDescent="0.3">
      <c r="A321" s="29"/>
      <c r="B321" s="29"/>
      <c r="C321" s="36" t="s">
        <v>1043</v>
      </c>
      <c r="D321" s="36"/>
      <c r="E321" s="36"/>
      <c r="F321" s="36"/>
      <c r="G321" s="36" t="s">
        <v>4029</v>
      </c>
      <c r="H321" s="36" t="s">
        <v>36</v>
      </c>
      <c r="I321" s="638"/>
      <c r="J321" s="635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2.9669768715870563E-7</v>
      </c>
      <c r="L321" s="636">
        <f>IF(ISBLANK(I321),IF(ISNUMBER(J321)=FALSE,K321,J321),I321)</f>
        <v>2.9669768715870563E-7</v>
      </c>
      <c r="M321" s="36" t="s">
        <v>486</v>
      </c>
      <c r="N321" s="29"/>
      <c r="O321" s="36"/>
    </row>
    <row r="322" spans="1:15" ht="12.75" customHeight="1" x14ac:dyDescent="0.3">
      <c r="A322" s="36"/>
      <c r="B322" s="36"/>
      <c r="C322" s="36" t="s">
        <v>513</v>
      </c>
      <c r="D322" s="36"/>
      <c r="E322" s="36"/>
      <c r="F322" s="36"/>
      <c r="G322" s="36" t="s">
        <v>1052</v>
      </c>
      <c r="H322" s="36" t="s">
        <v>4050</v>
      </c>
      <c r="I322" s="638"/>
      <c r="J322" s="635" t="str">
        <f>IF(ISBLANK(HLOOKUP(CaseName,CaseData,MATCH($G322,cases!$G$3:$G$2464,0),FALSE)),"",HLOOKUP(CaseName,CaseData,MATCH($G322,cases!$G$3:$G$2464,0),FALSE))</f>
        <v/>
      </c>
      <c r="K322" s="366">
        <v>25</v>
      </c>
      <c r="L322" s="636">
        <f>IF(ISBLANK(I322),IF(ISNUMBER(J322)=FALSE,K322+273,J322+273),I322+273)</f>
        <v>298</v>
      </c>
      <c r="M322" s="36" t="s">
        <v>588</v>
      </c>
      <c r="N322" s="29"/>
      <c r="O322" s="36"/>
    </row>
    <row r="323" spans="1:15" ht="12.75" customHeight="1" x14ac:dyDescent="0.35">
      <c r="A323" s="29"/>
      <c r="B323" s="29"/>
      <c r="C323" s="29" t="s">
        <v>612</v>
      </c>
      <c r="D323" s="29"/>
      <c r="E323" s="29"/>
      <c r="F323" s="29"/>
      <c r="G323" s="29" t="s">
        <v>632</v>
      </c>
      <c r="H323" s="29" t="s">
        <v>4041</v>
      </c>
      <c r="I323" s="519"/>
      <c r="J323" s="635" t="str">
        <f>IF(ISBLANK(HLOOKUP(CaseName,CaseData,MATCH($G323,cases!$G$3:$G$2464,0),FALSE)),"",HLOOKUP(CaseName,CaseData,MATCH($G323,cases!$G$3:$G$2464,0),FALSE))</f>
        <v/>
      </c>
      <c r="K323" s="366">
        <f>1/(L321*FRorig.aerw)</f>
        <v>3370435.2346678358</v>
      </c>
      <c r="L323" s="636">
        <f t="shared" ref="L323:L330" si="18">IF(ISBLANK(I323),IF(ISNUMBER(J323)=FALSE,K323,J323),I323)</f>
        <v>3370435.2346678358</v>
      </c>
      <c r="M323" s="36" t="s">
        <v>4051</v>
      </c>
      <c r="N323" s="29"/>
      <c r="O323" s="36"/>
    </row>
    <row r="324" spans="1:15" ht="12.75" customHeight="1" x14ac:dyDescent="0.35">
      <c r="A324" s="29"/>
      <c r="B324" s="29"/>
      <c r="C324" s="29" t="s">
        <v>613</v>
      </c>
      <c r="D324" s="29"/>
      <c r="E324" s="29"/>
      <c r="F324" s="29"/>
      <c r="G324" s="29" t="s">
        <v>633</v>
      </c>
      <c r="H324" s="29" t="s">
        <v>4042</v>
      </c>
      <c r="I324" s="519"/>
      <c r="J324" s="635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1205340070.6487617</v>
      </c>
      <c r="L324" s="636">
        <f t="shared" si="18"/>
        <v>1205340070.6487617</v>
      </c>
      <c r="M324" s="36" t="s">
        <v>4052</v>
      </c>
      <c r="N324" s="29" t="s">
        <v>924</v>
      </c>
      <c r="O324" s="36"/>
    </row>
    <row r="325" spans="1:15" ht="12.75" customHeight="1" x14ac:dyDescent="0.3">
      <c r="A325" s="36"/>
      <c r="B325" s="36" t="s">
        <v>4002</v>
      </c>
      <c r="C325" s="95"/>
      <c r="D325" s="29"/>
      <c r="E325" s="29"/>
      <c r="F325" s="29"/>
      <c r="G325" s="37" t="s">
        <v>107</v>
      </c>
      <c r="H325" s="36" t="s">
        <v>36</v>
      </c>
      <c r="I325" s="638"/>
      <c r="J325" s="635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0.99923939228777903</v>
      </c>
      <c r="L325" s="636">
        <f t="shared" si="18"/>
        <v>0.99923939228777903</v>
      </c>
      <c r="M325" s="36" t="s">
        <v>486</v>
      </c>
      <c r="N325" s="29"/>
      <c r="O325" s="36"/>
    </row>
    <row r="326" spans="1:15" ht="12.75" customHeight="1" x14ac:dyDescent="0.3">
      <c r="A326" s="36"/>
      <c r="B326" s="36" t="s">
        <v>1119</v>
      </c>
      <c r="C326" s="95"/>
      <c r="D326" s="29"/>
      <c r="E326" s="29"/>
      <c r="F326" s="29"/>
      <c r="G326" s="37" t="s">
        <v>1120</v>
      </c>
      <c r="H326" s="36" t="s">
        <v>36</v>
      </c>
      <c r="I326" s="638"/>
      <c r="J326" s="635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0.99923939228777903</v>
      </c>
      <c r="L326" s="636">
        <f t="shared" si="18"/>
        <v>0.99923939228777903</v>
      </c>
      <c r="M326" s="36" t="s">
        <v>486</v>
      </c>
      <c r="N326" s="29"/>
      <c r="O326" s="36"/>
    </row>
    <row r="327" spans="1:15" ht="12.75" customHeight="1" x14ac:dyDescent="0.3">
      <c r="A327" s="36"/>
      <c r="B327" s="29"/>
      <c r="C327" s="36" t="s">
        <v>4003</v>
      </c>
      <c r="D327" s="29"/>
      <c r="E327" s="29"/>
      <c r="F327" s="29"/>
      <c r="G327" s="94" t="s">
        <v>1121</v>
      </c>
      <c r="H327" s="36" t="s">
        <v>4043</v>
      </c>
      <c r="I327" s="638"/>
      <c r="J327" s="635" t="str">
        <f>IF(ISBLANK(HLOOKUP(CaseName,CaseData,MATCH($G327,cases!$G$3:$G$2464,0),FALSE)),"",HLOOKUP(CaseName,CaseData,MATCH($G327,cases!$G$3:$G$2464,0),FALSE))</f>
        <v/>
      </c>
      <c r="K327" s="352">
        <f>(FRorig.w2*Ksw+(1-FRorig.w2)*Ksw.alt)*(1000/RHOsolid/CORG)*L329</f>
        <v>99.435216023782488</v>
      </c>
      <c r="L327" s="636">
        <f t="shared" si="18"/>
        <v>99.435216023782488</v>
      </c>
      <c r="M327" s="36" t="s">
        <v>1498</v>
      </c>
      <c r="N327" s="29"/>
      <c r="O327" s="36"/>
    </row>
    <row r="328" spans="1:15" ht="12.75" customHeight="1" x14ac:dyDescent="0.3">
      <c r="A328" s="36"/>
      <c r="B328" s="29"/>
      <c r="C328" s="36" t="s">
        <v>1122</v>
      </c>
      <c r="D328" s="29"/>
      <c r="E328" s="29"/>
      <c r="F328" s="29"/>
      <c r="G328" s="94" t="s">
        <v>1123</v>
      </c>
      <c r="H328" s="36" t="s">
        <v>4043</v>
      </c>
      <c r="I328" s="638"/>
      <c r="J328" s="635" t="str">
        <f>IF(ISBLANK(HLOOKUP(CaseName,CaseData,MATCH($G328,cases!$G$3:$G$2464,0),FALSE)),"",HLOOKUP(CaseName,CaseData,MATCH($G328,cases!$G$3:$G$2464,0),FALSE))</f>
        <v/>
      </c>
      <c r="K328" s="352">
        <f>(FRorig.w2*Ksw+(1-FRorig.w2)*Ksw.alt)*(1000/RHOsolid/CORG)*L330</f>
        <v>99.435216023782488</v>
      </c>
      <c r="L328" s="636">
        <f t="shared" si="18"/>
        <v>99.435216023782488</v>
      </c>
      <c r="M328" s="36" t="s">
        <v>1498</v>
      </c>
      <c r="N328" s="29"/>
      <c r="O328" s="36"/>
    </row>
    <row r="329" spans="1:15" ht="12.75" customHeight="1" x14ac:dyDescent="0.3">
      <c r="A329" s="36"/>
      <c r="B329" s="29"/>
      <c r="C329" s="36" t="s">
        <v>4004</v>
      </c>
      <c r="D329" s="29"/>
      <c r="E329" s="29"/>
      <c r="F329" s="29"/>
      <c r="G329" s="94" t="s">
        <v>1460</v>
      </c>
      <c r="H329" s="36" t="s">
        <v>36</v>
      </c>
      <c r="I329" s="638"/>
      <c r="J329" s="635" t="str">
        <f>IF(ISBLANK(HLOOKUP(CaseName,CaseData,MATCH($G329,cases!$G$3:$G$2464,0),FALSE)),"",HLOOKUP(CaseName,CaseData,MATCH($G329,cases!$G$3:$G$2464,0),FALSE))</f>
        <v/>
      </c>
      <c r="K329" s="366">
        <v>0.1</v>
      </c>
      <c r="L329" s="636">
        <f t="shared" si="18"/>
        <v>0.1</v>
      </c>
      <c r="M329" s="36" t="s">
        <v>486</v>
      </c>
      <c r="N329" s="29"/>
      <c r="O329" s="36"/>
    </row>
    <row r="330" spans="1:15" ht="12.75" customHeight="1" x14ac:dyDescent="0.3">
      <c r="A330" s="36"/>
      <c r="B330" s="29"/>
      <c r="C330" s="36" t="s">
        <v>1124</v>
      </c>
      <c r="D330" s="29"/>
      <c r="E330" s="29"/>
      <c r="F330" s="29"/>
      <c r="G330" s="94" t="s">
        <v>1461</v>
      </c>
      <c r="H330" s="36" t="s">
        <v>36</v>
      </c>
      <c r="I330" s="638"/>
      <c r="J330" s="635" t="str">
        <f>IF(ISBLANK(HLOOKUP(CaseName,CaseData,MATCH($G330,cases!$G$3:$G$2464,0),FALSE)),"",HLOOKUP(CaseName,CaseData,MATCH($G330,cases!$G$3:$G$2464,0),FALSE))</f>
        <v/>
      </c>
      <c r="K330" s="366">
        <v>0.1</v>
      </c>
      <c r="L330" s="636">
        <f t="shared" si="18"/>
        <v>0.1</v>
      </c>
      <c r="M330" s="36" t="s">
        <v>486</v>
      </c>
      <c r="N330" s="29"/>
      <c r="O330" s="36"/>
    </row>
    <row r="331" spans="1:15" ht="12.75" customHeight="1" x14ac:dyDescent="0.3">
      <c r="A331" s="36"/>
      <c r="B331" s="29"/>
      <c r="C331" s="36" t="s">
        <v>4005</v>
      </c>
      <c r="D331" s="29"/>
      <c r="E331" s="29"/>
      <c r="F331" s="29"/>
      <c r="G331" s="94" t="s">
        <v>1125</v>
      </c>
      <c r="H331" s="36" t="s">
        <v>4044</v>
      </c>
      <c r="I331" s="638"/>
      <c r="J331" s="635" t="str">
        <f>IF(ISBLANK(HLOOKUP(CaseName,CaseData,MATCH($G331,cases!$G$3:$G$2464,0),FALSE)),"",HLOOKUP(CaseName,CaseData,MATCH($G331,cases!$G$3:$G$2464,0),FALSE))</f>
        <v/>
      </c>
      <c r="K331" s="366">
        <v>5</v>
      </c>
      <c r="L331" s="636">
        <f>IF(ISBLANK(I331),IF(ISNUMBER(J331)=FALSE,K331/1000,J331/1000),I331/1000)</f>
        <v>5.0000000000000001E-3</v>
      </c>
      <c r="M331" s="36" t="s">
        <v>1497</v>
      </c>
      <c r="N331" s="29"/>
      <c r="O331" s="36"/>
    </row>
    <row r="332" spans="1:15" ht="12.75" customHeight="1" x14ac:dyDescent="0.3">
      <c r="A332" s="36"/>
      <c r="B332" s="29"/>
      <c r="C332" s="36" t="s">
        <v>1126</v>
      </c>
      <c r="D332" s="29"/>
      <c r="E332" s="29"/>
      <c r="F332" s="29"/>
      <c r="G332" s="94" t="s">
        <v>1127</v>
      </c>
      <c r="H332" s="36" t="s">
        <v>4044</v>
      </c>
      <c r="I332" s="638"/>
      <c r="J332" s="635" t="str">
        <f>IF(ISBLANK(HLOOKUP(CaseName,CaseData,MATCH($G332,cases!$G$3:$G$2464,0),FALSE)),"",HLOOKUP(CaseName,CaseData,MATCH($G332,cases!$G$3:$G$2464,0),FALSE))</f>
        <v/>
      </c>
      <c r="K332" s="366">
        <v>5</v>
      </c>
      <c r="L332" s="636">
        <f>IF(ISBLANK(I332),IF(ISNUMBER(J332)=FALSE,K332/1000,J332/1000),I332/1000)</f>
        <v>5.0000000000000001E-3</v>
      </c>
      <c r="M332" s="36" t="s">
        <v>1497</v>
      </c>
      <c r="N332" s="29"/>
      <c r="O332" s="36"/>
    </row>
    <row r="333" spans="1:15" ht="12.75" customHeight="1" x14ac:dyDescent="0.3">
      <c r="A333" s="36"/>
      <c r="B333" s="29"/>
      <c r="C333" s="36" t="s">
        <v>4006</v>
      </c>
      <c r="D333" s="29"/>
      <c r="E333" s="29"/>
      <c r="F333" s="29"/>
      <c r="G333" s="94" t="s">
        <v>1128</v>
      </c>
      <c r="H333" s="36" t="s">
        <v>1039</v>
      </c>
      <c r="I333" s="634"/>
      <c r="J333" s="635" t="str">
        <f>IF(ISBLANK(HLOOKUP(CaseName,CaseData,MATCH($G333,cases!$G$3:$G$2464,0),FALSE)),"",HLOOKUP(CaseName,CaseData,MATCH($G333,cases!$G$3:$G$2464,0),FALSE))</f>
        <v/>
      </c>
      <c r="K333" s="352">
        <f>0.08*D</f>
        <v>264.01059655875667</v>
      </c>
      <c r="L333" s="636">
        <f>IF(ISBLANK(I333),IF(ISNUMBER(J333)=FALSE,K333,J333),I333)</f>
        <v>264.01059655875667</v>
      </c>
      <c r="M333" s="36" t="s">
        <v>1498</v>
      </c>
      <c r="N333" s="29"/>
      <c r="O333" s="36"/>
    </row>
    <row r="334" spans="1:15" ht="12.75" customHeight="1" x14ac:dyDescent="0.3">
      <c r="A334" s="36"/>
      <c r="B334" s="29"/>
      <c r="C334" s="36" t="s">
        <v>1143</v>
      </c>
      <c r="D334" s="29"/>
      <c r="E334" s="29"/>
      <c r="F334" s="29"/>
      <c r="G334" s="94" t="s">
        <v>1129</v>
      </c>
      <c r="H334" s="36" t="s">
        <v>1039</v>
      </c>
      <c r="I334" s="634"/>
      <c r="J334" s="635" t="str">
        <f>IF(ISBLANK(HLOOKUP(CaseName,CaseData,MATCH($G334,cases!$G$3:$G$2464,0),FALSE)),"",HLOOKUP(CaseName,CaseData,MATCH($G334,cases!$G$3:$G$2464,0),FALSE))</f>
        <v/>
      </c>
      <c r="K334" s="352">
        <f>0.08*D</f>
        <v>264.01059655875667</v>
      </c>
      <c r="L334" s="636">
        <f>IF(ISBLANK(I334),IF(ISNUMBER(J334)=FALSE,K334,J334),I334)</f>
        <v>264.01059655875667</v>
      </c>
      <c r="M334" s="36" t="s">
        <v>1498</v>
      </c>
      <c r="N334" s="29"/>
      <c r="O334" s="36"/>
    </row>
    <row r="335" spans="1:15" ht="12.75" customHeight="1" x14ac:dyDescent="0.3">
      <c r="A335" s="36"/>
      <c r="B335" s="29"/>
      <c r="C335" s="36" t="s">
        <v>4007</v>
      </c>
      <c r="D335" s="29"/>
      <c r="E335" s="29"/>
      <c r="F335" s="29"/>
      <c r="G335" s="94" t="s">
        <v>1144</v>
      </c>
      <c r="H335" s="36" t="s">
        <v>1038</v>
      </c>
      <c r="I335" s="634"/>
      <c r="J335" s="635" t="str">
        <f>IF(ISBLANK(HLOOKUP(CaseName,CaseData,MATCH($G335,cases!$G$3:$G$2464,0),FALSE)),"",HLOOKUP(CaseName,CaseData,MATCH($G335,cases!$G$3:$G$2464,0),FALSE))</f>
        <v/>
      </c>
      <c r="K335" s="352">
        <v>1</v>
      </c>
      <c r="L335" s="636">
        <f>IF(ISBLANK(I335),IF(ISNUMBER(J335)=FALSE,K335/1000,J335/1000),I335/1000)</f>
        <v>1E-3</v>
      </c>
      <c r="M335" s="36" t="s">
        <v>1497</v>
      </c>
      <c r="N335" s="29"/>
      <c r="O335" s="36"/>
    </row>
    <row r="336" spans="1:15" ht="12.75" customHeight="1" x14ac:dyDescent="0.3">
      <c r="A336" s="36"/>
      <c r="B336" s="29"/>
      <c r="C336" s="36" t="s">
        <v>1130</v>
      </c>
      <c r="D336" s="29"/>
      <c r="E336" s="29"/>
      <c r="F336" s="29"/>
      <c r="G336" s="94" t="s">
        <v>1131</v>
      </c>
      <c r="H336" s="36" t="s">
        <v>1038</v>
      </c>
      <c r="I336" s="634"/>
      <c r="J336" s="635" t="str">
        <f>IF(ISBLANK(HLOOKUP(CaseName,CaseData,MATCH($G336,cases!$G$3:$G$2464,0),FALSE)),"",HLOOKUP(CaseName,CaseData,MATCH($G336,cases!$G$3:$G$2464,0),FALSE))</f>
        <v/>
      </c>
      <c r="K336" s="352">
        <v>1</v>
      </c>
      <c r="L336" s="636">
        <f>IF(ISBLANK(I336),IF(ISNUMBER(J336)=FALSE,K336/1000,J336/1000),I336/1000)</f>
        <v>1E-3</v>
      </c>
      <c r="M336" s="36" t="s">
        <v>1497</v>
      </c>
      <c r="N336" s="29"/>
      <c r="O336" s="36"/>
    </row>
    <row r="337" spans="1:15" ht="12.75" customHeight="1" x14ac:dyDescent="0.3">
      <c r="A337" s="36"/>
      <c r="B337" s="36" t="s">
        <v>1375</v>
      </c>
      <c r="C337" s="95"/>
      <c r="D337" s="29"/>
      <c r="E337" s="29"/>
      <c r="F337" s="29"/>
      <c r="G337" s="94" t="s">
        <v>113</v>
      </c>
      <c r="H337" s="36" t="s">
        <v>36</v>
      </c>
      <c r="I337" s="638"/>
      <c r="J337" s="635" t="str">
        <f>IF(ISBLANK(HLOOKUP(CaseName,CaseData,MATCH($G337,cases!$G$3:$G$2464,0),FALSE)),"",HLOOKUP(CaseName,CaseData,MATCH($G337,cases!$G$3:$G$2464,0),FALSE))</f>
        <v/>
      </c>
      <c r="K337" s="352">
        <f>L302+L303*L338*RHOsolid/1000</f>
        <v>26.231033926700718</v>
      </c>
      <c r="L337" s="636">
        <f t="shared" ref="L337:L344" si="19">IF(ISBLANK(I337),IF(ISNUMBER(J337)=FALSE,K337,J337),I337)</f>
        <v>26.231033926700718</v>
      </c>
      <c r="M337" s="36" t="s">
        <v>486</v>
      </c>
      <c r="N337" s="29"/>
      <c r="O337" s="36"/>
    </row>
    <row r="338" spans="1:15" ht="12.75" customHeight="1" x14ac:dyDescent="0.3">
      <c r="A338" s="36"/>
      <c r="B338" s="29"/>
      <c r="C338" s="36" t="s">
        <v>1376</v>
      </c>
      <c r="D338" s="29"/>
      <c r="E338" s="29"/>
      <c r="F338" s="29"/>
      <c r="G338" s="94" t="s">
        <v>178</v>
      </c>
      <c r="H338" s="36" t="s">
        <v>4043</v>
      </c>
      <c r="I338" s="638"/>
      <c r="J338" s="635" t="str">
        <f>IF(ISBLANK(HLOOKUP(CaseName,CaseData,MATCH($G338,cases!$G$3:$G$2464,0),FALSE)),"",HLOOKUP(CaseName,CaseData,MATCH($G338,cases!$G$3:$G$2464,0),FALSE))</f>
        <v/>
      </c>
      <c r="K338" s="352">
        <f>(FRorig.sd2*Ksw+(1-FRorig.sd2)*Ksw.alt)*(1000/RHOsolid/CORG)*L339</f>
        <v>50.862067853401449</v>
      </c>
      <c r="L338" s="636">
        <f t="shared" si="19"/>
        <v>50.862067853401449</v>
      </c>
      <c r="M338" s="36" t="s">
        <v>1498</v>
      </c>
      <c r="N338" s="29"/>
      <c r="O338" s="36"/>
    </row>
    <row r="339" spans="1:15" ht="12.75" customHeight="1" x14ac:dyDescent="0.3">
      <c r="A339" s="36"/>
      <c r="B339" s="29"/>
      <c r="C339" s="36" t="s">
        <v>546</v>
      </c>
      <c r="D339" s="29"/>
      <c r="E339" s="29"/>
      <c r="F339" s="29"/>
      <c r="G339" s="94" t="s">
        <v>114</v>
      </c>
      <c r="H339" s="36" t="s">
        <v>36</v>
      </c>
      <c r="I339" s="638"/>
      <c r="J339" s="635" t="str">
        <f>IF(ISBLANK(HLOOKUP(CaseName,CaseData,MATCH($G339,cases!$G$3:$G$2464,0),FALSE)),"",HLOOKUP(CaseName,CaseData,MATCH($G339,cases!$G$3:$G$2464,0),FALSE))</f>
        <v/>
      </c>
      <c r="K339" s="352">
        <v>0.05</v>
      </c>
      <c r="L339" s="636">
        <f t="shared" si="19"/>
        <v>0.05</v>
      </c>
      <c r="M339" s="36" t="s">
        <v>486</v>
      </c>
      <c r="N339" s="29"/>
      <c r="O339" s="36"/>
    </row>
    <row r="340" spans="1:15" ht="12.75" customHeight="1" x14ac:dyDescent="0.3">
      <c r="A340" s="36"/>
      <c r="B340" s="36" t="s">
        <v>1372</v>
      </c>
      <c r="C340" s="95"/>
      <c r="D340" s="29"/>
      <c r="E340" s="29"/>
      <c r="F340" s="29"/>
      <c r="G340" s="94" t="s">
        <v>4030</v>
      </c>
      <c r="H340" s="36" t="s">
        <v>36</v>
      </c>
      <c r="I340" s="638"/>
      <c r="J340" s="635" t="str">
        <f>IF(ISBLANK(HLOOKUP(CaseName,CaseData,MATCH($G340,cases!$G$3:$G$2464,0),FALSE)),"",HLOOKUP(CaseName,CaseData,MATCH($G340,cases!$G$3:$G$2464,0),FALSE))</f>
        <v/>
      </c>
      <c r="K340" s="352">
        <f>L299*(L321*FRorig.s1w)+L300+L301*L343*RHOsolid/1000</f>
        <v>30.955151028726856</v>
      </c>
      <c r="L340" s="636">
        <f t="shared" si="19"/>
        <v>30.955151028726856</v>
      </c>
      <c r="M340" s="29" t="s">
        <v>486</v>
      </c>
      <c r="N340" s="29"/>
      <c r="O340" s="36"/>
    </row>
    <row r="341" spans="1:15" ht="12.75" customHeight="1" x14ac:dyDescent="0.3">
      <c r="A341" s="36"/>
      <c r="B341" s="36" t="s">
        <v>48</v>
      </c>
      <c r="C341" s="95"/>
      <c r="D341" s="29"/>
      <c r="E341" s="29"/>
      <c r="F341" s="29"/>
      <c r="G341" s="94" t="s">
        <v>478</v>
      </c>
      <c r="H341" s="36" t="s">
        <v>36</v>
      </c>
      <c r="I341" s="638"/>
      <c r="J341" s="635" t="str">
        <f>IF(ISBLANK(HLOOKUP(CaseName,CaseData,MATCH($G341,cases!$G$3:$G$2464,0),FALSE)),"",HLOOKUP(CaseName,CaseData,MATCH($G341,cases!$G$3:$G$2464,0),FALSE))</f>
        <v/>
      </c>
      <c r="K341" s="352">
        <f>L300/(L299*(L321*FRorig.s1w)+L300+L301*L343*RHOsolid/1000)</f>
        <v>6.4609602393603874E-3</v>
      </c>
      <c r="L341" s="636">
        <f t="shared" si="19"/>
        <v>6.4609602393603874E-3</v>
      </c>
      <c r="M341" s="29" t="s">
        <v>486</v>
      </c>
      <c r="N341" s="29"/>
      <c r="O341" s="36"/>
    </row>
    <row r="342" spans="1:15" ht="12.75" customHeight="1" x14ac:dyDescent="0.3">
      <c r="A342" s="36"/>
      <c r="B342" s="36" t="s">
        <v>1301</v>
      </c>
      <c r="C342" s="95"/>
      <c r="D342" s="29"/>
      <c r="E342" s="29"/>
      <c r="F342" s="29"/>
      <c r="G342" s="94" t="s">
        <v>477</v>
      </c>
      <c r="H342" s="36" t="s">
        <v>36</v>
      </c>
      <c r="I342" s="638"/>
      <c r="J342" s="635" t="str">
        <f>IF(ISBLANK(HLOOKUP(CaseName,CaseData,MATCH($G342,cases!$G$3:$G$2464,0),FALSE)),"",HLOOKUP(CaseName,CaseData,MATCH($G342,cases!$G$3:$G$2464,0),FALSE))</f>
        <v/>
      </c>
      <c r="K342" s="352">
        <f>L301 / (L299*L321*FRorig.s1w/(L343*RHOsolid/1000)+L300/(L343*RHOsolid/1000)+L301 )</f>
        <v>0.99353903784375253</v>
      </c>
      <c r="L342" s="636">
        <f t="shared" si="19"/>
        <v>0.99353903784375253</v>
      </c>
      <c r="M342" s="5" t="s">
        <v>486</v>
      </c>
      <c r="N342" s="29"/>
      <c r="O342" s="36"/>
    </row>
    <row r="343" spans="1:15" ht="12.75" customHeight="1" x14ac:dyDescent="0.3">
      <c r="A343" s="36"/>
      <c r="B343" s="29"/>
      <c r="C343" s="36" t="s">
        <v>1373</v>
      </c>
      <c r="D343" s="29"/>
      <c r="E343" s="29"/>
      <c r="F343" s="29"/>
      <c r="G343" s="94" t="s">
        <v>180</v>
      </c>
      <c r="H343" s="36" t="s">
        <v>4043</v>
      </c>
      <c r="I343" s="638"/>
      <c r="J343" s="635" t="str">
        <f>IF(ISBLANK(HLOOKUP(CaseName,CaseData,MATCH($G343,cases!$G$3:$G$2464,0),FALSE)),"",HLOOKUP(CaseName,CaseData,MATCH($G343,cases!$G$3:$G$2464,0),FALSE))</f>
        <v/>
      </c>
      <c r="K343" s="352">
        <f>(FRorig.s1*Ksw+(1-FRorig.s1)*Ksw.alt)*(1000/RHOsolid/CORG)*L344</f>
        <v>20.503433979592884</v>
      </c>
      <c r="L343" s="636">
        <f t="shared" si="19"/>
        <v>20.503433979592884</v>
      </c>
      <c r="M343" s="36" t="s">
        <v>1498</v>
      </c>
      <c r="N343" s="29"/>
      <c r="O343" s="36"/>
    </row>
    <row r="344" spans="1:15" ht="12.75" customHeight="1" x14ac:dyDescent="0.3">
      <c r="A344" s="36"/>
      <c r="B344" s="29"/>
      <c r="C344" s="36" t="s">
        <v>1374</v>
      </c>
      <c r="D344" s="29"/>
      <c r="E344" s="29"/>
      <c r="F344" s="29"/>
      <c r="G344" s="94" t="s">
        <v>1044</v>
      </c>
      <c r="H344" s="36" t="s">
        <v>36</v>
      </c>
      <c r="I344" s="638"/>
      <c r="J344" s="635" t="str">
        <f>IF(ISBLANK(HLOOKUP(CaseName,CaseData,MATCH($G344,cases!$G$3:$G$2464,0),FALSE)),"",HLOOKUP(CaseName,CaseData,MATCH($G344,cases!$G$3:$G$2464,0),FALSE))</f>
        <v/>
      </c>
      <c r="K344" s="352">
        <v>0.02</v>
      </c>
      <c r="L344" s="636">
        <f t="shared" si="19"/>
        <v>0.02</v>
      </c>
      <c r="M344" s="29" t="s">
        <v>486</v>
      </c>
      <c r="N344" s="29"/>
      <c r="O344" s="36"/>
    </row>
    <row r="345" spans="1:15" ht="12.75" customHeight="1" x14ac:dyDescent="0.3">
      <c r="A345" s="29"/>
      <c r="B345" s="29"/>
      <c r="C345" s="29"/>
      <c r="D345" s="29"/>
      <c r="E345" s="29"/>
      <c r="F345" s="29"/>
      <c r="G345" s="29"/>
      <c r="H345" s="36"/>
      <c r="I345" s="645"/>
      <c r="J345" s="353"/>
      <c r="K345" s="353"/>
      <c r="L345" s="339"/>
      <c r="M345" s="29"/>
      <c r="N345" s="29"/>
      <c r="O345" s="36"/>
    </row>
    <row r="346" spans="1:15" ht="12.75" customHeight="1" x14ac:dyDescent="0.3">
      <c r="A346" s="98" t="s">
        <v>1311</v>
      </c>
      <c r="B346" s="97"/>
      <c r="C346" s="97"/>
      <c r="D346" s="97"/>
      <c r="E346" s="97"/>
      <c r="F346" s="97"/>
      <c r="G346" s="98" t="s">
        <v>1008</v>
      </c>
      <c r="H346" s="98" t="s">
        <v>968</v>
      </c>
      <c r="I346" s="364" t="s">
        <v>754</v>
      </c>
      <c r="J346" s="340" t="s">
        <v>37</v>
      </c>
      <c r="K346" s="340" t="s">
        <v>753</v>
      </c>
      <c r="L346" s="340" t="s">
        <v>1358</v>
      </c>
      <c r="M346" s="97"/>
      <c r="N346" s="98" t="s">
        <v>1371</v>
      </c>
      <c r="O346" s="36"/>
    </row>
    <row r="347" spans="1:15" ht="12.75" customHeight="1" x14ac:dyDescent="0.3">
      <c r="A347" s="29"/>
      <c r="B347" s="29"/>
      <c r="C347" s="29"/>
      <c r="D347" s="29"/>
      <c r="E347" s="29"/>
      <c r="F347" s="29"/>
      <c r="G347" s="29"/>
      <c r="H347" s="36"/>
      <c r="I347" s="645"/>
      <c r="J347" s="645"/>
      <c r="K347" s="353"/>
      <c r="L347" s="339"/>
      <c r="M347" s="29"/>
      <c r="N347" s="29"/>
      <c r="O347" s="36"/>
    </row>
    <row r="348" spans="1:15" ht="12.75" customHeight="1" x14ac:dyDescent="0.3">
      <c r="A348" s="36" t="s">
        <v>93</v>
      </c>
      <c r="B348" s="29"/>
      <c r="C348" s="29"/>
      <c r="D348" s="29"/>
      <c r="E348" s="29"/>
      <c r="F348" s="29"/>
      <c r="G348" s="36" t="s">
        <v>1264</v>
      </c>
      <c r="H348" s="36" t="s">
        <v>4037</v>
      </c>
      <c r="I348" s="638"/>
      <c r="J348" s="635" t="str">
        <f>IF(ISBLANK(HLOOKUP(CaseName,CaseData,MATCH($G348,cases!$G$3:$G$2464,0),FALSE)),"",HLOOKUP(CaseName,CaseData,MATCH($G348,cases!$G$3:$G$2464,0),FALSE))</f>
        <v/>
      </c>
      <c r="K348" s="352">
        <f>(L352+L364/L292)*L290</f>
        <v>6.6295470258236121E-6</v>
      </c>
      <c r="L348" s="636">
        <f t="shared" ref="L348:L361" si="20">IF(ISBLANK(I348),IF(ISNUMBER(J348)=FALSE,K348,J348),I348)</f>
        <v>6.6295470258236121E-6</v>
      </c>
      <c r="M348" s="29" t="s">
        <v>1488</v>
      </c>
      <c r="N348" s="29"/>
      <c r="O348" s="36"/>
    </row>
    <row r="349" spans="1:15" ht="12.75" customHeight="1" x14ac:dyDescent="0.3">
      <c r="A349" s="36" t="s">
        <v>94</v>
      </c>
      <c r="B349" s="29"/>
      <c r="C349" s="29"/>
      <c r="D349" s="29"/>
      <c r="E349" s="29"/>
      <c r="F349" s="29"/>
      <c r="G349" s="36" t="s">
        <v>1367</v>
      </c>
      <c r="H349" s="36" t="s">
        <v>4037</v>
      </c>
      <c r="I349" s="638"/>
      <c r="J349" s="635" t="str">
        <f>IF(ISBLANK(HLOOKUP(CaseName,CaseData,MATCH($G349,cases!$G$3:$G$2464,0),FALSE)),"",HLOOKUP(CaseName,CaseData,MATCH($G349,cases!$G$3:$G$2464,0),FALSE))</f>
        <v/>
      </c>
      <c r="K349" s="352">
        <f>(L352+L365/L292)*L291</f>
        <v>2.0156444088287383E-6</v>
      </c>
      <c r="L349" s="636">
        <f t="shared" si="20"/>
        <v>2.0156444088287383E-6</v>
      </c>
      <c r="M349" s="29" t="s">
        <v>1488</v>
      </c>
      <c r="N349" s="29"/>
      <c r="O349" s="36"/>
    </row>
    <row r="350" spans="1:15" ht="12.75" customHeight="1" x14ac:dyDescent="0.3">
      <c r="A350" s="36" t="s">
        <v>95</v>
      </c>
      <c r="B350" s="29"/>
      <c r="C350" s="29"/>
      <c r="D350" s="29"/>
      <c r="E350" s="29"/>
      <c r="F350" s="29"/>
      <c r="G350" s="36" t="s">
        <v>1265</v>
      </c>
      <c r="H350" s="36" t="s">
        <v>4037</v>
      </c>
      <c r="I350" s="638"/>
      <c r="J350" s="635" t="str">
        <f>IF(ISBLANK(HLOOKUP(CaseName,CaseData,MATCH($G350,cases!$G$3:$G$2464,0),FALSE)),"",HLOOKUP(CaseName,CaseData,MATCH($G350,cases!$G$3:$G$2464,0),FALSE))</f>
        <v/>
      </c>
      <c r="K350" s="352">
        <f>L366/L293</f>
        <v>1.108387121217946E-11</v>
      </c>
      <c r="L350" s="636">
        <f t="shared" si="20"/>
        <v>1.108387121217946E-11</v>
      </c>
      <c r="M350" s="29" t="s">
        <v>1488</v>
      </c>
      <c r="N350" s="29"/>
      <c r="O350" s="36"/>
    </row>
    <row r="351" spans="1:15" ht="12.75" customHeight="1" x14ac:dyDescent="0.3">
      <c r="A351" s="36" t="s">
        <v>96</v>
      </c>
      <c r="B351" s="29"/>
      <c r="C351" s="29"/>
      <c r="D351" s="29"/>
      <c r="E351" s="29"/>
      <c r="F351" s="29"/>
      <c r="G351" s="36" t="s">
        <v>1368</v>
      </c>
      <c r="H351" s="36" t="s">
        <v>4037</v>
      </c>
      <c r="I351" s="638"/>
      <c r="J351" s="635" t="str">
        <f>IF(ISBLANK(HLOOKUP(CaseName,CaseData,MATCH($G351,cases!$G$3:$G$2464,0),FALSE)),"",HLOOKUP(CaseName,CaseData,MATCH($G351,cases!$G$3:$G$2464,0),FALSE))</f>
        <v/>
      </c>
      <c r="K351" s="352">
        <f>L367/L296</f>
        <v>2.5498188135488605E-10</v>
      </c>
      <c r="L351" s="636">
        <f t="shared" si="20"/>
        <v>2.5498188135488605E-10</v>
      </c>
      <c r="M351" s="29" t="s">
        <v>1488</v>
      </c>
      <c r="N351" s="29"/>
      <c r="O351" s="36"/>
    </row>
    <row r="352" spans="1:15" ht="12.75" customHeight="1" x14ac:dyDescent="0.3">
      <c r="A352" s="36"/>
      <c r="B352" s="36" t="s">
        <v>2266</v>
      </c>
      <c r="C352" s="29"/>
      <c r="D352" s="29"/>
      <c r="E352" s="29"/>
      <c r="F352" s="29"/>
      <c r="G352" s="37" t="s">
        <v>2294</v>
      </c>
      <c r="H352" s="36" t="s">
        <v>4037</v>
      </c>
      <c r="I352" s="638"/>
      <c r="J352" s="635" t="str">
        <f>IF(ISBLANK(HLOOKUP(CaseName,CaseData,MATCH($G352,cases!$G$3:$G$2464,0),FALSE)),"",HLOOKUP(CaseName,CaseData,MATCH($G352,cases!$G$3:$G$2464,0),FALSE))</f>
        <v/>
      </c>
      <c r="K352" s="352">
        <f>L353 - SUM((L364*L290+L365*L291)/L292,L401,L305)</f>
        <v>5.6967465230543798E-6</v>
      </c>
      <c r="L352" s="636">
        <f t="shared" si="20"/>
        <v>5.6967465230543798E-6</v>
      </c>
      <c r="M352" s="29" t="s">
        <v>1555</v>
      </c>
      <c r="N352" s="29"/>
      <c r="O352" s="36"/>
    </row>
    <row r="353" spans="1:15" ht="12.75" customHeight="1" x14ac:dyDescent="0.3">
      <c r="A353" s="36"/>
      <c r="B353" s="36"/>
      <c r="C353" s="29" t="s">
        <v>2267</v>
      </c>
      <c r="D353" s="29"/>
      <c r="E353" s="29"/>
      <c r="F353" s="29"/>
      <c r="G353" s="37" t="s">
        <v>2295</v>
      </c>
      <c r="H353" s="36" t="s">
        <v>4037</v>
      </c>
      <c r="I353" s="638"/>
      <c r="J353" s="635" t="str">
        <f>IF(ISBLANK(HLOOKUP(CaseName,CaseData,MATCH($G353,cases!$G$3:$G$2464,0),FALSE)),"",HLOOKUP(CaseName,CaseData,MATCH($G353,cases!$G$3:$G$2464,0),FALSE))</f>
        <v/>
      </c>
      <c r="K353" s="352">
        <f>((1/L354)*L356/(L356+L357)+(1/L355)*L357/(L356+L357)-((1/L355-1/L354)^2/(L356+L357))*(1-EXP(-L354*L356))*(1-EXP(-L355*L357))/(1-EXP(-L354*L356-L355*L357)))^-1</f>
        <v>1.9101797991432914E-5</v>
      </c>
      <c r="L353" s="636">
        <f t="shared" si="20"/>
        <v>1.9101797991432914E-5</v>
      </c>
      <c r="M353" s="29" t="s">
        <v>1488</v>
      </c>
      <c r="N353" s="29"/>
      <c r="O353" s="36"/>
    </row>
    <row r="354" spans="1:15" ht="12.75" customHeight="1" x14ac:dyDescent="0.3">
      <c r="A354" s="36"/>
      <c r="B354" s="36"/>
      <c r="C354" s="36"/>
      <c r="D354" s="36" t="s">
        <v>3977</v>
      </c>
      <c r="E354" s="29"/>
      <c r="F354" s="29"/>
      <c r="G354" s="37" t="s">
        <v>428</v>
      </c>
      <c r="H354" s="36" t="s">
        <v>4037</v>
      </c>
      <c r="I354" s="638"/>
      <c r="J354" s="635" t="str">
        <f>IF(ISBLANK(HLOOKUP(CaseName,CaseData,MATCH($G354,cases!$G$3:$G$2464,0),FALSE)),"",HLOOKUP(CaseName,CaseData,MATCH($G354,cases!$G$3:$G$2464,0),FALSE))</f>
        <v/>
      </c>
      <c r="K354" s="352">
        <f>L358/L292 + SUM((L364*L290+L365*L291)/L292,L401,L305)</f>
        <v>1.3428655079833358E-5</v>
      </c>
      <c r="L354" s="636">
        <f t="shared" si="20"/>
        <v>1.3428655079833358E-5</v>
      </c>
      <c r="M354" s="29" t="s">
        <v>1488</v>
      </c>
      <c r="N354" s="29"/>
      <c r="O354" s="36"/>
    </row>
    <row r="355" spans="1:15" ht="12.75" customHeight="1" x14ac:dyDescent="0.3">
      <c r="A355" s="36"/>
      <c r="B355" s="36"/>
      <c r="C355" s="36"/>
      <c r="D355" s="36" t="s">
        <v>3978</v>
      </c>
      <c r="E355" s="29"/>
      <c r="F355" s="29"/>
      <c r="G355" s="37" t="s">
        <v>429</v>
      </c>
      <c r="H355" s="36" t="s">
        <v>4037</v>
      </c>
      <c r="I355" s="638"/>
      <c r="J355" s="635" t="str">
        <f>IF(ISBLANK(HLOOKUP(CaseName,CaseData,MATCH($G355,cases!$G$3:$G$2464,0),FALSE)),"",HLOOKUP(CaseName,CaseData,MATCH($G355,cases!$G$3:$G$2464,0),FALSE))</f>
        <v/>
      </c>
      <c r="K355" s="352">
        <f>(L359+L360)/L292 + SUM((L364*L290+L365*L291)/L292,L401,L305)</f>
        <v>2.2776241738680465E-3</v>
      </c>
      <c r="L355" s="636">
        <f t="shared" si="20"/>
        <v>2.2776241738680465E-3</v>
      </c>
      <c r="M355" s="29" t="s">
        <v>1488</v>
      </c>
      <c r="N355" s="29"/>
      <c r="O355" s="36"/>
    </row>
    <row r="356" spans="1:15" ht="12.75" customHeight="1" x14ac:dyDescent="0.3">
      <c r="A356" s="36"/>
      <c r="B356" s="29" t="s">
        <v>929</v>
      </c>
      <c r="C356" s="29"/>
      <c r="D356" s="29"/>
      <c r="E356" s="29"/>
      <c r="F356" s="29"/>
      <c r="G356" s="29" t="s">
        <v>430</v>
      </c>
      <c r="H356" s="29" t="s">
        <v>2192</v>
      </c>
      <c r="I356" s="638"/>
      <c r="J356" s="635" t="str">
        <f>IF(ISBLANK(HLOOKUP(CaseName,CaseData,MATCH($G356,cases!$G$3:$G$2464,0),FALSE)),"",HLOOKUP(CaseName,CaseData,MATCH($G356,cases!$G$3:$G$2464,0),FALSE))</f>
        <v/>
      </c>
      <c r="K356" s="352">
        <f>3.3*24</f>
        <v>79.199999999999989</v>
      </c>
      <c r="L356" s="650">
        <f>IF(ISBLANK(I356),IF(ISNUMBER(J356)=FALSE,K356*3600,J356*3600),I356*3600)</f>
        <v>285119.99999999994</v>
      </c>
      <c r="M356" s="36" t="s">
        <v>115</v>
      </c>
      <c r="N356" s="29"/>
      <c r="O356" s="36"/>
    </row>
    <row r="357" spans="1:15" ht="12.75" customHeight="1" x14ac:dyDescent="0.3">
      <c r="A357" s="36"/>
      <c r="B357" s="29" t="s">
        <v>931</v>
      </c>
      <c r="C357" s="29"/>
      <c r="D357" s="29"/>
      <c r="E357" s="29"/>
      <c r="F357" s="29"/>
      <c r="G357" s="29" t="s">
        <v>431</v>
      </c>
      <c r="H357" s="29" t="s">
        <v>2192</v>
      </c>
      <c r="I357" s="638"/>
      <c r="J357" s="635" t="str">
        <f>IF(ISBLANK(HLOOKUP(CaseName,CaseData,MATCH($G357,cases!$G$3:$G$2464,0),FALSE)),"",HLOOKUP(CaseName,CaseData,MATCH($G357,cases!$G$3:$G$2464,0),FALSE))</f>
        <v/>
      </c>
      <c r="K357" s="352">
        <f>3.3*24*(0.06/(1-0.06))</f>
        <v>5.0553191489361691</v>
      </c>
      <c r="L357" s="650">
        <f>IF(ISBLANK(I357),IF(ISNUMBER(J357)=FALSE,K357*3600,J357*3600),I357*3600)</f>
        <v>18199.148936170208</v>
      </c>
      <c r="M357" s="36" t="s">
        <v>763</v>
      </c>
      <c r="N357" s="29"/>
      <c r="O357" s="36"/>
    </row>
    <row r="358" spans="1:15" ht="12.75" customHeight="1" x14ac:dyDescent="0.3">
      <c r="A358" s="36"/>
      <c r="B358" s="36" t="s">
        <v>493</v>
      </c>
      <c r="C358" s="29"/>
      <c r="D358" s="29"/>
      <c r="E358" s="29"/>
      <c r="F358" s="29"/>
      <c r="G358" s="94" t="s">
        <v>953</v>
      </c>
      <c r="H358" s="30" t="s">
        <v>4045</v>
      </c>
      <c r="I358" s="638"/>
      <c r="J358" s="635" t="str">
        <f>IF(ISBLANK(HLOOKUP(CaseName,CaseData,MATCH($G358,cases!$G$3:$G$2464,0),FALSE)),"",HLOOKUP(CaseName,CaseData,MATCH($G358,cases!$G$3:$G$2464,0),FALSE))</f>
        <v/>
      </c>
      <c r="K358" s="352">
        <f>L361*(L319+L320)</f>
        <v>2.3603611454823871E-5</v>
      </c>
      <c r="L358" s="636">
        <f t="shared" si="20"/>
        <v>2.3603611454823871E-5</v>
      </c>
      <c r="M358" s="29" t="s">
        <v>1490</v>
      </c>
      <c r="N358" s="29"/>
      <c r="O358" s="36"/>
    </row>
    <row r="359" spans="1:15" ht="12.75" customHeight="1" x14ac:dyDescent="0.3">
      <c r="A359" s="36"/>
      <c r="B359" s="36" t="s">
        <v>745</v>
      </c>
      <c r="C359" s="29"/>
      <c r="D359" s="29"/>
      <c r="E359" s="29"/>
      <c r="F359" s="29"/>
      <c r="G359" s="37" t="s">
        <v>1400</v>
      </c>
      <c r="H359" s="95" t="s">
        <v>4045</v>
      </c>
      <c r="I359" s="638"/>
      <c r="J359" s="635" t="str">
        <f>IF(ISBLANK(HLOOKUP(CaseName,CaseData,MATCH($G359,cases!$G$3:$G$2464,0),FALSE)),"",HLOOKUP(CaseName,CaseData,MATCH($G359,cases!$G$3:$G$2464,0),FALSE))</f>
        <v/>
      </c>
      <c r="K359" s="352">
        <f>(L320)*(L356+L357)/L357*L362*L363</f>
        <v>3.2343070343634995E-3</v>
      </c>
      <c r="L359" s="636">
        <f t="shared" si="20"/>
        <v>3.2343070343634995E-3</v>
      </c>
      <c r="M359" s="29" t="s">
        <v>1490</v>
      </c>
      <c r="N359" s="29" t="s">
        <v>3910</v>
      </c>
      <c r="O359" s="36"/>
    </row>
    <row r="360" spans="1:15" ht="12.75" customHeight="1" x14ac:dyDescent="0.3">
      <c r="A360" s="36"/>
      <c r="B360" s="36" t="s">
        <v>746</v>
      </c>
      <c r="C360" s="29"/>
      <c r="D360" s="29"/>
      <c r="E360" s="29"/>
      <c r="F360" s="29"/>
      <c r="G360" s="37" t="s">
        <v>1401</v>
      </c>
      <c r="H360" s="95" t="s">
        <v>4045</v>
      </c>
      <c r="I360" s="638"/>
      <c r="J360" s="635" t="str">
        <f>IF(ISBLANK(HLOOKUP(CaseName,CaseData,MATCH($G360,cases!$G$3:$G$2464,0),FALSE)),"",HLOOKUP(CaseName,CaseData,MATCH($G360,cases!$G$3:$G$2464,0),FALSE))</f>
        <v/>
      </c>
      <c r="K360" s="352">
        <f>L318*(L356+L357)/L357*L362/(L321*FRorig.aerw)</f>
        <v>2.2609848153653043</v>
      </c>
      <c r="L360" s="636">
        <f t="shared" si="20"/>
        <v>2.2609848153653043</v>
      </c>
      <c r="M360" s="29" t="s">
        <v>1490</v>
      </c>
      <c r="N360" s="29"/>
      <c r="O360" s="36"/>
    </row>
    <row r="361" spans="1:15" ht="12.75" customHeight="1" x14ac:dyDescent="0.3">
      <c r="A361" s="36"/>
      <c r="B361" s="29"/>
      <c r="C361" s="95" t="s">
        <v>747</v>
      </c>
      <c r="D361" s="95"/>
      <c r="E361" s="95"/>
      <c r="F361" s="95"/>
      <c r="G361" s="94" t="s">
        <v>954</v>
      </c>
      <c r="H361" s="30" t="s">
        <v>4045</v>
      </c>
      <c r="I361" s="638"/>
      <c r="J361" s="635" t="str">
        <f>IF(ISBLANK(HLOOKUP(CaseName,CaseData,MATCH($G361,cases!$G$3:$G$2464,0),FALSE)),"",HLOOKUP(CaseName,CaseData,MATCH($G361,cases!$G$3:$G$2464,0),FALSE))</f>
        <v/>
      </c>
      <c r="K361" s="345">
        <v>1E-3</v>
      </c>
      <c r="L361" s="636">
        <f t="shared" si="20"/>
        <v>1E-3</v>
      </c>
      <c r="M361" s="29" t="s">
        <v>1490</v>
      </c>
      <c r="N361" s="29"/>
      <c r="O361" s="36"/>
    </row>
    <row r="362" spans="1:15" ht="12.75" customHeight="1" x14ac:dyDescent="0.3">
      <c r="A362" s="36"/>
      <c r="B362" s="29"/>
      <c r="C362" s="36" t="s">
        <v>748</v>
      </c>
      <c r="D362" s="95"/>
      <c r="E362" s="95"/>
      <c r="F362" s="95"/>
      <c r="G362" s="94" t="s">
        <v>955</v>
      </c>
      <c r="H362" s="95" t="s">
        <v>4053</v>
      </c>
      <c r="I362" s="638"/>
      <c r="J362" s="635" t="str">
        <f>IF(ISBLANK(HLOOKUP(CaseName,CaseData,MATCH($G362,cases!$G$3:$G$2464,0),FALSE)),"",HLOOKUP(CaseName,CaseData,MATCH($G362,cases!$G$3:$G$2464,0),FALSE))</f>
        <v/>
      </c>
      <c r="K362" s="345">
        <v>1300</v>
      </c>
      <c r="L362" s="636">
        <f>IF(ISBLANK(I362),IF(ISNUMBER(J362)=FALSE,K362/(1000*3600*24*365),J362/(1000*3600*24*365)),I362/(1000*3600*24*365))</f>
        <v>4.1222729578893962E-8</v>
      </c>
      <c r="M362" s="29" t="s">
        <v>1490</v>
      </c>
      <c r="N362" s="29"/>
      <c r="O362" s="36"/>
    </row>
    <row r="363" spans="1:15" ht="12.75" customHeight="1" x14ac:dyDescent="0.3">
      <c r="A363" s="36"/>
      <c r="B363" s="29"/>
      <c r="C363" s="36" t="s">
        <v>444</v>
      </c>
      <c r="D363" s="29"/>
      <c r="E363" s="29"/>
      <c r="F363" s="29"/>
      <c r="G363" s="94" t="s">
        <v>956</v>
      </c>
      <c r="H363" s="36" t="s">
        <v>36</v>
      </c>
      <c r="I363" s="638"/>
      <c r="J363" s="635" t="str">
        <f>IF(ISBLANK(HLOOKUP(CaseName,CaseData,MATCH($G363,cases!$G$3:$G$2464,0),FALSE)),"",HLOOKUP(CaseName,CaseData,MATCH($G363,cases!$G$3:$G$2464,0),FALSE))</f>
        <v/>
      </c>
      <c r="K363" s="345">
        <v>200000</v>
      </c>
      <c r="L363" s="636">
        <f t="shared" ref="L363:L373" si="21">IF(ISBLANK(I363),IF(ISNUMBER(J363)=FALSE,K363,J363),I363)</f>
        <v>200000</v>
      </c>
      <c r="M363" s="36" t="s">
        <v>486</v>
      </c>
      <c r="N363" s="29"/>
      <c r="O363" s="36"/>
    </row>
    <row r="364" spans="1:15" ht="12.75" customHeight="1" x14ac:dyDescent="0.3">
      <c r="A364" s="36"/>
      <c r="B364" s="36" t="s">
        <v>2218</v>
      </c>
      <c r="C364" s="29"/>
      <c r="D364" s="29"/>
      <c r="E364" s="95"/>
      <c r="F364" s="95"/>
      <c r="G364" s="37" t="s">
        <v>2296</v>
      </c>
      <c r="H364" s="36" t="s">
        <v>4046</v>
      </c>
      <c r="I364" s="638"/>
      <c r="J364" s="635" t="str">
        <f>IF(ISBLANK(HLOOKUP(CaseName,CaseData,MATCH($G364,cases!$G$3:$G$2464,0),FALSE)),"",HLOOKUP(CaseName,CaseData,MATCH($G364,cases!$G$3:$G$2464,0),FALSE))</f>
        <v/>
      </c>
      <c r="K364" s="352">
        <f>L318*(L368*L369/(L368*(L321*FRorig.w2)+L369))</f>
        <v>3.7740349424079233E-3</v>
      </c>
      <c r="L364" s="636">
        <f t="shared" si="21"/>
        <v>3.7740349424079233E-3</v>
      </c>
      <c r="M364" s="36" t="s">
        <v>4047</v>
      </c>
      <c r="N364" s="29"/>
      <c r="O364" s="36"/>
    </row>
    <row r="365" spans="1:15" ht="12.75" customHeight="1" x14ac:dyDescent="0.3">
      <c r="A365" s="36"/>
      <c r="B365" s="36" t="s">
        <v>2219</v>
      </c>
      <c r="C365" s="29"/>
      <c r="D365" s="29"/>
      <c r="E365" s="95"/>
      <c r="F365" s="95"/>
      <c r="G365" s="37" t="s">
        <v>2297</v>
      </c>
      <c r="H365" s="36" t="s">
        <v>4046</v>
      </c>
      <c r="I365" s="638"/>
      <c r="J365" s="635" t="str">
        <f>IF(ISBLANK(HLOOKUP(CaseName,CaseData,MATCH($G365,cases!$G$3:$G$2464,0),FALSE)),"",HLOOKUP(CaseName,CaseData,MATCH($G365,cases!$G$3:$G$2464,0),FALSE))</f>
        <v/>
      </c>
      <c r="K365" s="352">
        <f>L318*(L371*L372)/(L371*((L321*FRorig.s1w)/L340)+L372)</f>
        <v>1.0220681730414127E-3</v>
      </c>
      <c r="L365" s="636">
        <f>IF(ISBLANK(I365),IF(ISNUMBER(J365)=FALSE,K365,J365),I365)</f>
        <v>1.0220681730414127E-3</v>
      </c>
      <c r="M365" s="36" t="s">
        <v>4047</v>
      </c>
      <c r="N365" s="29"/>
      <c r="O365" s="36"/>
    </row>
    <row r="366" spans="1:15" ht="12.75" customHeight="1" x14ac:dyDescent="0.3">
      <c r="A366" s="36"/>
      <c r="B366" s="36" t="s">
        <v>2270</v>
      </c>
      <c r="C366" s="29"/>
      <c r="D366" s="29"/>
      <c r="E366" s="29"/>
      <c r="F366" s="29"/>
      <c r="G366" s="37" t="s">
        <v>2298</v>
      </c>
      <c r="H366" s="36" t="s">
        <v>4046</v>
      </c>
      <c r="I366" s="638"/>
      <c r="J366" s="635" t="str">
        <f>IF(ISBLANK(HLOOKUP(CaseName,CaseData,MATCH($G366,cases!$G$3:$G$2464,0),FALSE)),"",HLOOKUP(CaseName,CaseData,MATCH($G366,cases!$G$3:$G$2464,0),FALSE))</f>
        <v/>
      </c>
      <c r="K366" s="352">
        <f>(L368*L369/(L368*(L321*FRorig.w2)+L369))*(L321*FRorig.w2)*L325</f>
        <v>1.108387121217946E-9</v>
      </c>
      <c r="L366" s="636">
        <f t="shared" si="21"/>
        <v>1.108387121217946E-9</v>
      </c>
      <c r="M366" s="36" t="s">
        <v>4047</v>
      </c>
      <c r="N366" s="29"/>
      <c r="O366" s="36"/>
    </row>
    <row r="367" spans="1:15" ht="12.75" customHeight="1" x14ac:dyDescent="0.3">
      <c r="A367" s="36"/>
      <c r="B367" s="36" t="s">
        <v>2272</v>
      </c>
      <c r="C367" s="29"/>
      <c r="D367" s="29"/>
      <c r="E367" s="95"/>
      <c r="F367" s="95"/>
      <c r="G367" s="37" t="s">
        <v>2299</v>
      </c>
      <c r="H367" s="36" t="s">
        <v>4046</v>
      </c>
      <c r="I367" s="638"/>
      <c r="J367" s="635" t="str">
        <f>IF(ISBLANK(HLOOKUP(CaseName,CaseData,MATCH($G367,cases!$G$3:$G$2464,0),FALSE)),"",HLOOKUP(CaseName,CaseData,MATCH($G367,cases!$G$3:$G$2464,0),FALSE))</f>
        <v/>
      </c>
      <c r="K367" s="352">
        <f>(L371*L372)/(L371+L372/((L321*FRorig.s1w)/L340))*L373</f>
        <v>1.2749094067744304E-11</v>
      </c>
      <c r="L367" s="636">
        <f>IF(ISBLANK(I367),IF(ISNUMBER(J367)=FALSE,K367,J367),I367)</f>
        <v>1.2749094067744304E-11</v>
      </c>
      <c r="M367" s="36" t="s">
        <v>4047</v>
      </c>
      <c r="N367" s="29"/>
      <c r="O367" s="36"/>
    </row>
    <row r="368" spans="1:15" ht="12.75" customHeight="1" x14ac:dyDescent="0.3">
      <c r="A368" s="29"/>
      <c r="B368" s="36"/>
      <c r="C368" s="29" t="s">
        <v>1077</v>
      </c>
      <c r="D368" s="29"/>
      <c r="E368" s="29"/>
      <c r="F368" s="29"/>
      <c r="G368" s="29" t="s">
        <v>4031</v>
      </c>
      <c r="H368" s="30" t="s">
        <v>4045</v>
      </c>
      <c r="I368" s="638"/>
      <c r="J368" s="635" t="str">
        <f>IF(ISBLANK(HLOOKUP(CaseName,CaseData,MATCH($G368,cases!$G$3:$G$2464,0),FALSE)),"",HLOOKUP(CaseName,CaseData,MATCH($G368,cases!$G$3:$G$2464,0),FALSE))</f>
        <v/>
      </c>
      <c r="K368" s="352">
        <f>0.01*(0.3+0.2*L370)*((0.018/Molweight)^(0.67*0.5))</f>
        <v>3.8661873187415758E-3</v>
      </c>
      <c r="L368" s="636">
        <f t="shared" si="21"/>
        <v>3.8661873187415758E-3</v>
      </c>
      <c r="M368" s="29" t="s">
        <v>1490</v>
      </c>
      <c r="N368" s="29"/>
      <c r="O368" s="36"/>
    </row>
    <row r="369" spans="1:15" ht="12.75" customHeight="1" x14ac:dyDescent="0.3">
      <c r="A369" s="29"/>
      <c r="B369" s="36"/>
      <c r="C369" s="29" t="s">
        <v>1048</v>
      </c>
      <c r="D369" s="29"/>
      <c r="E369" s="29"/>
      <c r="F369" s="29"/>
      <c r="G369" s="29" t="s">
        <v>4032</v>
      </c>
      <c r="H369" s="30" t="s">
        <v>4045</v>
      </c>
      <c r="I369" s="638"/>
      <c r="J369" s="635" t="str">
        <f>IF(ISBLANK(HLOOKUP(CaseName,CaseData,MATCH($G369,cases!$G$3:$G$2464,0),FALSE)),"",HLOOKUP(CaseName,CaseData,MATCH($G369,cases!$G$3:$G$2464,0),FALSE))</f>
        <v/>
      </c>
      <c r="K369" s="352">
        <f>0.01*(0.0004+0.00004*L370^2)*((0.032/Molweight)^(0.5*0.5))</f>
        <v>4.6712434275245704E-6</v>
      </c>
      <c r="L369" s="636">
        <f t="shared" si="21"/>
        <v>4.6712434275245704E-6</v>
      </c>
      <c r="M369" s="29" t="s">
        <v>1490</v>
      </c>
      <c r="N369" s="29"/>
      <c r="O369" s="36"/>
    </row>
    <row r="370" spans="1:15" ht="12.75" customHeight="1" x14ac:dyDescent="0.3">
      <c r="A370" s="36"/>
      <c r="B370" s="29"/>
      <c r="C370" s="29"/>
      <c r="D370" s="95" t="s">
        <v>705</v>
      </c>
      <c r="E370" s="29"/>
      <c r="F370" s="29"/>
      <c r="G370" s="37" t="s">
        <v>1051</v>
      </c>
      <c r="H370" s="30" t="s">
        <v>4045</v>
      </c>
      <c r="I370" s="638"/>
      <c r="J370" s="635" t="str">
        <f>IF(ISBLANK(HLOOKUP(CaseName,CaseData,MATCH($G370,cases!$G$3:$G$2464,0),FALSE)),"",HLOOKUP(CaseName,CaseData,MATCH($G370,cases!$G$3:$G$2464,0),FALSE))</f>
        <v/>
      </c>
      <c r="K370" s="345">
        <v>3</v>
      </c>
      <c r="L370" s="636">
        <f t="shared" si="21"/>
        <v>3</v>
      </c>
      <c r="M370" s="29" t="s">
        <v>1490</v>
      </c>
      <c r="N370" s="29"/>
      <c r="O370" s="36"/>
    </row>
    <row r="371" spans="1:15" ht="12.75" customHeight="1" x14ac:dyDescent="0.3">
      <c r="A371" s="29"/>
      <c r="B371" s="36"/>
      <c r="C371" s="29" t="s">
        <v>1049</v>
      </c>
      <c r="D371" s="29"/>
      <c r="E371" s="95"/>
      <c r="F371" s="95"/>
      <c r="G371" s="29" t="s">
        <v>4033</v>
      </c>
      <c r="H371" s="30" t="s">
        <v>4045</v>
      </c>
      <c r="I371" s="638"/>
      <c r="J371" s="635" t="str">
        <f>IF(ISBLANK(HLOOKUP(CaseName,CaseData,MATCH($G371,cases!$G$3:$G$2464,0),FALSE)),"",HLOOKUP(CaseName,CaseData,MATCH($G371,cases!$G$3:$G$2464,0),FALSE))</f>
        <v/>
      </c>
      <c r="K371" s="352">
        <f>0.43/(24*3600)/0.00475</f>
        <v>1.0477582846003899E-3</v>
      </c>
      <c r="L371" s="636">
        <f>IF(ISBLANK(I371),IF(ISNUMBER(J371)=FALSE,K371,J371),I371)</f>
        <v>1.0477582846003899E-3</v>
      </c>
      <c r="M371" s="29" t="s">
        <v>1490</v>
      </c>
      <c r="N371" s="29"/>
      <c r="O371" s="36"/>
    </row>
    <row r="372" spans="1:15" ht="12.75" customHeight="1" x14ac:dyDescent="0.3">
      <c r="A372" s="29"/>
      <c r="B372" s="36"/>
      <c r="C372" s="29" t="s">
        <v>872</v>
      </c>
      <c r="D372" s="29"/>
      <c r="E372" s="29"/>
      <c r="F372" s="29"/>
      <c r="G372" s="29" t="s">
        <v>4034</v>
      </c>
      <c r="H372" s="95" t="s">
        <v>4045</v>
      </c>
      <c r="I372" s="638"/>
      <c r="J372" s="635" t="str">
        <f>IF(ISBLANK(HLOOKUP(CaseName,CaseData,MATCH($G372,cases!$G$3:$G$2464,0),FALSE)),"",HLOOKUP(CaseName,CaseData,MATCH($G372,cases!$G$3:$G$2464,0),FALSE))</f>
        <v/>
      </c>
      <c r="K372" s="352">
        <f>0.1*L410</f>
        <v>1.0700000000000002E-8</v>
      </c>
      <c r="L372" s="636">
        <f>IF(ISBLANK(I372),IF(ISNUMBER(J372)=FALSE,K372,J372),I372)</f>
        <v>1.0700000000000002E-8</v>
      </c>
      <c r="M372" s="29" t="s">
        <v>1490</v>
      </c>
      <c r="N372" s="29" t="s">
        <v>1415</v>
      </c>
      <c r="O372" s="36"/>
    </row>
    <row r="373" spans="1:15" ht="12.75" customHeight="1" x14ac:dyDescent="0.3">
      <c r="A373" s="29"/>
      <c r="B373" s="36"/>
      <c r="C373" s="29" t="s">
        <v>185</v>
      </c>
      <c r="D373" s="29"/>
      <c r="E373" s="95"/>
      <c r="F373" s="29"/>
      <c r="G373" s="37" t="s">
        <v>811</v>
      </c>
      <c r="H373" s="29" t="s">
        <v>36</v>
      </c>
      <c r="I373" s="639"/>
      <c r="J373" s="635" t="str">
        <f>IF(ISBLANK(HLOOKUP(CaseName,CaseData,MATCH($G373,cases!$G$3:$G$2464,0),FALSE)),"",HLOOKUP(CaseName,CaseData,MATCH($G373,cases!$G$3:$G$2464,0),FALSE))</f>
        <v/>
      </c>
      <c r="K373" s="352">
        <f>(EXP((-1/0.1)*0)*(1/0.1)*L296/(1-EXP((-1/0.1)*L296)))</f>
        <v>1.2707470412683992</v>
      </c>
      <c r="L373" s="636">
        <f t="shared" si="21"/>
        <v>1.2707470412683992</v>
      </c>
      <c r="M373" s="36" t="s">
        <v>486</v>
      </c>
      <c r="N373" s="29" t="s">
        <v>995</v>
      </c>
      <c r="O373" s="36"/>
    </row>
    <row r="374" spans="1:15" ht="12.75" customHeight="1" x14ac:dyDescent="0.3">
      <c r="A374" s="29"/>
      <c r="B374" s="29"/>
      <c r="C374" s="29"/>
      <c r="D374" s="29"/>
      <c r="E374" s="29"/>
      <c r="F374" s="29"/>
      <c r="G374" s="29"/>
      <c r="H374" s="29"/>
      <c r="I374" s="648"/>
      <c r="J374" s="635"/>
      <c r="K374" s="339"/>
      <c r="L374" s="339"/>
      <c r="M374" s="29"/>
      <c r="N374" s="29"/>
      <c r="O374" s="36"/>
    </row>
    <row r="375" spans="1:15" ht="12.75" customHeight="1" x14ac:dyDescent="0.3">
      <c r="A375" s="36" t="s">
        <v>97</v>
      </c>
      <c r="B375" s="29"/>
      <c r="C375" s="29"/>
      <c r="D375" s="29"/>
      <c r="E375" s="29"/>
      <c r="F375" s="29"/>
      <c r="G375" s="37" t="s">
        <v>1135</v>
      </c>
      <c r="H375" s="36" t="s">
        <v>4037</v>
      </c>
      <c r="I375" s="639"/>
      <c r="J375" s="635" t="str">
        <f>IF(ISBLANK(HLOOKUP(CaseName,CaseData,MATCH($G375,cases!$G$3:$G$2464,0),FALSE)),"",HLOOKUP(CaseName,CaseData,MATCH($G375,cases!$G$3:$G$2464,0),FALSE))</f>
        <v/>
      </c>
      <c r="K375" s="352">
        <f>(L377+L383)/L294</f>
        <v>1.6497451674657539E-11</v>
      </c>
      <c r="L375" s="636">
        <f t="shared" ref="L375:L381" si="22">IF(ISBLANK(I375),IF(ISNUMBER(J375)=FALSE,K375,J375),I375)</f>
        <v>1.6497451674657539E-11</v>
      </c>
      <c r="M375" s="29" t="s">
        <v>1488</v>
      </c>
      <c r="N375" s="29"/>
      <c r="O375" s="36"/>
    </row>
    <row r="376" spans="1:15" ht="12.75" customHeight="1" x14ac:dyDescent="0.3">
      <c r="A376" s="36" t="s">
        <v>98</v>
      </c>
      <c r="B376" s="29"/>
      <c r="C376" s="29"/>
      <c r="D376" s="29"/>
      <c r="E376" s="29"/>
      <c r="F376" s="29"/>
      <c r="G376" s="37" t="s">
        <v>1136</v>
      </c>
      <c r="H376" s="36" t="s">
        <v>4037</v>
      </c>
      <c r="I376" s="639"/>
      <c r="J376" s="635" t="str">
        <f>IF(ISBLANK(HLOOKUP(CaseName,CaseData,MATCH($G376,cases!$G$3:$G$2464,0),FALSE)),"",HLOOKUP(CaseName,CaseData,MATCH($G376,cases!$G$3:$G$2464,0),FALSE))</f>
        <v/>
      </c>
      <c r="K376" s="352">
        <f>(L378+L384)/L295</f>
        <v>4.4595122549031241E-8</v>
      </c>
      <c r="L376" s="636">
        <f t="shared" si="22"/>
        <v>4.4595122549031241E-8</v>
      </c>
      <c r="M376" s="29" t="s">
        <v>1488</v>
      </c>
      <c r="N376" s="29"/>
      <c r="O376" s="36"/>
    </row>
    <row r="377" spans="1:15" ht="12.75" customHeight="1" x14ac:dyDescent="0.3">
      <c r="A377" s="36"/>
      <c r="B377" s="36" t="s">
        <v>2273</v>
      </c>
      <c r="C377" s="29"/>
      <c r="D377" s="29"/>
      <c r="E377" s="29"/>
      <c r="F377" s="29"/>
      <c r="G377" s="37" t="s">
        <v>2300</v>
      </c>
      <c r="H377" s="36" t="s">
        <v>4046</v>
      </c>
      <c r="I377" s="639"/>
      <c r="J377" s="635" t="str">
        <f>IF(ISBLANK(HLOOKUP(CaseName,CaseData,MATCH($G377,cases!$G$3:$G$2464,0),FALSE)),"",HLOOKUP(CaseName,CaseData,MATCH($G377,cases!$G$3:$G$2464,0),FALSE))</f>
        <v/>
      </c>
      <c r="K377" s="352">
        <f>L380*(1-L326)</f>
        <v>2.20083250063939E-8</v>
      </c>
      <c r="L377" s="636">
        <f t="shared" si="22"/>
        <v>2.20083250063939E-8</v>
      </c>
      <c r="M377" s="36" t="s">
        <v>4047</v>
      </c>
      <c r="N377" s="325"/>
      <c r="O377" s="36"/>
    </row>
    <row r="378" spans="1:15" ht="12.75" customHeight="1" x14ac:dyDescent="0.3">
      <c r="A378" s="36"/>
      <c r="B378" s="36" t="s">
        <v>2274</v>
      </c>
      <c r="C378" s="29"/>
      <c r="D378" s="29"/>
      <c r="E378" s="29"/>
      <c r="F378" s="29"/>
      <c r="G378" s="37" t="s">
        <v>2301</v>
      </c>
      <c r="H378" s="36" t="s">
        <v>4046</v>
      </c>
      <c r="I378" s="639"/>
      <c r="J378" s="635" t="str">
        <f>IF(ISBLANK(HLOOKUP(CaseName,CaseData,MATCH($G378,cases!$G$3:$G$2464,0),FALSE)),"",HLOOKUP(CaseName,CaseData,MATCH($G378,cases!$G$3:$G$2464,0),FALSE))</f>
        <v/>
      </c>
      <c r="K378" s="352">
        <f>L379-L381</f>
        <v>2.8928843226788437E-10</v>
      </c>
      <c r="L378" s="636">
        <f t="shared" si="22"/>
        <v>2.8928843226788437E-10</v>
      </c>
      <c r="M378" s="36" t="s">
        <v>4047</v>
      </c>
      <c r="N378" s="29"/>
      <c r="O378" s="36"/>
    </row>
    <row r="379" spans="1:15" ht="12.75" customHeight="1" x14ac:dyDescent="0.3">
      <c r="A379" s="29"/>
      <c r="B379" s="36"/>
      <c r="C379" s="36" t="s">
        <v>1228</v>
      </c>
      <c r="D379" s="29"/>
      <c r="E379" s="29"/>
      <c r="F379" s="29"/>
      <c r="G379" s="94" t="s">
        <v>157</v>
      </c>
      <c r="H379" s="30" t="s">
        <v>4045</v>
      </c>
      <c r="I379" s="639"/>
      <c r="J379" s="635" t="str">
        <f>IF(ISBLANK(HLOOKUP(CaseName,CaseData,MATCH($G379,cases!$G$3:$G$2464,0),FALSE)),"",HLOOKUP(CaseName,CaseData,MATCH($G379,cases!$G$3:$G$2464,0),FALSE))</f>
        <v/>
      </c>
      <c r="K379" s="352">
        <f>IF(L380*L331/(L303*RHOsolid)&gt;L381,L380*L331/(L303*RHOsolid),L381)</f>
        <v>2.893518518518519E-10</v>
      </c>
      <c r="L379" s="653">
        <f t="shared" si="22"/>
        <v>2.893518518518519E-10</v>
      </c>
      <c r="M379" s="29" t="s">
        <v>1490</v>
      </c>
      <c r="N379" s="29"/>
      <c r="O379" s="36"/>
    </row>
    <row r="380" spans="1:15" ht="12.75" customHeight="1" x14ac:dyDescent="0.3">
      <c r="A380" s="36"/>
      <c r="B380" s="29"/>
      <c r="C380" s="36"/>
      <c r="D380" s="36" t="s">
        <v>582</v>
      </c>
      <c r="E380" s="95"/>
      <c r="F380" s="95"/>
      <c r="G380" s="94" t="s">
        <v>778</v>
      </c>
      <c r="H380" s="30" t="s">
        <v>4045</v>
      </c>
      <c r="I380" s="639"/>
      <c r="J380" s="635" t="str">
        <f>IF(ISBLANK(HLOOKUP(CaseName,CaseData,MATCH($G380,cases!$G$3:$G$2464,0),FALSE)),"",HLOOKUP(CaseName,CaseData,MATCH($G380,cases!$G$3:$G$2464,0),FALSE))</f>
        <v/>
      </c>
      <c r="K380" s="345">
        <f>2.5/(24*3600)</f>
        <v>2.8935185185185186E-5</v>
      </c>
      <c r="L380" s="653">
        <f t="shared" si="22"/>
        <v>2.8935185185185186E-5</v>
      </c>
      <c r="M380" s="29" t="s">
        <v>1490</v>
      </c>
      <c r="N380" s="29"/>
      <c r="O380" s="36"/>
    </row>
    <row r="381" spans="1:15" ht="12.75" customHeight="1" x14ac:dyDescent="0.3">
      <c r="A381" s="36"/>
      <c r="B381" s="29"/>
      <c r="C381" s="36"/>
      <c r="D381" s="36" t="s">
        <v>565</v>
      </c>
      <c r="E381" s="95"/>
      <c r="F381" s="95"/>
      <c r="G381" s="94" t="s">
        <v>780</v>
      </c>
      <c r="H381" s="30" t="s">
        <v>4045</v>
      </c>
      <c r="I381" s="639"/>
      <c r="J381" s="635" t="str">
        <f>IF(ISBLANK(HLOOKUP(CaseName,CaseData,MATCH($G381,cases!$G$3:$G$2464,0),FALSE)),"",HLOOKUP(CaseName,CaseData,MATCH($G381,cases!$G$3:$G$2464,0),FALSE))</f>
        <v/>
      </c>
      <c r="K381" s="352">
        <v>6.3419583967529484E-14</v>
      </c>
      <c r="L381" s="636">
        <f t="shared" si="22"/>
        <v>6.3419583967529484E-14</v>
      </c>
      <c r="M381" s="29" t="s">
        <v>1490</v>
      </c>
      <c r="N381" s="29" t="s">
        <v>923</v>
      </c>
      <c r="O381" s="36"/>
    </row>
    <row r="382" spans="1:15" ht="12.75" customHeight="1" x14ac:dyDescent="0.3">
      <c r="A382" s="29"/>
      <c r="B382" s="36"/>
      <c r="C382" s="36"/>
      <c r="D382" s="36"/>
      <c r="E382" s="36" t="s">
        <v>803</v>
      </c>
      <c r="F382" s="36"/>
      <c r="G382" s="94" t="s">
        <v>779</v>
      </c>
      <c r="H382" s="36" t="s">
        <v>4048</v>
      </c>
      <c r="I382" s="639"/>
      <c r="J382" s="635" t="str">
        <f>IF(ISBLANK(HLOOKUP(CaseName,CaseData,MATCH($G382,cases!$G$3:$G$2464,0),FALSE)),"",HLOOKUP(CaseName,CaseData,MATCH($G382,cases!$G$3:$G$2464,0),FALSE))</f>
        <v/>
      </c>
      <c r="K382" s="345">
        <v>1</v>
      </c>
      <c r="L382" s="636">
        <f>IF(ISBLANK(I382),IF(ISNUMBER(J382)=FALSE,K382/(1000*3600*24*365)*L290*L289,J382/(1000*3600*24*365)*L290*L289),I382/(1000*3600*24*365)*L290*L289)</f>
        <v>2830.0989345509893</v>
      </c>
      <c r="M382" s="36" t="s">
        <v>1499</v>
      </c>
      <c r="N382" s="29"/>
      <c r="O382" s="36"/>
    </row>
    <row r="383" spans="1:15" ht="12.75" customHeight="1" x14ac:dyDescent="0.3">
      <c r="A383" s="29"/>
      <c r="B383" s="29" t="s">
        <v>2275</v>
      </c>
      <c r="C383" s="95"/>
      <c r="D383" s="95"/>
      <c r="E383" s="29"/>
      <c r="F383" s="29"/>
      <c r="G383" s="37" t="s">
        <v>2302</v>
      </c>
      <c r="H383" s="36" t="s">
        <v>4046</v>
      </c>
      <c r="I383" s="639"/>
      <c r="J383" s="635" t="str">
        <f>IF(ISBLANK(HLOOKUP(CaseName,CaseData,MATCH($G383,cases!$G$3:$G$2464,0),FALSE)),"",HLOOKUP(CaseName,CaseData,MATCH($G383,cases!$G$3:$G$2464,0),FALSE))</f>
        <v/>
      </c>
      <c r="K383" s="352">
        <f>(L385*L386)/(L385+L386)*L325</f>
        <v>2.7484030017578716E-8</v>
      </c>
      <c r="L383" s="636">
        <f>IF(ISBLANK(I383),IF(ISNUMBER(J383)=FALSE,K383,J383),I383)</f>
        <v>2.7484030017578716E-8</v>
      </c>
      <c r="M383" s="36" t="s">
        <v>4047</v>
      </c>
      <c r="N383" s="29"/>
      <c r="O383" s="36"/>
    </row>
    <row r="384" spans="1:15" ht="12.75" customHeight="1" x14ac:dyDescent="0.3">
      <c r="A384" s="29"/>
      <c r="B384" s="29" t="s">
        <v>2276</v>
      </c>
      <c r="C384" s="95"/>
      <c r="D384" s="95"/>
      <c r="E384" s="29"/>
      <c r="F384" s="29"/>
      <c r="G384" s="37" t="s">
        <v>2303</v>
      </c>
      <c r="H384" s="36" t="s">
        <v>4046</v>
      </c>
      <c r="I384" s="639"/>
      <c r="J384" s="635" t="str">
        <f>IF(ISBLANK(HLOOKUP(CaseName,CaseData,MATCH($G384,cases!$G$3:$G$2464,0),FALSE)),"",HLOOKUP(CaseName,CaseData,MATCH($G384,cases!$G$3:$G$2464,0),FALSE))</f>
        <v/>
      </c>
      <c r="K384" s="352">
        <f>(L385*L386/(L385+L386))/L337</f>
        <v>1.0485652442030529E-9</v>
      </c>
      <c r="L384" s="636">
        <f>IF(ISBLANK(I384),IF(ISNUMBER(J384)=FALSE,K384,J384),I384)</f>
        <v>1.0485652442030529E-9</v>
      </c>
      <c r="M384" s="36" t="s">
        <v>4047</v>
      </c>
      <c r="N384" s="29"/>
      <c r="O384" s="36"/>
    </row>
    <row r="385" spans="1:15" ht="12.75" customHeight="1" x14ac:dyDescent="0.3">
      <c r="A385" s="29"/>
      <c r="B385" s="36"/>
      <c r="C385" s="29" t="s">
        <v>1076</v>
      </c>
      <c r="D385" s="29"/>
      <c r="E385" s="29"/>
      <c r="F385" s="29"/>
      <c r="G385" s="29" t="s">
        <v>1173</v>
      </c>
      <c r="H385" s="30" t="s">
        <v>4045</v>
      </c>
      <c r="I385" s="638"/>
      <c r="J385" s="635" t="str">
        <f>IF(ISBLANK(HLOOKUP(CaseName,CaseData,MATCH($G385,cases!$G$3:$G$2464,0),FALSE)),"",HLOOKUP(CaseName,CaseData,MATCH($G385,cases!$G$3:$G$2464,0),FALSE))</f>
        <v/>
      </c>
      <c r="K385" s="345">
        <v>2.7779999999999999E-6</v>
      </c>
      <c r="L385" s="636">
        <f>IF(ISBLANK(I385),IF(ISNUMBER(J385)=FALSE,K385,J385),I385)</f>
        <v>2.7779999999999999E-6</v>
      </c>
      <c r="M385" s="29" t="s">
        <v>1490</v>
      </c>
      <c r="N385" s="29"/>
      <c r="O385" s="36"/>
    </row>
    <row r="386" spans="1:15" ht="12.75" customHeight="1" x14ac:dyDescent="0.3">
      <c r="A386" s="29"/>
      <c r="B386" s="36"/>
      <c r="C386" s="29" t="s">
        <v>1230</v>
      </c>
      <c r="D386" s="29"/>
      <c r="E386" s="29"/>
      <c r="F386" s="29"/>
      <c r="G386" s="29" t="s">
        <v>49</v>
      </c>
      <c r="H386" s="30" t="s">
        <v>4045</v>
      </c>
      <c r="I386" s="638"/>
      <c r="J386" s="635" t="str">
        <f>IF(ISBLANK(HLOOKUP(CaseName,CaseData,MATCH($G386,cases!$G$3:$G$2464,0),FALSE)),"",HLOOKUP(CaseName,CaseData,MATCH($G386,cases!$G$3:$G$2464,0),FALSE))</f>
        <v/>
      </c>
      <c r="K386" s="345">
        <v>2.7779999999999998E-8</v>
      </c>
      <c r="L386" s="636">
        <f>IF(ISBLANK(I386),IF(ISNUMBER(J386)=FALSE,K386,J386),I386)</f>
        <v>2.7779999999999998E-8</v>
      </c>
      <c r="M386" s="29" t="s">
        <v>1490</v>
      </c>
      <c r="N386" s="29"/>
      <c r="O386" s="36"/>
    </row>
    <row r="387" spans="1:15" ht="12.75" customHeight="1" x14ac:dyDescent="0.3">
      <c r="A387" s="29"/>
      <c r="B387" s="29"/>
      <c r="C387" s="29"/>
      <c r="D387" s="29"/>
      <c r="E387" s="29"/>
      <c r="F387" s="29"/>
      <c r="G387" s="29"/>
      <c r="H387" s="29"/>
      <c r="I387" s="648"/>
      <c r="J387" s="635"/>
      <c r="K387" s="339"/>
      <c r="L387" s="339"/>
      <c r="M387" s="29"/>
      <c r="N387" s="29"/>
      <c r="O387" s="36"/>
    </row>
    <row r="388" spans="1:15" ht="12.75" customHeight="1" x14ac:dyDescent="0.3">
      <c r="A388" s="36" t="s">
        <v>99</v>
      </c>
      <c r="B388" s="29"/>
      <c r="C388" s="29"/>
      <c r="D388" s="29"/>
      <c r="E388" s="29"/>
      <c r="F388" s="29"/>
      <c r="G388" s="37" t="s">
        <v>1266</v>
      </c>
      <c r="H388" s="36" t="s">
        <v>4037</v>
      </c>
      <c r="I388" s="639"/>
      <c r="J388" s="635" t="str">
        <f>IF(ISBLANK(HLOOKUP(CaseName,CaseData,MATCH($G388,cases!$G$3:$G$2464,0),FALSE)),"",HLOOKUP(CaseName,CaseData,MATCH($G388,cases!$G$3:$G$2464,0),FALSE))</f>
        <v/>
      </c>
      <c r="K388" s="352">
        <f>(L362*L390/L340+L389)*L391/L296</f>
        <v>8.4853959516793628E-9</v>
      </c>
      <c r="L388" s="636">
        <f>IF(ISBLANK(I388),IF(ISNUMBER(J388)=FALSE,K388,J388),I388)</f>
        <v>8.4853959516793628E-9</v>
      </c>
      <c r="M388" s="29" t="s">
        <v>1488</v>
      </c>
      <c r="N388" s="29"/>
      <c r="O388" s="36"/>
    </row>
    <row r="389" spans="1:15" ht="12.75" customHeight="1" x14ac:dyDescent="0.3">
      <c r="A389" s="29"/>
      <c r="B389" s="95" t="s">
        <v>211</v>
      </c>
      <c r="C389" s="29"/>
      <c r="D389" s="29"/>
      <c r="E389" s="29"/>
      <c r="F389" s="29"/>
      <c r="G389" s="94" t="s">
        <v>50</v>
      </c>
      <c r="H389" s="30" t="s">
        <v>4045</v>
      </c>
      <c r="I389" s="638"/>
      <c r="J389" s="635" t="str">
        <f>IF(ISBLANK(HLOOKUP(CaseName,CaseData,MATCH($G389,cases!$G$3:$G$2464,0),FALSE)),"",HLOOKUP(CaseName,CaseData,MATCH($G389,cases!$G$3:$G$2464,0),FALSE))</f>
        <v/>
      </c>
      <c r="K389" s="352">
        <f>EROSION.C</f>
        <v>9.5129375951293754E-13</v>
      </c>
      <c r="L389" s="636">
        <f>IF(ISBLANK(I389),IF(ISNUMBER(J389)=FALSE,K389,J389),I389)</f>
        <v>9.5129375951293754E-13</v>
      </c>
      <c r="M389" s="29" t="s">
        <v>1490</v>
      </c>
      <c r="N389" s="29"/>
      <c r="O389" s="36"/>
    </row>
    <row r="390" spans="1:15" ht="12.75" customHeight="1" x14ac:dyDescent="0.3">
      <c r="A390" s="29"/>
      <c r="B390" s="36" t="s">
        <v>1002</v>
      </c>
      <c r="C390" s="29"/>
      <c r="D390" s="29"/>
      <c r="E390" s="29"/>
      <c r="F390" s="29"/>
      <c r="G390" s="94" t="s">
        <v>51</v>
      </c>
      <c r="H390" s="36" t="s">
        <v>36</v>
      </c>
      <c r="I390" s="638"/>
      <c r="J390" s="635" t="str">
        <f>IF(ISBLANK(HLOOKUP(CaseName,CaseData,MATCH($G390,cases!$G$3:$G$2464,0),FALSE)),"",HLOOKUP(CaseName,CaseData,MATCH($G390,cases!$G$3:$G$2464,0),FALSE))</f>
        <v/>
      </c>
      <c r="K390" s="352">
        <f>FRACrun.C</f>
        <v>0.25</v>
      </c>
      <c r="L390" s="636">
        <f>IF(ISBLANK(I390),IF(ISNUMBER(J390)=FALSE,K390,J390),I390)</f>
        <v>0.25</v>
      </c>
      <c r="M390" s="29" t="s">
        <v>486</v>
      </c>
      <c r="N390" s="29"/>
      <c r="O390" s="36"/>
    </row>
    <row r="391" spans="1:15" ht="12.75" customHeight="1" x14ac:dyDescent="0.3">
      <c r="A391" s="36"/>
      <c r="B391" s="29" t="s">
        <v>185</v>
      </c>
      <c r="C391" s="29"/>
      <c r="D391" s="95"/>
      <c r="E391" s="95"/>
      <c r="F391" s="95"/>
      <c r="G391" s="37" t="s">
        <v>874</v>
      </c>
      <c r="H391" s="29" t="s">
        <v>36</v>
      </c>
      <c r="I391" s="639"/>
      <c r="J391" s="635" t="str">
        <f>IF(ISBLANK(HLOOKUP(CaseName,CaseData,MATCH($G391,cases!$G$3:$G$2464,0),FALSE)),"",HLOOKUP(CaseName,CaseData,MATCH($G391,cases!$G$3:$G$2464,0),FALSE))</f>
        <v/>
      </c>
      <c r="K391" s="352">
        <f>(EXP((-1/0.1)*0)*(1/0.1)*L296/(1-EXP((-1/0.1)*L296)))</f>
        <v>1.2707470412683992</v>
      </c>
      <c r="L391" s="636">
        <f>IF(ISBLANK(I391),IF(ISNUMBER(J391)=FALSE,K391,J391),I391)</f>
        <v>1.2707470412683992</v>
      </c>
      <c r="M391" s="36" t="s">
        <v>486</v>
      </c>
      <c r="N391" s="29" t="s">
        <v>995</v>
      </c>
      <c r="O391" s="36"/>
    </row>
    <row r="392" spans="1:15" ht="12.75" customHeight="1" x14ac:dyDescent="0.3">
      <c r="A392" s="29"/>
      <c r="B392" s="29"/>
      <c r="C392" s="29"/>
      <c r="D392" s="29"/>
      <c r="E392" s="29"/>
      <c r="F392" s="29"/>
      <c r="G392" s="29"/>
      <c r="H392" s="36"/>
      <c r="I392" s="353"/>
      <c r="J392" s="353"/>
      <c r="K392" s="353"/>
      <c r="L392" s="339"/>
      <c r="M392" s="29"/>
      <c r="N392" s="29"/>
      <c r="O392" s="36"/>
    </row>
    <row r="393" spans="1:15" ht="12.75" customHeight="1" x14ac:dyDescent="0.3">
      <c r="A393" s="98" t="s">
        <v>419</v>
      </c>
      <c r="B393" s="97"/>
      <c r="C393" s="97"/>
      <c r="D393" s="97"/>
      <c r="E393" s="97"/>
      <c r="F393" s="97"/>
      <c r="G393" s="98" t="s">
        <v>1008</v>
      </c>
      <c r="H393" s="98" t="s">
        <v>968</v>
      </c>
      <c r="I393" s="364" t="s">
        <v>754</v>
      </c>
      <c r="J393" s="340" t="s">
        <v>37</v>
      </c>
      <c r="K393" s="340" t="s">
        <v>753</v>
      </c>
      <c r="L393" s="340" t="s">
        <v>1358</v>
      </c>
      <c r="M393" s="97"/>
      <c r="N393" s="98" t="s">
        <v>1371</v>
      </c>
      <c r="O393" s="36"/>
    </row>
    <row r="394" spans="1:15" ht="12.75" customHeight="1" x14ac:dyDescent="0.3">
      <c r="A394" s="36"/>
      <c r="B394" s="29"/>
      <c r="C394" s="29"/>
      <c r="D394" s="29"/>
      <c r="E394" s="29"/>
      <c r="F394" s="29"/>
      <c r="G394" s="29"/>
      <c r="H394" s="36"/>
      <c r="I394" s="645"/>
      <c r="J394" s="645"/>
      <c r="K394" s="651"/>
      <c r="L394" s="342"/>
      <c r="M394" s="29"/>
      <c r="N394" s="29"/>
      <c r="O394" s="36"/>
    </row>
    <row r="395" spans="1:15" ht="12.75" customHeight="1" x14ac:dyDescent="0.3">
      <c r="A395" s="36" t="s">
        <v>224</v>
      </c>
      <c r="B395" s="29"/>
      <c r="C395" s="29"/>
      <c r="D395" s="29"/>
      <c r="E395" s="29"/>
      <c r="F395" s="29"/>
      <c r="G395" s="37" t="s">
        <v>1369</v>
      </c>
      <c r="H395" s="36" t="s">
        <v>4037</v>
      </c>
      <c r="I395" s="639"/>
      <c r="J395" s="635" t="str">
        <f>IF(ISBLANK(HLOOKUP(CaseName,CaseData,MATCH($G395,cases!$G$3:$G$2464,0),FALSE)),"",HLOOKUP(CaseName,CaseData,MATCH($G395,cases!$G$3:$G$2464,0),FALSE))</f>
        <v/>
      </c>
      <c r="K395" s="352">
        <f>L400+L401</f>
        <v>1.0057249127897143E-5</v>
      </c>
      <c r="L395" s="636">
        <f t="shared" ref="L395:L410" si="23">IF(ISBLANK(I395),IF(ISNUMBER(J395)=FALSE,K395,J395),I395)</f>
        <v>1.0057249127897143E-5</v>
      </c>
      <c r="M395" s="29" t="s">
        <v>1488</v>
      </c>
      <c r="N395" s="29"/>
      <c r="O395" s="36"/>
    </row>
    <row r="396" spans="1:15" ht="12.75" customHeight="1" x14ac:dyDescent="0.3">
      <c r="A396" s="36" t="s">
        <v>4013</v>
      </c>
      <c r="B396" s="29"/>
      <c r="C396" s="29"/>
      <c r="D396" s="29"/>
      <c r="E396" s="29"/>
      <c r="F396" s="29"/>
      <c r="G396" s="37" t="s">
        <v>1047</v>
      </c>
      <c r="H396" s="36" t="s">
        <v>4037</v>
      </c>
      <c r="I396" s="639"/>
      <c r="J396" s="635" t="str">
        <f>IF(ISBLANK(HLOOKUP(CaseName,CaseData,MATCH($G396,cases!$G$3:$G$2464,0),FALSE)),"",HLOOKUP(CaseName,CaseData,MATCH($G396,cases!$G$3:$G$2464,0),FALSE))</f>
        <v/>
      </c>
      <c r="K396" s="352">
        <f>L404</f>
        <v>2.1377159489774912E-7</v>
      </c>
      <c r="L396" s="636">
        <f t="shared" si="23"/>
        <v>2.1377159489774912E-7</v>
      </c>
      <c r="M396" s="29" t="s">
        <v>1488</v>
      </c>
      <c r="N396" s="29"/>
      <c r="O396" s="36"/>
    </row>
    <row r="397" spans="1:15" ht="12.75" customHeight="1" x14ac:dyDescent="0.3">
      <c r="A397" s="36" t="s">
        <v>1168</v>
      </c>
      <c r="B397" s="29"/>
      <c r="C397" s="29"/>
      <c r="D397" s="29"/>
      <c r="E397" s="29"/>
      <c r="F397" s="29"/>
      <c r="G397" s="37" t="s">
        <v>1171</v>
      </c>
      <c r="H397" s="36" t="s">
        <v>4037</v>
      </c>
      <c r="I397" s="639"/>
      <c r="J397" s="635" t="str">
        <f>IF(ISBLANK(HLOOKUP(CaseName,CaseData,MATCH($G397,cases!$G$3:$G$2464,0),FALSE)),"",HLOOKUP(CaseName,CaseData,MATCH($G397,cases!$G$3:$G$2464,0),FALSE))</f>
        <v/>
      </c>
      <c r="K397" s="352">
        <f>L405</f>
        <v>2.1377159489774912E-7</v>
      </c>
      <c r="L397" s="636">
        <f t="shared" si="23"/>
        <v>2.1377159489774912E-7</v>
      </c>
      <c r="M397" s="29" t="s">
        <v>1488</v>
      </c>
      <c r="N397" s="29"/>
      <c r="O397" s="36"/>
    </row>
    <row r="398" spans="1:15" ht="12.75" customHeight="1" x14ac:dyDescent="0.3">
      <c r="A398" s="36" t="s">
        <v>225</v>
      </c>
      <c r="B398" s="29"/>
      <c r="C398" s="29"/>
      <c r="D398" s="29"/>
      <c r="E398" s="29"/>
      <c r="F398" s="29"/>
      <c r="G398" s="37" t="s">
        <v>1267</v>
      </c>
      <c r="H398" s="36" t="s">
        <v>4037</v>
      </c>
      <c r="I398" s="639"/>
      <c r="J398" s="635" t="str">
        <f>IF(ISBLANK(HLOOKUP(CaseName,CaseData,MATCH($G398,cases!$G$3:$G$2464,0),FALSE)),"",HLOOKUP(CaseName,CaseData,MATCH($G398,cases!$G$3:$G$2464,0),FALSE))</f>
        <v/>
      </c>
      <c r="K398" s="352">
        <f>L409+L381/L295</f>
        <v>2.3802113986132248E-8</v>
      </c>
      <c r="L398" s="636">
        <f t="shared" si="23"/>
        <v>2.3802113986132248E-8</v>
      </c>
      <c r="M398" s="29" t="s">
        <v>1488</v>
      </c>
      <c r="N398" s="29"/>
      <c r="O398" s="36"/>
    </row>
    <row r="399" spans="1:15" ht="12.75" customHeight="1" x14ac:dyDescent="0.3">
      <c r="A399" s="36" t="s">
        <v>844</v>
      </c>
      <c r="B399" s="29"/>
      <c r="C399" s="29"/>
      <c r="D399" s="29"/>
      <c r="E399" s="29"/>
      <c r="F399" s="29"/>
      <c r="G399" s="37" t="s">
        <v>1370</v>
      </c>
      <c r="H399" s="36" t="s">
        <v>4037</v>
      </c>
      <c r="I399" s="639"/>
      <c r="J399" s="635" t="str">
        <f>IF(ISBLANK(HLOOKUP(CaseName,CaseData,MATCH($G399,cases!$G$3:$G$2464,0),FALSE)),"",HLOOKUP(CaseName,CaseData,MATCH($G399,cases!$G$3:$G$2464,0),FALSE))</f>
        <v/>
      </c>
      <c r="K399" s="352">
        <f>L410+L411*L362/L340*L412/L296</f>
        <v>1.0705701124434139E-7</v>
      </c>
      <c r="L399" s="636">
        <f t="shared" si="23"/>
        <v>1.0705701124434139E-7</v>
      </c>
      <c r="M399" s="29" t="s">
        <v>1488</v>
      </c>
      <c r="N399" s="29"/>
      <c r="O399" s="36"/>
    </row>
    <row r="400" spans="1:15" ht="12.75" customHeight="1" x14ac:dyDescent="0.3">
      <c r="A400" s="36"/>
      <c r="B400" s="36" t="s">
        <v>796</v>
      </c>
      <c r="C400" s="95"/>
      <c r="D400" s="29"/>
      <c r="E400" s="29"/>
      <c r="F400" s="29"/>
      <c r="G400" s="94" t="s">
        <v>1390</v>
      </c>
      <c r="H400" s="36" t="s">
        <v>4037</v>
      </c>
      <c r="I400" s="639"/>
      <c r="J400" s="635" t="str">
        <f>IF(ISBLANK(HLOOKUP(CaseName,CaseData,MATCH($G400,cases!$G$3:$G$2464,0),FALSE)),"",HLOOKUP(CaseName,CaseData,MATCH($G400,cases!$G$3:$G$2464,0),FALSE))</f>
        <v/>
      </c>
      <c r="K400" s="352">
        <f>LN(2)/(60*365*24*3600)</f>
        <v>3.663258818281463E-10</v>
      </c>
      <c r="L400" s="636">
        <f t="shared" si="23"/>
        <v>3.663258818281463E-10</v>
      </c>
      <c r="M400" s="36" t="s">
        <v>1488</v>
      </c>
      <c r="N400" s="29"/>
      <c r="O400" s="36"/>
    </row>
    <row r="401" spans="1:15" ht="12.75" customHeight="1" x14ac:dyDescent="0.3">
      <c r="A401" s="36"/>
      <c r="B401" s="36" t="s">
        <v>797</v>
      </c>
      <c r="C401" s="29"/>
      <c r="D401" s="29"/>
      <c r="E401" s="29"/>
      <c r="F401" s="29"/>
      <c r="G401" s="37" t="s">
        <v>52</v>
      </c>
      <c r="H401" s="36" t="s">
        <v>4037</v>
      </c>
      <c r="I401" s="638"/>
      <c r="J401" s="635" t="str">
        <f>IF(ISBLANK(HLOOKUP(CaseName,CaseData,MATCH($G401,cases!$G$3:$G$2464,0),FALSE)),"",HLOOKUP(CaseName,CaseData,MATCH($G401,cases!$G$3:$G$2464,0),FALSE))</f>
        <v/>
      </c>
      <c r="K401" s="352">
        <f>L318*kdeg.air*(L402/C.OHrad)*L403</f>
        <v>1.0056882802015316E-5</v>
      </c>
      <c r="L401" s="636">
        <f t="shared" si="23"/>
        <v>1.0056882802015316E-5</v>
      </c>
      <c r="M401" s="36" t="s">
        <v>1488</v>
      </c>
      <c r="N401" s="29"/>
      <c r="O401" s="36"/>
    </row>
    <row r="402" spans="1:15" ht="12.75" customHeight="1" x14ac:dyDescent="0.3">
      <c r="A402" s="95"/>
      <c r="B402" s="95"/>
      <c r="C402" s="36" t="s">
        <v>514</v>
      </c>
      <c r="D402" s="29"/>
      <c r="E402" s="29"/>
      <c r="F402" s="29"/>
      <c r="G402" s="37" t="s">
        <v>1402</v>
      </c>
      <c r="H402" s="36" t="s">
        <v>4049</v>
      </c>
      <c r="I402" s="638"/>
      <c r="J402" s="635" t="str">
        <f>IF(ISBLANK(HLOOKUP(CaseName,CaseData,MATCH($G402,cases!$G$3:$G$2464,0),FALSE)),"",HLOOKUP(CaseName,CaseData,MATCH($G402,cases!$G$3:$G$2464,0),FALSE))</f>
        <v/>
      </c>
      <c r="K402" s="352">
        <f>C.OHrad</f>
        <v>500000</v>
      </c>
      <c r="L402" s="636">
        <f t="shared" si="23"/>
        <v>500000</v>
      </c>
      <c r="M402" s="36" t="s">
        <v>1500</v>
      </c>
      <c r="N402" s="29"/>
      <c r="O402" s="36"/>
    </row>
    <row r="403" spans="1:15" ht="12.75" customHeight="1" x14ac:dyDescent="0.3">
      <c r="A403" s="95"/>
      <c r="B403" s="95"/>
      <c r="C403" s="36" t="s">
        <v>35</v>
      </c>
      <c r="D403" s="29"/>
      <c r="E403" s="29"/>
      <c r="F403" s="29"/>
      <c r="G403" s="37" t="s">
        <v>1403</v>
      </c>
      <c r="H403" s="36" t="s">
        <v>36</v>
      </c>
      <c r="I403" s="638"/>
      <c r="J403" s="635" t="str">
        <f>IF(ISBLANK(HLOOKUP(CaseName,CaseData,MATCH($G403,cases!$G$3:$G$2464,0),FALSE)),"",HLOOKUP(CaseName,CaseData,MATCH($G403,cases!$G$3:$G$2464,0),FALSE))</f>
        <v/>
      </c>
      <c r="K403" s="352">
        <f>EXP((Ea.OHrad/8.314)*(L322-298)/298^2)</f>
        <v>1</v>
      </c>
      <c r="L403" s="636">
        <f t="shared" si="23"/>
        <v>1</v>
      </c>
      <c r="M403" s="36" t="s">
        <v>486</v>
      </c>
      <c r="N403" s="29"/>
      <c r="O403" s="36"/>
    </row>
    <row r="404" spans="1:15" ht="12.75" customHeight="1" x14ac:dyDescent="0.3">
      <c r="A404" s="36"/>
      <c r="B404" s="36" t="s">
        <v>4014</v>
      </c>
      <c r="C404" s="29"/>
      <c r="D404" s="29"/>
      <c r="E404" s="29"/>
      <c r="F404" s="29"/>
      <c r="G404" s="37" t="s">
        <v>1137</v>
      </c>
      <c r="H404" s="36" t="s">
        <v>4037</v>
      </c>
      <c r="I404" s="638"/>
      <c r="J404" s="635" t="str">
        <f>IF(ISBLANK(HLOOKUP(CaseName,CaseData,MATCH($G404,cases!$G$3:$G$2464,0),FALSE)),"",HLOOKUP(CaseName,CaseData,MATCH($G404,cases!$G$3:$G$2464,0),FALSE))</f>
        <v/>
      </c>
      <c r="K404" s="352">
        <f>kdeg.water*L408*(L406/BACT.test)*L325</f>
        <v>2.1377159489774912E-7</v>
      </c>
      <c r="L404" s="636">
        <f t="shared" si="23"/>
        <v>2.1377159489774912E-7</v>
      </c>
      <c r="M404" s="36" t="s">
        <v>1488</v>
      </c>
      <c r="N404" s="29"/>
      <c r="O404" s="36"/>
    </row>
    <row r="405" spans="1:15" ht="12.75" customHeight="1" x14ac:dyDescent="0.3">
      <c r="A405" s="36"/>
      <c r="B405" s="36" t="s">
        <v>1138</v>
      </c>
      <c r="C405" s="29"/>
      <c r="D405" s="29"/>
      <c r="E405" s="29"/>
      <c r="F405" s="29"/>
      <c r="G405" s="37" t="s">
        <v>1139</v>
      </c>
      <c r="H405" s="36" t="s">
        <v>4037</v>
      </c>
      <c r="I405" s="638"/>
      <c r="J405" s="635" t="str">
        <f>IF(ISBLANK(HLOOKUP(CaseName,CaseData,MATCH($G405,cases!$G$3:$G$2464,0),FALSE)),"",HLOOKUP(CaseName,CaseData,MATCH($G405,cases!$G$3:$G$2464,0),FALSE))</f>
        <v/>
      </c>
      <c r="K405" s="352">
        <f>kdeg.water*L408*(L407/BACT.test)*L326</f>
        <v>2.1377159489774912E-7</v>
      </c>
      <c r="L405" s="636">
        <f t="shared" si="23"/>
        <v>2.1377159489774912E-7</v>
      </c>
      <c r="M405" s="36" t="s">
        <v>1488</v>
      </c>
      <c r="N405" s="29"/>
      <c r="O405" s="36"/>
    </row>
    <row r="406" spans="1:15" ht="12.75" customHeight="1" x14ac:dyDescent="0.3">
      <c r="A406" s="36"/>
      <c r="B406" s="36"/>
      <c r="C406" s="36" t="s">
        <v>4015</v>
      </c>
      <c r="D406" s="29"/>
      <c r="E406" s="29"/>
      <c r="F406" s="29"/>
      <c r="G406" s="94" t="s">
        <v>1141</v>
      </c>
      <c r="H406" s="36" t="s">
        <v>730</v>
      </c>
      <c r="I406" s="638"/>
      <c r="J406" s="635" t="str">
        <f>IF(ISBLANK(HLOOKUP(CaseName,CaseData,MATCH($G406,cases!$G$3:$G$2464,0),FALSE)),"",HLOOKUP(CaseName,CaseData,MATCH($G406,cases!$G$3:$G$2464,0),FALSE))</f>
        <v/>
      </c>
      <c r="K406" s="345">
        <v>40000</v>
      </c>
      <c r="L406" s="636">
        <f t="shared" si="23"/>
        <v>40000</v>
      </c>
      <c r="M406" s="36" t="s">
        <v>731</v>
      </c>
      <c r="N406" s="29"/>
      <c r="O406" s="36"/>
    </row>
    <row r="407" spans="1:15" ht="12.75" customHeight="1" x14ac:dyDescent="0.3">
      <c r="A407" s="36"/>
      <c r="B407" s="36"/>
      <c r="C407" s="36" t="s">
        <v>1140</v>
      </c>
      <c r="D407" s="29"/>
      <c r="E407" s="29"/>
      <c r="F407" s="29"/>
      <c r="G407" s="94" t="s">
        <v>1142</v>
      </c>
      <c r="H407" s="36" t="s">
        <v>730</v>
      </c>
      <c r="I407" s="638"/>
      <c r="J407" s="635" t="str">
        <f>IF(ISBLANK(HLOOKUP(CaseName,CaseData,MATCH($G407,cases!$G$3:$G$2464,0),FALSE)),"",HLOOKUP(CaseName,CaseData,MATCH($G407,cases!$G$3:$G$2464,0),FALSE))</f>
        <v/>
      </c>
      <c r="K407" s="345">
        <v>40000</v>
      </c>
      <c r="L407" s="636">
        <f t="shared" si="23"/>
        <v>40000</v>
      </c>
      <c r="M407" s="36" t="s">
        <v>731</v>
      </c>
      <c r="N407" s="29"/>
      <c r="O407" s="36"/>
    </row>
    <row r="408" spans="1:15" ht="12.75" customHeight="1" x14ac:dyDescent="0.3">
      <c r="A408" s="95"/>
      <c r="B408" s="95"/>
      <c r="C408" s="36" t="s">
        <v>766</v>
      </c>
      <c r="D408" s="29"/>
      <c r="E408" s="29"/>
      <c r="F408" s="29"/>
      <c r="G408" s="37" t="s">
        <v>1016</v>
      </c>
      <c r="H408" s="36" t="s">
        <v>36</v>
      </c>
      <c r="I408" s="638"/>
      <c r="J408" s="635" t="str">
        <f>IF(ISBLANK(HLOOKUP(CaseName,CaseData,MATCH($G408,cases!$G$3:$G$2464,0),FALSE)),"",HLOOKUP(CaseName,CaseData,MATCH($G408,cases!$G$3:$G$2464,0),FALSE))</f>
        <v/>
      </c>
      <c r="K408" s="352">
        <f>Q.10^((L322-298)/10)</f>
        <v>1</v>
      </c>
      <c r="L408" s="636">
        <f t="shared" si="23"/>
        <v>1</v>
      </c>
      <c r="M408" s="36" t="s">
        <v>486</v>
      </c>
      <c r="N408" s="29"/>
      <c r="O408" s="36"/>
    </row>
    <row r="409" spans="1:15" ht="12.75" customHeight="1" x14ac:dyDescent="0.3">
      <c r="A409" s="36"/>
      <c r="B409" s="36" t="s">
        <v>772</v>
      </c>
      <c r="C409" s="29"/>
      <c r="D409" s="29"/>
      <c r="E409" s="29"/>
      <c r="F409" s="29"/>
      <c r="G409" s="37" t="s">
        <v>53</v>
      </c>
      <c r="H409" s="36" t="s">
        <v>4037</v>
      </c>
      <c r="I409" s="638"/>
      <c r="J409" s="635" t="str">
        <f>IF(ISBLANK(HLOOKUP(CaseName,CaseData,MATCH($G409,cases!$G$3:$G$2464,0),FALSE)),"",HLOOKUP(CaseName,CaseData,MATCH($G409,cases!$G$3:$G$2464,0),FALSE))</f>
        <v/>
      </c>
      <c r="K409" s="352">
        <f>L408*kdeg.sed</f>
        <v>2.3799999999999998E-8</v>
      </c>
      <c r="L409" s="636">
        <f t="shared" si="23"/>
        <v>2.3799999999999998E-8</v>
      </c>
      <c r="M409" s="36" t="s">
        <v>1488</v>
      </c>
      <c r="N409" s="29"/>
      <c r="O409" s="36"/>
    </row>
    <row r="410" spans="1:15" ht="12.75" customHeight="1" x14ac:dyDescent="0.3">
      <c r="A410" s="36"/>
      <c r="B410" s="36" t="s">
        <v>773</v>
      </c>
      <c r="C410" s="29"/>
      <c r="D410" s="29"/>
      <c r="E410" s="29"/>
      <c r="F410" s="29"/>
      <c r="G410" s="37" t="s">
        <v>54</v>
      </c>
      <c r="H410" s="36" t="s">
        <v>4037</v>
      </c>
      <c r="I410" s="638"/>
      <c r="J410" s="635" t="str">
        <f>IF(ISBLANK(HLOOKUP(CaseName,CaseData,MATCH($G410,cases!$G$3:$G$2464,0),FALSE)),"",HLOOKUP(CaseName,CaseData,MATCH($G410,cases!$G$3:$G$2464,0),FALSE))</f>
        <v/>
      </c>
      <c r="K410" s="352">
        <f>L408*kdeg.soil</f>
        <v>1.0700000000000001E-7</v>
      </c>
      <c r="L410" s="636">
        <f t="shared" si="23"/>
        <v>1.0700000000000001E-7</v>
      </c>
      <c r="M410" s="36" t="s">
        <v>1488</v>
      </c>
      <c r="N410" s="29"/>
      <c r="O410" s="36"/>
    </row>
    <row r="411" spans="1:15" ht="12.75" customHeight="1" x14ac:dyDescent="0.3">
      <c r="A411" s="29"/>
      <c r="B411" s="36" t="s">
        <v>1036</v>
      </c>
      <c r="C411" s="29"/>
      <c r="D411" s="29"/>
      <c r="E411" s="29"/>
      <c r="F411" s="29"/>
      <c r="G411" s="94" t="s">
        <v>1393</v>
      </c>
      <c r="H411" s="36" t="s">
        <v>36</v>
      </c>
      <c r="I411" s="638"/>
      <c r="J411" s="635" t="str">
        <f>IF(ISBLANK(HLOOKUP(CaseName,CaseData,MATCH($G411,cases!$G$3:$G$2464,0),FALSE)),"",HLOOKUP(CaseName,CaseData,MATCH($G411,cases!$G$3:$G$2464,0),FALSE))</f>
        <v/>
      </c>
      <c r="K411" s="345">
        <f>FRACinf.C</f>
        <v>0.25</v>
      </c>
      <c r="L411" s="636">
        <f>IF(ISBLANK(I411),IF(ISNUMBER(J411)=FALSE,K411,J411),I411)</f>
        <v>0.25</v>
      </c>
      <c r="M411" s="29" t="s">
        <v>486</v>
      </c>
      <c r="N411" s="29"/>
      <c r="O411" s="36"/>
    </row>
    <row r="412" spans="1:15" ht="12.75" customHeight="1" x14ac:dyDescent="0.3">
      <c r="A412" s="36"/>
      <c r="B412" s="29" t="s">
        <v>185</v>
      </c>
      <c r="C412" s="29"/>
      <c r="D412" s="95"/>
      <c r="E412" s="95"/>
      <c r="F412" s="95"/>
      <c r="G412" s="37" t="s">
        <v>873</v>
      </c>
      <c r="H412" s="29" t="s">
        <v>36</v>
      </c>
      <c r="I412" s="639"/>
      <c r="J412" s="635" t="str">
        <f>IF(ISBLANK(HLOOKUP(CaseName,CaseData,MATCH($G412,cases!$G$3:$G$2464,0),FALSE)),"",HLOOKUP(CaseName,CaseData,MATCH($G412,cases!$G$3:$G$2464,0),FALSE))</f>
        <v/>
      </c>
      <c r="K412" s="352">
        <f>(EXP((-1/0.1)*0.5)*(1/0.1)*L296/(1-EXP((-1/0.1)*L296)))</f>
        <v>8.5622262133111474E-3</v>
      </c>
      <c r="L412" s="636">
        <f>IF(ISBLANK(I412),IF(ISNUMBER(J412)=FALSE,K412,J412),I412)</f>
        <v>8.5622262133111474E-3</v>
      </c>
      <c r="M412" s="36" t="s">
        <v>486</v>
      </c>
      <c r="N412" s="29" t="s">
        <v>995</v>
      </c>
      <c r="O412" s="36"/>
    </row>
    <row r="413" spans="1:15" ht="12.75" customHeight="1" x14ac:dyDescent="0.3">
      <c r="A413" s="134"/>
      <c r="B413" s="134"/>
      <c r="C413" s="134"/>
      <c r="D413" s="134"/>
      <c r="E413" s="134"/>
      <c r="F413" s="134"/>
      <c r="G413" s="115"/>
      <c r="H413" s="115"/>
      <c r="I413" s="356"/>
      <c r="J413" s="356"/>
      <c r="K413" s="643"/>
      <c r="L413" s="643"/>
      <c r="M413" s="134"/>
      <c r="N413" s="134"/>
      <c r="O413" s="36"/>
    </row>
    <row r="414" spans="1:15" ht="12.75" customHeight="1" x14ac:dyDescent="0.3">
      <c r="A414" s="29"/>
      <c r="B414" s="29"/>
      <c r="C414" s="29"/>
      <c r="D414" s="29"/>
      <c r="E414" s="29"/>
      <c r="F414" s="29"/>
      <c r="G414" s="36"/>
      <c r="H414" s="36"/>
      <c r="I414" s="339"/>
      <c r="J414" s="339"/>
      <c r="K414" s="353"/>
      <c r="L414" s="353"/>
      <c r="M414" s="29"/>
      <c r="N414" s="29"/>
      <c r="O414" s="36"/>
    </row>
  </sheetData>
  <customSheetViews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09375" defaultRowHeight="12.75" customHeight="1" x14ac:dyDescent="0.3"/>
  <cols>
    <col min="1" max="1" width="2.33203125" customWidth="1"/>
    <col min="2" max="2" width="31.44140625" customWidth="1"/>
    <col min="3" max="4" width="9.109375" customWidth="1"/>
    <col min="5" max="5" width="9.109375" style="137" customWidth="1"/>
    <col min="6" max="13" width="9.109375" customWidth="1"/>
    <col min="14" max="14" width="9.109375" style="137" customWidth="1"/>
    <col min="15" max="36" width="9.109375" customWidth="1"/>
    <col min="37" max="16384" width="9.109375" style="26"/>
  </cols>
  <sheetData>
    <row r="1" spans="2:36" ht="12.75" customHeight="1" x14ac:dyDescent="0.3">
      <c r="B1" s="419" t="s">
        <v>271</v>
      </c>
    </row>
    <row r="2" spans="2:36" ht="12.75" customHeight="1" x14ac:dyDescent="0.3">
      <c r="B2" s="61"/>
    </row>
    <row r="3" spans="2:36" ht="12.75" customHeight="1" x14ac:dyDescent="0.3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3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3">
      <c r="B5" s="141" t="s">
        <v>1209</v>
      </c>
      <c r="C5" s="72" t="s">
        <v>532</v>
      </c>
      <c r="D5" s="372">
        <f>E.aR</f>
        <v>1.4142267408689941</v>
      </c>
      <c r="E5" s="372">
        <v>0</v>
      </c>
      <c r="F5" s="372">
        <f>E.w1R</f>
        <v>1.4142267408689941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1.4142267408689941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3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3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3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3">
      <c r="B9" s="146" t="s">
        <v>2337</v>
      </c>
      <c r="C9" s="144"/>
      <c r="D9" s="378">
        <f>-k.aR-SUM(D10:D42)</f>
        <v>-2.5346892460087525E-5</v>
      </c>
      <c r="E9" s="179">
        <f>k.w0R.aR</f>
        <v>1.893474429147487E-12</v>
      </c>
      <c r="F9" s="179">
        <f>k.w1R.aR</f>
        <v>6.3022450457971401E-11</v>
      </c>
      <c r="G9" s="179">
        <f>k.w2R.aR</f>
        <v>1.83680665698391E-11</v>
      </c>
      <c r="H9" s="376">
        <v>0</v>
      </c>
      <c r="I9" s="376">
        <v>0</v>
      </c>
      <c r="J9" s="179">
        <f>k.s1R.aR</f>
        <v>4.2270403804875319E-11</v>
      </c>
      <c r="K9" s="179">
        <f>k.s2R.aR</f>
        <v>1.9185761529896352E-11</v>
      </c>
      <c r="L9" s="179">
        <f>k.s3R.aR</f>
        <v>4.2161483400515841E-11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3">
      <c r="B10" s="146" t="s">
        <v>2338</v>
      </c>
      <c r="C10" s="144"/>
      <c r="D10" s="179">
        <f>k.aR.w0R</f>
        <v>2.374072651935071E-8</v>
      </c>
      <c r="E10" s="378">
        <f>-k.w0R-SUM(E9,E11:E41)</f>
        <v>-8.925611419140899E-8</v>
      </c>
      <c r="F10" s="179">
        <f>k.w1R.w0R</f>
        <v>0</v>
      </c>
      <c r="G10" s="179">
        <v>0</v>
      </c>
      <c r="H10" s="376">
        <v>0</v>
      </c>
      <c r="I10" s="376">
        <v>0</v>
      </c>
      <c r="J10" s="655">
        <f>k.s1R.w0R</f>
        <v>3.8168483464174523E-10</v>
      </c>
      <c r="K10" s="655">
        <f>k.s2R.w0R</f>
        <v>1.7381999798322019E-10</v>
      </c>
      <c r="L10" s="655">
        <f>k.s3R.w0R</f>
        <v>3.8197644374071532E-10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3">
      <c r="B11" s="146" t="s">
        <v>2339</v>
      </c>
      <c r="C11" s="144"/>
      <c r="D11" s="179">
        <f>k.aR.w1R</f>
        <v>2.6114799171285784E-7</v>
      </c>
      <c r="E11" s="179">
        <f>k.w0R.w1R</f>
        <v>2.3972602739726025E-9</v>
      </c>
      <c r="F11" s="378">
        <f>-k.w1R-SUM(F9:F10,F12:F41)</f>
        <v>-1.8588885619790804E-7</v>
      </c>
      <c r="G11" s="376">
        <v>0</v>
      </c>
      <c r="H11" s="179">
        <f>k.sd1R.w1R</f>
        <v>6.0755804044606696E-8</v>
      </c>
      <c r="I11" s="376">
        <v>0</v>
      </c>
      <c r="J11" s="179">
        <f>k.s1R.w1R</f>
        <v>4.1985331810591978E-9</v>
      </c>
      <c r="K11" s="179">
        <f>k.s2R.w1R</f>
        <v>1.9120199778154223E-9</v>
      </c>
      <c r="L11" s="179">
        <f>k.s3R.w1R</f>
        <v>4.2017408811478692E-9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3">
      <c r="B12" s="146" t="s">
        <v>2340</v>
      </c>
      <c r="C12" s="144"/>
      <c r="D12" s="179">
        <f>k.aR.w2R</f>
        <v>4.1546531074683008E-8</v>
      </c>
      <c r="E12" s="179">
        <f>k.w0R.w2R</f>
        <v>0</v>
      </c>
      <c r="F12" s="179">
        <f>k.w1R.w2R</f>
        <v>7.26442507264425E-8</v>
      </c>
      <c r="G12" s="378">
        <f>-k.w2R-SUM(G9:G11,G13:G41)</f>
        <v>-1.4616403007380556E-6</v>
      </c>
      <c r="H12" s="376">
        <v>0</v>
      </c>
      <c r="I12" s="179">
        <f>k.sd2R.w2R</f>
        <v>4.2483903201830168E-8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3">
      <c r="B13" s="146" t="s">
        <v>2341</v>
      </c>
      <c r="C13" s="144"/>
      <c r="D13" s="376">
        <v>0</v>
      </c>
      <c r="E13" s="179">
        <v>0</v>
      </c>
      <c r="F13" s="179">
        <f>k.w1R.sd1R</f>
        <v>2.6453105432102753E-8</v>
      </c>
      <c r="G13" s="376">
        <v>0</v>
      </c>
      <c r="H13" s="378">
        <f>-k.sd1R-SUM(H9:H12,H14:H41)</f>
        <v>-7.331697581763014E-8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3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4.9492355023972612E-9</v>
      </c>
      <c r="H14" s="376">
        <v>0</v>
      </c>
      <c r="I14" s="378">
        <f>-k.sd2R-SUM(I9:I13,I15:I41)</f>
        <v>-5.4263040051802702E-8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3">
      <c r="B15" s="146" t="s">
        <v>2343</v>
      </c>
      <c r="C15" s="144"/>
      <c r="D15" s="179">
        <f>k.aR.s1R</f>
        <v>1.8244019594217839E-6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-4.8108689986951184E-8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3">
      <c r="B16" s="146" t="s">
        <v>2344</v>
      </c>
      <c r="C16" s="144"/>
      <c r="D16" s="179">
        <f>k.aR.s2R</f>
        <v>4.054226576492852E-6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-4.5574509091507214E-8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3">
      <c r="B17" s="146" t="s">
        <v>2345</v>
      </c>
      <c r="C17" s="144"/>
      <c r="D17" s="179">
        <f>k.aR.s3R</f>
        <v>6.7570442941547551E-7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-4.811210395389431E-8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3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-1.8970602259154538E-5</v>
      </c>
      <c r="N18" s="179">
        <f>k.w0C.aC</f>
        <v>1.893474429147487E-12</v>
      </c>
      <c r="O18" s="179">
        <f>k.w1C.aC</f>
        <v>6.3022450457971401E-11</v>
      </c>
      <c r="P18" s="179">
        <f>k.w2C.aC</f>
        <v>9.1840332849195498E-13</v>
      </c>
      <c r="Q18" s="376">
        <v>0</v>
      </c>
      <c r="R18" s="376">
        <v>0</v>
      </c>
      <c r="S18" s="179">
        <f>k.s1C.aC</f>
        <v>4.2270403804875319E-11</v>
      </c>
      <c r="T18" s="179">
        <f>k.s2C.aC</f>
        <v>1.9185761529896352E-11</v>
      </c>
      <c r="U18" s="179">
        <f>k.s3C.aC</f>
        <v>4.2161483400515841E-11</v>
      </c>
      <c r="V18" s="179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3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1.1541526550681395E-8</v>
      </c>
      <c r="N19" s="378">
        <f>-k.w0C-SUM(N9:N18,N20:N41)</f>
        <v>-8.925611419140899E-8</v>
      </c>
      <c r="O19" s="179">
        <f>k.w1C.w0C</f>
        <v>0</v>
      </c>
      <c r="P19" s="179">
        <v>0</v>
      </c>
      <c r="Q19" s="376">
        <v>0</v>
      </c>
      <c r="R19" s="376">
        <v>0</v>
      </c>
      <c r="S19" s="179">
        <f>k.s1C.w0C</f>
        <v>3.8168483464174528E-10</v>
      </c>
      <c r="T19" s="179">
        <f>k.s2C.w0C</f>
        <v>1.7381999798322021E-10</v>
      </c>
      <c r="U19" s="179">
        <f>k.s3C.w0C</f>
        <v>3.8197644374071538E-10</v>
      </c>
      <c r="V19" s="376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3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1.2695679205749533E-7</v>
      </c>
      <c r="N20" s="179">
        <f>k.w0C.w1C</f>
        <v>2.3972602739726029E-9</v>
      </c>
      <c r="O20" s="378">
        <f>-k.w1C-SUM(O9:O19,O21:O41)</f>
        <v>-1.8588885619790807E-7</v>
      </c>
      <c r="P20" s="376">
        <v>0</v>
      </c>
      <c r="Q20" s="179">
        <f>k.sd1C.w1C</f>
        <v>6.077694390583737E-8</v>
      </c>
      <c r="R20" s="376">
        <v>0</v>
      </c>
      <c r="S20" s="179">
        <f>k.s1C.w1C</f>
        <v>4.1985331810591978E-9</v>
      </c>
      <c r="T20" s="179">
        <f>k.s2C.w1C</f>
        <v>1.9120199778154223E-9</v>
      </c>
      <c r="U20" s="179">
        <f>k.s3C.w1C</f>
        <v>4.2017408811478684E-9</v>
      </c>
      <c r="V20" s="376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3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4.91800198615723E-6</v>
      </c>
      <c r="N21" s="179">
        <f>k.w0C.w2C</f>
        <v>0</v>
      </c>
      <c r="O21" s="179">
        <f>k.w1C.w2C</f>
        <v>7.2644250726442513E-8</v>
      </c>
      <c r="P21" s="378">
        <f>-k.w2C-SUM(P9:P20,P22:P41)</f>
        <v>-1.1877457280679999E-7</v>
      </c>
      <c r="Q21" s="376">
        <v>0</v>
      </c>
      <c r="R21" s="179">
        <f>k.sd2C.w2C</f>
        <v>4.3682943293576994E-8</v>
      </c>
      <c r="S21" s="376">
        <v>0</v>
      </c>
      <c r="T21" s="376">
        <v>0</v>
      </c>
      <c r="U21" s="376">
        <v>0</v>
      </c>
      <c r="V21" s="376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3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2.6453105432102753E-8</v>
      </c>
      <c r="P22" s="376">
        <v>0</v>
      </c>
      <c r="Q22" s="378">
        <f>-k.sd1C-SUM(Q9:Q21,Q23:Q41)</f>
        <v>-7.3316975817630127E-8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3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2.4746177511986306E-10</v>
      </c>
      <c r="Q23" s="376">
        <v>0</v>
      </c>
      <c r="R23" s="378">
        <f>-k.sd2C-SUM(R9:R22,R24:R41)</f>
        <v>-5.4263040051802696E-8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3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8.8680928962836139E-7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-4.8108689986951184E-8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3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1.9706873102852476E-6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-4.5574509091507214E-8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3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3.2844788504754116E-7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-4.811210395389431E-8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3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-1.8384886189622687E-5</v>
      </c>
      <c r="W27" s="179">
        <f>k.w2M.aM</f>
        <v>1.83680665698391E-12</v>
      </c>
      <c r="X27" s="376">
        <v>0</v>
      </c>
      <c r="Y27" s="376">
        <v>0</v>
      </c>
      <c r="Z27" s="179">
        <f>k.sM.aM</f>
        <v>4.2270403804875319E-11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3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4.7749757215861921E-6</v>
      </c>
      <c r="W28" s="378">
        <f>-k.w2M-SUM(W9:W27,W29:W41)</f>
        <v>-3.8067449252631946E-7</v>
      </c>
      <c r="X28" s="376">
        <f>k.w3M.w2M</f>
        <v>8.3037289171706622E-9</v>
      </c>
      <c r="Y28" s="179">
        <v>0</v>
      </c>
      <c r="Z28" s="179">
        <f>k.sM.w2M</f>
        <v>4.580218015700943E-9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3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-9.6427610052387859E-8</v>
      </c>
      <c r="Y29" s="376">
        <f>k.sdM.w3M</f>
        <v>4.4594252600848833E-8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3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1.6497451674657539E-11</v>
      </c>
      <c r="Y30" s="378">
        <f>-k.sdM-SUM(Y9:Y29,Y31:Y41)</f>
        <v>-5.4263040051802689E-8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3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3.3993581694431856E-6</v>
      </c>
      <c r="W31" s="376">
        <v>0</v>
      </c>
      <c r="X31" s="376">
        <v>0</v>
      </c>
      <c r="Y31" s="376">
        <v>0</v>
      </c>
      <c r="Z31" s="378">
        <f>-k.sM-SUM(Z9:Z30,Z32:Z41)</f>
        <v>-4.8108689986951184E-8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3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-1.6686044330382737E-5</v>
      </c>
      <c r="AB32" s="179">
        <f>k.w2A.aA</f>
        <v>5.8182101402276973E-14</v>
      </c>
      <c r="AC32" s="376">
        <v>0</v>
      </c>
      <c r="AD32" s="376">
        <v>0</v>
      </c>
      <c r="AE32" s="179">
        <f>k.sA.aA</f>
        <v>1.3393308083542548E-12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3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5.7639436414589887E-6</v>
      </c>
      <c r="AB33" s="378">
        <f>-k.w2A-SUM(AB9:AB32,AB34:AB41)</f>
        <v>-2.8815621607873425E-7</v>
      </c>
      <c r="AC33" s="376">
        <f>k.w3A.w2A</f>
        <v>8.9753746616491718E-9</v>
      </c>
      <c r="AD33" s="179">
        <v>0</v>
      </c>
      <c r="AE33" s="179">
        <f>k.sA.w2A</f>
        <v>1.6513345540686168E-9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3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-2.9847574474207068E-8</v>
      </c>
      <c r="AD34" s="376">
        <f>k.sdA.w3A</f>
        <v>4.4595122549031241E-8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3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1.6497451674657539E-11</v>
      </c>
      <c r="AD35" s="378">
        <f>-k.sdA-SUM(AD9:AD34,AD36:AD41)</f>
        <v>-4.6700879209193474E-8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3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2.7554103149897485E-6</v>
      </c>
      <c r="AB36" s="376">
        <v>0</v>
      </c>
      <c r="AC36" s="376">
        <v>0</v>
      </c>
      <c r="AD36" s="376">
        <v>0</v>
      </c>
      <c r="AE36" s="378">
        <f>-k.sA-SUM(AE9:AE35,AE37:AE41)</f>
        <v>-1.1121190784102833E-8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3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-1.910216431731474E-5</v>
      </c>
      <c r="AG37" s="179">
        <f>k.w2T.aT</f>
        <v>1.108387121217946E-11</v>
      </c>
      <c r="AH37" s="376">
        <v>0</v>
      </c>
      <c r="AI37" s="376">
        <v>0</v>
      </c>
      <c r="AJ37" s="380">
        <f>k.sT.aT</f>
        <v>2.5498188135488605E-10</v>
      </c>
    </row>
    <row r="38" spans="1:36" ht="12.75" customHeight="1" x14ac:dyDescent="0.3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6.6295470258236121E-6</v>
      </c>
      <c r="AG38" s="378">
        <f>-k.w2T-SUM(AG9:AG37,AG39:AG41)</f>
        <v>-4.5783383458482299E-7</v>
      </c>
      <c r="AH38" s="376">
        <f>k.w3T.w2T</f>
        <v>7.5748144375595357E-9</v>
      </c>
      <c r="AI38" s="179">
        <v>0</v>
      </c>
      <c r="AJ38" s="380">
        <f>k.sT.w2T</f>
        <v>8.4853959516793628E-9</v>
      </c>
    </row>
    <row r="39" spans="1:36" ht="12.75" customHeight="1" x14ac:dyDescent="0.3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-2.2136290678698331E-7</v>
      </c>
      <c r="AI39" s="376">
        <f>k.sdT.w3T</f>
        <v>4.4595122549031241E-8</v>
      </c>
      <c r="AJ39" s="379">
        <v>0</v>
      </c>
    </row>
    <row r="40" spans="1:36" ht="12.75" customHeight="1" x14ac:dyDescent="0.3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1.6497451674657539E-11</v>
      </c>
      <c r="AI40" s="378">
        <f>-k.sdT-SUM(AI9:AI39,AI41)</f>
        <v>-6.8397236535163485E-8</v>
      </c>
      <c r="AJ40" s="379">
        <v>0</v>
      </c>
    </row>
    <row r="41" spans="1:36" ht="12.75" customHeight="1" x14ac:dyDescent="0.3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2.0156444088287383E-6</v>
      </c>
      <c r="AG41" s="373">
        <v>0</v>
      </c>
      <c r="AH41" s="373">
        <v>0</v>
      </c>
      <c r="AI41" s="373">
        <v>0</v>
      </c>
      <c r="AJ41" s="381">
        <f>-k.sT-SUM(AJ9:AJ40)</f>
        <v>-1.1579738907737564E-7</v>
      </c>
    </row>
    <row r="42" spans="1:36" ht="12.75" customHeight="1" x14ac:dyDescent="0.3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3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3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3">
      <c r="B45" s="233" t="s">
        <v>1364</v>
      </c>
      <c r="C45" s="391">
        <f>SUM(D45:AJ45)</f>
        <v>64262443.558509231</v>
      </c>
      <c r="D45" s="370">
        <f t="array" ref="D45:AJ45">TRANSPOSE(MMULT(MINVERSE(D9:AJ41),-TRANSPOSE(D5:AJ5)))</f>
        <v>56181.082200543286</v>
      </c>
      <c r="E45" s="370">
        <v>97594.390899685561</v>
      </c>
      <c r="F45" s="370">
        <v>9210831.7686382141</v>
      </c>
      <c r="G45" s="370">
        <v>460675.44405562885</v>
      </c>
      <c r="H45" s="370">
        <v>3323310.8864067141</v>
      </c>
      <c r="I45" s="370">
        <v>42017.38901149157</v>
      </c>
      <c r="J45" s="370">
        <v>2130527.2805580101</v>
      </c>
      <c r="K45" s="370">
        <v>36028859.337259471</v>
      </c>
      <c r="L45" s="370">
        <v>789028.18568567943</v>
      </c>
      <c r="M45" s="370">
        <v>27915.071737966977</v>
      </c>
      <c r="N45" s="370">
        <v>8976.3382046425704</v>
      </c>
      <c r="O45" s="370">
        <v>53882.829702478804</v>
      </c>
      <c r="P45" s="370">
        <v>6543911.9955457449</v>
      </c>
      <c r="Q45" s="370">
        <v>19441.175242213951</v>
      </c>
      <c r="R45" s="370">
        <v>29842.92949860479</v>
      </c>
      <c r="S45" s="370">
        <v>514571.17091705848</v>
      </c>
      <c r="T45" s="370">
        <v>1207075.5941497413</v>
      </c>
      <c r="U45" s="370">
        <v>190568.39173094428</v>
      </c>
      <c r="V45" s="370">
        <v>2101.8370901290132</v>
      </c>
      <c r="W45" s="370">
        <v>607700.41947147646</v>
      </c>
      <c r="X45" s="370">
        <v>1591247.0106745949</v>
      </c>
      <c r="Y45" s="370">
        <v>483.78271169448209</v>
      </c>
      <c r="Z45" s="370">
        <v>148515.72730637039</v>
      </c>
      <c r="AA45" s="370">
        <v>47.782300381114517</v>
      </c>
      <c r="AB45" s="370">
        <v>114882.31895054177</v>
      </c>
      <c r="AC45" s="370">
        <v>1036924.8241201121</v>
      </c>
      <c r="AD45" s="370">
        <v>366.30182270330215</v>
      </c>
      <c r="AE45" s="370">
        <v>11838.646229526292</v>
      </c>
      <c r="AF45" s="370">
        <v>72.308854118213205</v>
      </c>
      <c r="AG45" s="370">
        <v>1244.8484809188612</v>
      </c>
      <c r="AH45" s="370">
        <v>10545.290739762362</v>
      </c>
      <c r="AI45" s="370">
        <v>2.5435300194475521</v>
      </c>
      <c r="AJ45" s="371">
        <v>1258.6547820590331</v>
      </c>
    </row>
    <row r="46" spans="1:36" ht="12.75" customHeight="1" x14ac:dyDescent="0.3">
      <c r="B46" s="255" t="s">
        <v>2410</v>
      </c>
      <c r="C46" s="531">
        <f>SUM(D46:AJ46)</f>
        <v>67518417.541842312</v>
      </c>
      <c r="D46" s="383">
        <f>D45</f>
        <v>56181.082200543286</v>
      </c>
      <c r="E46" s="383"/>
      <c r="F46" s="383">
        <f t="shared" ref="F46:AJ46" si="0">F45</f>
        <v>9210831.7686382141</v>
      </c>
      <c r="G46" s="383">
        <f t="shared" si="0"/>
        <v>460675.44405562885</v>
      </c>
      <c r="H46" s="383">
        <f t="shared" si="0"/>
        <v>3323310.8864067141</v>
      </c>
      <c r="I46" s="383">
        <f t="shared" si="0"/>
        <v>42017.38901149157</v>
      </c>
      <c r="J46" s="383">
        <f t="shared" si="0"/>
        <v>2130527.2805580101</v>
      </c>
      <c r="K46" s="383">
        <f t="shared" si="0"/>
        <v>36028859.337259471</v>
      </c>
      <c r="L46" s="383">
        <f t="shared" si="0"/>
        <v>789028.18568567943</v>
      </c>
      <c r="M46" s="383">
        <f t="shared" si="0"/>
        <v>27915.071737966977</v>
      </c>
      <c r="N46" s="383"/>
      <c r="O46" s="383">
        <f t="shared" si="0"/>
        <v>53882.829702478804</v>
      </c>
      <c r="P46" s="383">
        <f t="shared" si="0"/>
        <v>6543911.9955457449</v>
      </c>
      <c r="Q46" s="383">
        <f t="shared" si="0"/>
        <v>19441.175242213951</v>
      </c>
      <c r="R46" s="383">
        <f t="shared" si="0"/>
        <v>29842.92949860479</v>
      </c>
      <c r="S46" s="383">
        <f t="shared" si="0"/>
        <v>514571.17091705848</v>
      </c>
      <c r="T46" s="383">
        <f t="shared" si="0"/>
        <v>1207075.5941497413</v>
      </c>
      <c r="U46" s="383">
        <f t="shared" si="0"/>
        <v>190568.39173094428</v>
      </c>
      <c r="V46" s="383">
        <f t="shared" si="0"/>
        <v>2101.8370901290132</v>
      </c>
      <c r="W46" s="383">
        <f>SUM(W45:X45)</f>
        <v>2198947.4301460711</v>
      </c>
      <c r="X46" s="383">
        <f>SUM(W45:X45)</f>
        <v>2198947.4301460711</v>
      </c>
      <c r="Y46" s="383">
        <f t="shared" si="0"/>
        <v>483.78271169448209</v>
      </c>
      <c r="Z46" s="383">
        <f t="shared" si="0"/>
        <v>148515.72730637039</v>
      </c>
      <c r="AA46" s="383">
        <f t="shared" si="0"/>
        <v>47.782300381114517</v>
      </c>
      <c r="AB46" s="383">
        <f>SUM(AB45:AC45)</f>
        <v>1151807.1430706538</v>
      </c>
      <c r="AC46" s="383">
        <f>SUM(AB45:AC45)</f>
        <v>1151807.1430706538</v>
      </c>
      <c r="AD46" s="383">
        <f t="shared" si="0"/>
        <v>366.30182270330215</v>
      </c>
      <c r="AE46" s="383">
        <f t="shared" si="0"/>
        <v>11838.646229526292</v>
      </c>
      <c r="AF46" s="383">
        <f t="shared" si="0"/>
        <v>72.308854118213205</v>
      </c>
      <c r="AG46" s="383">
        <f>SUM(AG45:AH45)</f>
        <v>11790.139220681223</v>
      </c>
      <c r="AH46" s="383">
        <f>SUM(AG45:AH45)</f>
        <v>11790.139220681223</v>
      </c>
      <c r="AI46" s="383">
        <f t="shared" si="0"/>
        <v>2.5435300194475521</v>
      </c>
      <c r="AJ46" s="384">
        <f t="shared" si="0"/>
        <v>1258.6547820590331</v>
      </c>
    </row>
    <row r="47" spans="1:36" ht="12.75" customHeight="1" x14ac:dyDescent="0.3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3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-1.0779106320091258</v>
      </c>
      <c r="E48" s="515" t="e">
        <f t="shared" ref="E48:AJ48" si="1">IF(E49&gt;0.0001,LOG(E46/E47),"")</f>
        <v>#DIV/0!</v>
      </c>
      <c r="F48" s="515">
        <f t="shared" si="1"/>
        <v>0.88787199217163804</v>
      </c>
      <c r="G48" s="515">
        <f t="shared" si="1"/>
        <v>1.0537337929755046</v>
      </c>
      <c r="H48" s="515">
        <f t="shared" si="1"/>
        <v>1.3123505515330738</v>
      </c>
      <c r="I48" s="515">
        <f t="shared" si="1"/>
        <v>1.4643435466986754</v>
      </c>
      <c r="J48" s="515">
        <f t="shared" si="1"/>
        <v>2.9723775410131226</v>
      </c>
      <c r="K48" s="515">
        <f t="shared" si="1"/>
        <v>0.24245175160914201</v>
      </c>
      <c r="L48" s="515">
        <f t="shared" si="1"/>
        <v>2.9723467229966687</v>
      </c>
      <c r="M48" s="515">
        <f t="shared" si="1"/>
        <v>-2.1217052439710007</v>
      </c>
      <c r="N48" s="515" t="e">
        <f t="shared" si="1"/>
        <v>#DIV/0!</v>
      </c>
      <c r="O48" s="515">
        <f t="shared" si="1"/>
        <v>1.2131666803404173</v>
      </c>
      <c r="P48" s="515">
        <f t="shared" si="1"/>
        <v>0.58572934669564736</v>
      </c>
      <c r="Q48" s="515">
        <f t="shared" si="1"/>
        <v>1.6379959696063415</v>
      </c>
      <c r="R48" s="515">
        <f t="shared" si="1"/>
        <v>0.99649579948997058</v>
      </c>
      <c r="S48" s="515">
        <f t="shared" si="1"/>
        <v>1.900794142155309</v>
      </c>
      <c r="T48" s="515">
        <f t="shared" si="1"/>
        <v>1.4841860360975887</v>
      </c>
      <c r="U48" s="515">
        <f t="shared" si="1"/>
        <v>1.9007633241388553</v>
      </c>
      <c r="V48" s="515" t="str">
        <f t="shared" si="1"/>
        <v/>
      </c>
      <c r="W48" s="515">
        <f t="shared" si="1"/>
        <v>-0.30748909396958685</v>
      </c>
      <c r="X48" s="515">
        <f t="shared" si="1"/>
        <v>-0.30748909396958685</v>
      </c>
      <c r="Y48" s="515" t="str">
        <f t="shared" si="1"/>
        <v/>
      </c>
      <c r="Z48" s="515">
        <f t="shared" si="1"/>
        <v>0.56434351555010775</v>
      </c>
      <c r="AA48" s="515" t="str">
        <f t="shared" si="1"/>
        <v/>
      </c>
      <c r="AB48" s="515">
        <f t="shared" si="1"/>
        <v>-1.2444688166367952</v>
      </c>
      <c r="AC48" s="515">
        <f t="shared" si="1"/>
        <v>-1.2444688166367952</v>
      </c>
      <c r="AD48" s="515" t="str">
        <f t="shared" si="1"/>
        <v/>
      </c>
      <c r="AE48" s="515">
        <f t="shared" si="1"/>
        <v>-0.5922375527454623</v>
      </c>
      <c r="AF48" s="515" t="str">
        <f t="shared" si="1"/>
        <v/>
      </c>
      <c r="AG48" s="515" t="str">
        <f t="shared" si="1"/>
        <v/>
      </c>
      <c r="AH48" s="515">
        <f t="shared" si="1"/>
        <v>-1.969958205663598</v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3">
      <c r="A49"/>
      <c r="B49" s="146" t="s">
        <v>1307</v>
      </c>
      <c r="C49" s="252">
        <f>SUM(D49:AJ49)</f>
        <v>1.0000000000000004</v>
      </c>
      <c r="D49" s="151">
        <f t="shared" ref="D49:AJ49" si="2">D45/SUM($D45:$AJ45)</f>
        <v>8.7424441228089805E-4</v>
      </c>
      <c r="E49" s="151">
        <f t="shared" si="2"/>
        <v>1.5186847168490952E-3</v>
      </c>
      <c r="F49" s="151">
        <f t="shared" si="2"/>
        <v>0.14333148972544124</v>
      </c>
      <c r="G49" s="151">
        <f t="shared" si="2"/>
        <v>7.1686574388693481E-3</v>
      </c>
      <c r="H49" s="151">
        <f t="shared" si="2"/>
        <v>5.171466726721851E-2</v>
      </c>
      <c r="I49" s="151">
        <f t="shared" si="2"/>
        <v>6.5384051219956904E-4</v>
      </c>
      <c r="J49" s="151">
        <f t="shared" si="2"/>
        <v>3.3153536693920176E-2</v>
      </c>
      <c r="K49" s="151">
        <f t="shared" si="2"/>
        <v>0.56065187288522822</v>
      </c>
      <c r="L49" s="151">
        <f t="shared" si="2"/>
        <v>1.2278216357697174E-2</v>
      </c>
      <c r="M49" s="151">
        <f t="shared" si="2"/>
        <v>4.3439169431132903E-4</v>
      </c>
      <c r="N49" s="151">
        <f t="shared" si="2"/>
        <v>1.3968249116561924E-4</v>
      </c>
      <c r="O49" s="151">
        <f t="shared" si="2"/>
        <v>8.3848087185511291E-4</v>
      </c>
      <c r="P49" s="151">
        <f t="shared" si="2"/>
        <v>0.10183104832588086</v>
      </c>
      <c r="Q49" s="151">
        <f t="shared" si="2"/>
        <v>3.0252779330610551E-4</v>
      </c>
      <c r="R49" s="151">
        <f t="shared" si="2"/>
        <v>4.6439145239526419E-4</v>
      </c>
      <c r="S49" s="151">
        <f t="shared" si="2"/>
        <v>8.0073390058464748E-3</v>
      </c>
      <c r="T49" s="151">
        <f t="shared" si="2"/>
        <v>1.8783530897805517E-2</v>
      </c>
      <c r="U49" s="151">
        <f t="shared" si="2"/>
        <v>2.9654706727333963E-3</v>
      </c>
      <c r="V49" s="151">
        <f t="shared" si="2"/>
        <v>3.2707083231519933E-5</v>
      </c>
      <c r="W49" s="151">
        <f t="shared" si="2"/>
        <v>9.456540800820647E-3</v>
      </c>
      <c r="X49" s="151">
        <f t="shared" si="2"/>
        <v>2.4761694740502781E-2</v>
      </c>
      <c r="Y49" s="151">
        <f t="shared" si="2"/>
        <v>7.5282339871500671E-6</v>
      </c>
      <c r="Z49" s="151">
        <f t="shared" si="2"/>
        <v>2.311081233180167E-3</v>
      </c>
      <c r="AA49" s="151">
        <f t="shared" si="2"/>
        <v>7.4354938491577925E-7</v>
      </c>
      <c r="AB49" s="151">
        <f t="shared" si="2"/>
        <v>1.7877054246458041E-3</v>
      </c>
      <c r="AC49" s="151">
        <f t="shared" si="2"/>
        <v>1.6135782685823639E-2</v>
      </c>
      <c r="AD49" s="151">
        <f t="shared" si="2"/>
        <v>5.7000917241778108E-6</v>
      </c>
      <c r="AE49" s="151">
        <f t="shared" si="2"/>
        <v>1.8422340598902876E-4</v>
      </c>
      <c r="AF49" s="151">
        <f t="shared" si="2"/>
        <v>1.1252117117578627E-6</v>
      </c>
      <c r="AG49" s="151">
        <f t="shared" si="2"/>
        <v>1.9371321910369937E-5</v>
      </c>
      <c r="AH49" s="151">
        <f t="shared" si="2"/>
        <v>1.640972573687018E-4</v>
      </c>
      <c r="AI49" s="151">
        <f t="shared" si="2"/>
        <v>3.958035017967744E-8</v>
      </c>
      <c r="AJ49" s="253">
        <f t="shared" si="2"/>
        <v>1.9586164365397366E-5</v>
      </c>
    </row>
    <row r="50" spans="1:36" ht="12.75" customHeight="1" x14ac:dyDescent="0.3">
      <c r="B50" s="146" t="s">
        <v>1037</v>
      </c>
      <c r="C50" s="179"/>
      <c r="D50" s="179">
        <f t="shared" ref="D50:AJ50" si="3">D45/D4</f>
        <v>2.4472310058171054E-10</v>
      </c>
      <c r="E50" s="179">
        <f t="shared" si="3"/>
        <v>1.7079125151977174E-6</v>
      </c>
      <c r="F50" s="179">
        <f t="shared" si="3"/>
        <v>4.8845625270360594E-4</v>
      </c>
      <c r="G50" s="179">
        <f t="shared" si="3"/>
        <v>4.606754440556283E-5</v>
      </c>
      <c r="H50" s="179">
        <f t="shared" si="3"/>
        <v>1.7623728485308337E-2</v>
      </c>
      <c r="I50" s="179">
        <f t="shared" si="3"/>
        <v>1.4005796337163844E-3</v>
      </c>
      <c r="J50" s="179">
        <f t="shared" si="3"/>
        <v>6.9045297106746118E-4</v>
      </c>
      <c r="K50" s="179">
        <f t="shared" si="3"/>
        <v>1.3135603730899167E-3</v>
      </c>
      <c r="L50" s="179">
        <f t="shared" si="3"/>
        <v>6.9040397749982883E-4</v>
      </c>
      <c r="M50" s="179">
        <f t="shared" si="3"/>
        <v>3.8774972028984934E-12</v>
      </c>
      <c r="N50" s="179">
        <f t="shared" si="3"/>
        <v>1.0300344484706781E-8</v>
      </c>
      <c r="O50" s="179">
        <f t="shared" si="3"/>
        <v>1.8736522861488037E-7</v>
      </c>
      <c r="P50" s="179">
        <f t="shared" si="3"/>
        <v>8.8111897091160758E-9</v>
      </c>
      <c r="Q50" s="179">
        <f t="shared" si="3"/>
        <v>6.7602244795094654E-6</v>
      </c>
      <c r="R50" s="179">
        <f t="shared" si="3"/>
        <v>2.6788432104727454E-7</v>
      </c>
      <c r="S50" s="179">
        <f t="shared" si="3"/>
        <v>1.0934633554865745E-5</v>
      </c>
      <c r="T50" s="179">
        <f t="shared" si="3"/>
        <v>2.8856640822817961E-6</v>
      </c>
      <c r="U50" s="179">
        <f t="shared" si="3"/>
        <v>1.093385764871275E-5</v>
      </c>
      <c r="V50" s="179">
        <f t="shared" si="3"/>
        <v>2.7095592591591532E-14</v>
      </c>
      <c r="W50" s="179">
        <f t="shared" si="3"/>
        <v>1.5668200985764982E-10</v>
      </c>
      <c r="X50" s="179">
        <f t="shared" si="3"/>
        <v>1.3675585964397215E-11</v>
      </c>
      <c r="Y50" s="179">
        <f t="shared" si="3"/>
        <v>4.1577530185349946E-10</v>
      </c>
      <c r="Z50" s="179">
        <f t="shared" si="3"/>
        <v>7.6582940884163628E-8</v>
      </c>
      <c r="AA50" s="179">
        <f t="shared" si="3"/>
        <v>1.1242894207321062E-15</v>
      </c>
      <c r="AB50" s="179">
        <f t="shared" si="3"/>
        <v>4.5051889784526185E-11</v>
      </c>
      <c r="AC50" s="179">
        <f t="shared" si="3"/>
        <v>1.3554572864315192E-11</v>
      </c>
      <c r="AD50" s="179">
        <f t="shared" si="3"/>
        <v>4.7882591203046037E-10</v>
      </c>
      <c r="AE50" s="179">
        <f t="shared" si="3"/>
        <v>1.3927819093560344E-8</v>
      </c>
      <c r="AF50" s="179">
        <f t="shared" si="3"/>
        <v>5.6712826759382901E-16</v>
      </c>
      <c r="AG50" s="179">
        <f t="shared" si="3"/>
        <v>1.3947882139146906E-13</v>
      </c>
      <c r="AH50" s="179">
        <f t="shared" si="3"/>
        <v>3.9384839364191835E-14</v>
      </c>
      <c r="AI50" s="179">
        <f t="shared" si="3"/>
        <v>9.4996452640431449E-13</v>
      </c>
      <c r="AJ50" s="380">
        <f t="shared" si="3"/>
        <v>6.5812014748184719E-10</v>
      </c>
    </row>
    <row r="51" spans="1:36" ht="12.75" customHeight="1" x14ac:dyDescent="0.3">
      <c r="B51" s="141" t="s">
        <v>703</v>
      </c>
      <c r="C51" s="254"/>
      <c r="D51" s="385">
        <f>D50*8.314*TEMP.R</f>
        <v>5.7986893959735731E-7</v>
      </c>
      <c r="E51" s="385">
        <f>E50*Kaw.R*8.314*TEMP.R</f>
        <v>1.9893930057320941E-10</v>
      </c>
      <c r="F51" s="385">
        <f>F50*Kaw.R*8.314*TEMP.R</f>
        <v>5.6895856438066378E-8</v>
      </c>
      <c r="G51" s="385">
        <f>G50*Kaw.R*8.314*TEMP.R</f>
        <v>5.3659920994881794E-9</v>
      </c>
      <c r="H51" s="385">
        <f>H50*Kaw.R/Ksdw1.R*8.314*TEMP.R</f>
        <v>7.773071539446529E-8</v>
      </c>
      <c r="I51" s="385">
        <f>I50*Kaw.R/Ksdw2.R*8.314*TEMP.R</f>
        <v>6.2193838770488342E-9</v>
      </c>
      <c r="J51" s="385">
        <f>J50*Kaw.R/Ks1w.R*8.314*TEMP.R</f>
        <v>2.5981016693921072E-9</v>
      </c>
      <c r="K51" s="385">
        <f>K50*Kaw.R/Ks2w.R*8.314*TEMP.R</f>
        <v>4.9465854238236509E-9</v>
      </c>
      <c r="L51" s="385">
        <f>L50*Kaw.R/Ks3w.R*8.314*TEMP.R</f>
        <v>2.599912666074885E-9</v>
      </c>
      <c r="M51" s="385">
        <f>M50*8.314*TEMP.C</f>
        <v>9.1876908472959524E-9</v>
      </c>
      <c r="N51" s="385">
        <f>N50*Kaw.C*8.314*TEMP.C</f>
        <v>1.1997940814980573E-12</v>
      </c>
      <c r="O51" s="385">
        <f>O50*Kaw.C*8.314*TEMP.C</f>
        <v>2.1824482929132175E-11</v>
      </c>
      <c r="P51" s="385">
        <f>P50*Kaw.C*8.314*TEMP.C</f>
        <v>1.0263358938771454E-12</v>
      </c>
      <c r="Q51" s="385">
        <f>Q50*Kaw.C/Ksdw1.C*8.314*TEMP.C</f>
        <v>2.9816453734946092E-11</v>
      </c>
      <c r="R51" s="385">
        <f>R50*Kaw.C/Ksdw2.C*8.314*TEMP.C</f>
        <v>1.1895613695414988E-12</v>
      </c>
      <c r="S51" s="385">
        <f>S50*Kaw.C/Ks1w.C*8.314*TEMP.C</f>
        <v>4.1145872178905999E-11</v>
      </c>
      <c r="T51" s="385">
        <f>T50*Kaw.C/Ks2w.C*8.314*TEMP.C</f>
        <v>1.0866789361108019E-11</v>
      </c>
      <c r="U51" s="385">
        <f>U50*Kaw.C/Ks3w.C*8.314*TEMP.C</f>
        <v>4.1174552749379386E-11</v>
      </c>
      <c r="V51" s="385">
        <f>V50*8.314*TEMP.M</f>
        <v>6.4202735689850217E-11</v>
      </c>
      <c r="W51" s="385">
        <f>W50*Kaw.M*8.314*TEMP.M</f>
        <v>1.8250471951063094E-14</v>
      </c>
      <c r="X51" s="385">
        <f>X50*Kaw.M*8.314*TEMP.M</f>
        <v>1.5929454714318482E-15</v>
      </c>
      <c r="Y51" s="385">
        <f>Y50*Kaw.M/Ksdw.M*8.314*TEMP.M</f>
        <v>1.8462828864370036E-15</v>
      </c>
      <c r="Z51" s="372">
        <f>Z50*Kaw.M/Kslw.M*8.314*TEMP.M</f>
        <v>2.8817352505629527E-13</v>
      </c>
      <c r="AA51" s="385">
        <f>AA50*8.314*TEMP.A</f>
        <v>2.4583510101632504E-12</v>
      </c>
      <c r="AB51" s="385">
        <f>AB50*Kaw.A*8.314*TEMP.A</f>
        <v>1.5338690211807692E-16</v>
      </c>
      <c r="AC51" s="385">
        <f>AC50*Kaw.A*8.314*TEMP.A</f>
        <v>4.614887302474834E-17</v>
      </c>
      <c r="AD51" s="385">
        <f>AD50*Kaw.A/Ksdw.A*8.314*TEMP.A</f>
        <v>6.2149479918756427E-17</v>
      </c>
      <c r="AE51" s="372">
        <f>AE50*Kaw.A/Kslw.A*8.314*TEMP.A</f>
        <v>1.5318824970604718E-15</v>
      </c>
      <c r="AF51" s="385">
        <f>AF50*8.314*TEMP.T</f>
        <v>1.4051011161989782E-12</v>
      </c>
      <c r="AG51" s="385">
        <f>AG50*Kaw.T*8.314*TEMP.T</f>
        <v>1.0252947038174952E-16</v>
      </c>
      <c r="AH51" s="385">
        <f>AH50*Kaw.T*8.314*TEMP.T</f>
        <v>2.8951396927475412E-17</v>
      </c>
      <c r="AI51" s="385">
        <f>AI50*Kaw.T/Ksdw.T*8.314*TEMP.T</f>
        <v>2.6621493980404051E-17</v>
      </c>
      <c r="AJ51" s="386">
        <f>AJ50*Kaw.T/Kslw.T*8.314*TEMP.T</f>
        <v>1.5628334722600255E-14</v>
      </c>
    </row>
    <row r="52" spans="1:36" s="220" customFormat="1" ht="12.75" customHeight="1" x14ac:dyDescent="0.3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3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3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3">
      <c r="B55" s="233" t="s">
        <v>2371</v>
      </c>
      <c r="C55" s="511"/>
      <c r="D55" s="388">
        <f>SUM(E55:AJ55)-SUM(D56:D87)</f>
        <v>-0.90601371030697231</v>
      </c>
      <c r="E55" s="370">
        <f t="shared" ref="E55:AJ55" si="4">E9*E$45</f>
        <v>1.8479248359677882E-7</v>
      </c>
      <c r="F55" s="370">
        <f t="shared" si="4"/>
        <v>5.804891888157109E-4</v>
      </c>
      <c r="G55" s="370">
        <f t="shared" si="4"/>
        <v>8.4617172235039788E-6</v>
      </c>
      <c r="H55" s="389">
        <f t="shared" si="4"/>
        <v>0</v>
      </c>
      <c r="I55" s="389">
        <f t="shared" si="4"/>
        <v>0</v>
      </c>
      <c r="J55" s="370">
        <f t="shared" si="4"/>
        <v>9.0058248466489974E-5</v>
      </c>
      <c r="K55" s="370">
        <f t="shared" si="4"/>
        <v>6.9124110343883973E-4</v>
      </c>
      <c r="L55" s="370">
        <f t="shared" si="4"/>
        <v>3.3266598753325901E-5</v>
      </c>
      <c r="M55" s="370">
        <f t="shared" si="4"/>
        <v>8.3854063103323637E-3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3">
      <c r="B56" s="146" t="s">
        <v>2372</v>
      </c>
      <c r="C56" s="144"/>
      <c r="D56" s="179">
        <f t="shared" ref="D56:D87" si="5">D10*D$45</f>
        <v>1.3337797080842601E-3</v>
      </c>
      <c r="E56" s="378">
        <f>SUM(D56,F56:AJ56)-SUM(E55,E57:E87)</f>
        <v>8.4767521498333737E-3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8.1318995277951129E-4</v>
      </c>
      <c r="K56" s="376">
        <f t="shared" si="6"/>
        <v>6.2625362573401648E-3</v>
      </c>
      <c r="L56" s="376">
        <f t="shared" si="6"/>
        <v>3.0139018037940462E-4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3">
      <c r="B57" s="146" t="s">
        <v>2373</v>
      </c>
      <c r="C57" s="144"/>
      <c r="D57" s="179">
        <f t="shared" si="5"/>
        <v>1.4671576788926863E-2</v>
      </c>
      <c r="E57" s="179">
        <f t="shared" ref="E57:E87" si="7">E11*E$45</f>
        <v>2.3395915626636947E-4</v>
      </c>
      <c r="F57" s="378">
        <f>SUM(D57:E57,G57:AJ57)-SUM(F55:F56,F58:F87)</f>
        <v>-0.61538532424748249</v>
      </c>
      <c r="G57" s="376">
        <f t="shared" ref="G57:AJ57" si="8">G11*G$45</f>
        <v>0</v>
      </c>
      <c r="H57" s="179">
        <f t="shared" si="8"/>
        <v>0.20191042499383449</v>
      </c>
      <c r="I57" s="376">
        <f t="shared" si="8"/>
        <v>0</v>
      </c>
      <c r="J57" s="179">
        <f t="shared" si="8"/>
        <v>8.9450894805746233E-3</v>
      </c>
      <c r="K57" s="179">
        <f t="shared" si="8"/>
        <v>6.8887898830741826E-2</v>
      </c>
      <c r="L57" s="179">
        <f t="shared" si="8"/>
        <v>3.3152919841734512E-3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3">
      <c r="B58" s="146" t="s">
        <v>2374</v>
      </c>
      <c r="C58" s="144"/>
      <c r="D58" s="179">
        <f t="shared" si="5"/>
        <v>2.3341290774541923E-3</v>
      </c>
      <c r="E58" s="179">
        <f t="shared" si="7"/>
        <v>0</v>
      </c>
      <c r="F58" s="179">
        <f t="shared" ref="F58:F87" si="9">F12*F$45</f>
        <v>0.66911397240003623</v>
      </c>
      <c r="G58" s="378">
        <f>SUM(D58:F58,H58:AJ58)-SUM(G55:G57,G59:G87)</f>
        <v>3.999503362015866E-2</v>
      </c>
      <c r="H58" s="376">
        <f t="shared" ref="H58:N58" si="10">H12*H$45</f>
        <v>0</v>
      </c>
      <c r="I58" s="179">
        <f t="shared" si="10"/>
        <v>1.7850626875578505E-3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1.086304270583884E-4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3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0.24365510389314815</v>
      </c>
      <c r="G59" s="376">
        <f t="shared" ref="G59:G87" si="12">G13*G$45</f>
        <v>0</v>
      </c>
      <c r="H59" s="378">
        <f>SUM(D59:G59,I59:AJ59)-SUM(H55:H58,H60:H87)</f>
        <v>4.1744678899313659E-2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3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2.2799912628027417E-3</v>
      </c>
      <c r="H60" s="376">
        <f t="shared" ref="H60:H87" si="15">H14*H$45</f>
        <v>0</v>
      </c>
      <c r="I60" s="378">
        <f>SUM(D60:H60,J60:AJ60)-SUM(I55:I59,I61:I87)</f>
        <v>4.9492857524489117E-4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3">
      <c r="B61" s="146" t="s">
        <v>2377</v>
      </c>
      <c r="C61" s="144"/>
      <c r="D61" s="179">
        <f t="shared" si="5"/>
        <v>0.10249687644910747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9.2648538767286848E-2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3">
      <c r="B62" s="146" t="s">
        <v>2378</v>
      </c>
      <c r="C62" s="144"/>
      <c r="D62" s="179">
        <f t="shared" si="5"/>
        <v>0.22777083655357211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0.15192916036205129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3">
      <c r="B63" s="146" t="s">
        <v>2379</v>
      </c>
      <c r="C63" s="144"/>
      <c r="D63" s="179">
        <f t="shared" si="5"/>
        <v>3.7961806092262025E-2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3.4311857328955843E-2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3">
      <c r="B64" s="146" t="s">
        <v>2380</v>
      </c>
      <c r="C64" s="144"/>
      <c r="D64" s="179">
        <f t="shared" si="5"/>
        <v>0.52923381359707922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0.25251922267476823</v>
      </c>
      <c r="N64" s="179">
        <f>N18*N$45</f>
        <v>1.6996466857870368E-8</v>
      </c>
      <c r="O64" s="179">
        <f>O18*O$45</f>
        <v>3.3958279654597804E-6</v>
      </c>
      <c r="P64" s="179">
        <f t="shared" ref="P64:AJ64" si="25">P18*P$45</f>
        <v>6.0099505580676437E-6</v>
      </c>
      <c r="Q64" s="376">
        <f t="shared" si="25"/>
        <v>0</v>
      </c>
      <c r="R64" s="376">
        <f t="shared" si="25"/>
        <v>0</v>
      </c>
      <c r="S64" s="179">
        <f t="shared" si="25"/>
        <v>2.1751131181011578E-5</v>
      </c>
      <c r="T64" s="179">
        <f t="shared" si="25"/>
        <v>2.3158664497914891E-5</v>
      </c>
      <c r="U64" s="179">
        <f t="shared" si="25"/>
        <v>8.0346460846272076E-6</v>
      </c>
      <c r="V64" s="179">
        <f t="shared" si="25"/>
        <v>2.6954216290413083E-4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3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3.2218254162792173E-4</v>
      </c>
      <c r="N65" s="378">
        <f>SUM(D65:M65,O65:AJ65)-SUM(N55:N64,N66:N87)</f>
        <v>7.7965745236369436E-4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1.9640401228288672E-4</v>
      </c>
      <c r="T65" s="376">
        <f t="shared" si="27"/>
        <v>2.0981387734070239E-4</v>
      </c>
      <c r="U65" s="376">
        <f t="shared" si="27"/>
        <v>7.2792636562773647E-5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3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3.5440079579071382E-3</v>
      </c>
      <c r="N66" s="179">
        <f t="shared" ref="N66:N87" si="28">N20*N$45</f>
        <v>2.151861898373219E-5</v>
      </c>
      <c r="O66" s="378">
        <f>SUM(D66:N66,P66:AJ66)-SUM(O55:O65,O67:O87)</f>
        <v>4.6731757882782082E-3</v>
      </c>
      <c r="P66" s="376">
        <f t="shared" ref="P66:AJ66" si="29">P20*P$45</f>
        <v>0</v>
      </c>
      <c r="Q66" s="179">
        <f t="shared" si="29"/>
        <v>1.1815752171595916E-3</v>
      </c>
      <c r="R66" s="376">
        <f t="shared" si="29"/>
        <v>0</v>
      </c>
      <c r="S66" s="179">
        <f t="shared" si="29"/>
        <v>2.1604441351117539E-3</v>
      </c>
      <c r="T66" s="179">
        <f t="shared" si="29"/>
        <v>2.3079526507477259E-3</v>
      </c>
      <c r="U66" s="179">
        <f t="shared" si="29"/>
        <v>8.0071900219051001E-4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3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0.63105830799192186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0.13728637825104315</v>
      </c>
      <c r="N67" s="179">
        <f t="shared" si="28"/>
        <v>0</v>
      </c>
      <c r="O67" s="179">
        <f t="shared" ref="O67:O87" si="30">O21*O$45</f>
        <v>3.9142777907570743E-3</v>
      </c>
      <c r="P67" s="378">
        <f>SUM(D67:O67,Q67:AJ67)-SUM(P55:P66,P68:P87)</f>
        <v>0.56813095563566984</v>
      </c>
      <c r="Q67" s="376">
        <f t="shared" ref="Q67:AJ67" si="31">Q21*Q$45</f>
        <v>0</v>
      </c>
      <c r="R67" s="179">
        <f t="shared" si="31"/>
        <v>1.3036269970017691E-3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3.6877607255162994E-3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3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1.4253681750997097E-3</v>
      </c>
      <c r="P68" s="376">
        <f t="shared" ref="P68:P87" si="32">P22*P$45</f>
        <v>0</v>
      </c>
      <c r="Q68" s="378">
        <f>SUM(D68:P68,R68:AJ68)-SUM(Q55:Q67,Q69:Q87)</f>
        <v>2.4379295794011813E-4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3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1.6193680786459155E-3</v>
      </c>
      <c r="Q69" s="376">
        <f t="shared" ref="Q69:Q87" si="34">Q23*Q$45</f>
        <v>0</v>
      </c>
      <c r="R69" s="378">
        <f>SUM(D69:Q69,S69:AJ69)-SUM(R55:R68,R70:R87)</f>
        <v>3.1574108164414633E-4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3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2.4755344937871241E-2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2.237674565929559E-2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3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5.5011877639713873E-2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5.2470952447127531E-2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3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9.1686462732856432E-3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8.2870999884477325E-3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3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3.8572656390187768E-2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1.901317944551446E-2</v>
      </c>
      <c r="W73" s="179">
        <f t="shared" ref="W73:AJ73" si="43">W27*W$45</f>
        <v>1.1162281759371226E-6</v>
      </c>
      <c r="X73" s="376">
        <f t="shared" si="43"/>
        <v>0</v>
      </c>
      <c r="Y73" s="376">
        <f t="shared" si="43"/>
        <v>0</v>
      </c>
      <c r="Z73" s="179">
        <f t="shared" si="43"/>
        <v>6.2778197646150242E-6</v>
      </c>
      <c r="AA73" s="179">
        <f t="shared" si="43"/>
        <v>3.3081686350417036E-5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2.8903566670904758E-5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3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0.20738538766430806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1.0036221076095407E-2</v>
      </c>
      <c r="W74" s="378">
        <f>SUM(D74:V74,X74:AJ74)-SUM(W55:W73,W75:W87)</f>
        <v>5.2759483973734866E-2</v>
      </c>
      <c r="X74" s="376">
        <f t="shared" ref="X74:AJ74" si="45">X28*X$45</f>
        <v>1.3213283816900007E-2</v>
      </c>
      <c r="Y74" s="376">
        <f t="shared" si="45"/>
        <v>0</v>
      </c>
      <c r="Z74" s="179">
        <f t="shared" si="45"/>
        <v>6.8023440982356619E-4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2.092182320872036E-5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3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0.15138538638426119</v>
      </c>
      <c r="X75" s="378">
        <f>SUM(D75:W75,Y75:AJ75)-SUM(X55:X74,X76:X87)</f>
        <v>0.13814927301013705</v>
      </c>
      <c r="Y75" s="376">
        <f t="shared" ref="Y75:AJ75" si="47">Y29*Y$45</f>
        <v>2.1573928449227359E-5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2.0331859296472787E-3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3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2.6251520661047398E-5</v>
      </c>
      <c r="Y76" s="378">
        <f>SUM(D76:X76,Z76:AJ76)-SUM(Y55:Y75,Y77:Y87)</f>
        <v>4.6775922118200386E-6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3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7.1448970831687539E-3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6.4583848535805727E-3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3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7.9727504240858593E-4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3.5714156621645388E-4</v>
      </c>
      <c r="AB78" s="179">
        <f t="shared" ref="AB78:AJ78" si="53">AB32*AB$45</f>
        <v>6.6840947305091466E-9</v>
      </c>
      <c r="AC78" s="376">
        <f t="shared" si="53"/>
        <v>0</v>
      </c>
      <c r="AD78" s="376">
        <f t="shared" si="53"/>
        <v>0</v>
      </c>
      <c r="AE78" s="179">
        <f t="shared" si="53"/>
        <v>1.5855863624411499E-8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3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2.3502301478647476E-2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2.7541448645600843E-4</v>
      </c>
      <c r="AB79" s="378">
        <f>SUM(D79:AA79,AC79:AJ79)-SUM(AB55:AB78,AB80:AB87)</f>
        <v>2.1706920016379208E-3</v>
      </c>
      <c r="AC79" s="376">
        <f t="shared" ref="AC79:AJ79" si="55">AC33*AC$45</f>
        <v>9.3067887924426791E-3</v>
      </c>
      <c r="AD79" s="376">
        <f t="shared" si="55"/>
        <v>0</v>
      </c>
      <c r="AE79" s="179">
        <f t="shared" si="55"/>
        <v>1.9549565592210909E-5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3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3.0933355637405728E-2</v>
      </c>
      <c r="AC80" s="378">
        <f>SUM(D80:AB80,AD80:AJ80)-SUM(AC55:AC79,AC81:AC87)</f>
        <v>1.9592609572812981E-2</v>
      </c>
      <c r="AD80" s="376">
        <f t="shared" ref="AD80:AJ80" si="57">AD34*AD$45</f>
        <v>1.6335274673387275E-5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3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1.7106617176174318E-5</v>
      </c>
      <c r="AD81" s="378">
        <f>SUM(D81:AC81,AE81:AJ81)-SUM(AD55:AD80,AD82:AD87)</f>
        <v>7.7134250278704347E-7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3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1.3165984334406153E-4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1.1209442188822621E-4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3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1.3809208810583019E-3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7.2722816001964089E-4</v>
      </c>
      <c r="AG83" s="179">
        <f>AG37*AG$45</f>
        <v>1.3797740241181897E-8</v>
      </c>
      <c r="AH83" s="376">
        <f>AH37*AH$45</f>
        <v>0</v>
      </c>
      <c r="AI83" s="376">
        <f>AI37*AI$45</f>
        <v>0</v>
      </c>
      <c r="AJ83" s="380">
        <f>AJ37*AJ$45</f>
        <v>3.2093416430573635E-7</v>
      </c>
    </row>
    <row r="84" spans="2:36" ht="12.75" customHeight="1" x14ac:dyDescent="0.3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4.7937494876011379E-4</v>
      </c>
      <c r="AG84" s="378">
        <f>SUM(D84:AF84,AH84:AJ84)-SUM(AG55:AG83,AG85:AG87)</f>
        <v>2.6611324517206527E-4</v>
      </c>
      <c r="AH84" s="376">
        <f>AH38*AH$45</f>
        <v>7.9878620543814816E-5</v>
      </c>
      <c r="AI84" s="179">
        <f>AI38*AI$45</f>
        <v>0</v>
      </c>
      <c r="AJ84" s="380">
        <f>AJ38*AJ$45</f>
        <v>1.0680184192245591E-5</v>
      </c>
    </row>
    <row r="85" spans="2:36" ht="12.75" customHeight="1" x14ac:dyDescent="0.3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2.0513378946595824E-3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2.8288488737514739E-4</v>
      </c>
      <c r="AH85" s="378">
        <f>SUM(D85:AG85,AI85:AJ85)-SUM(AH55:AH84,AH86:AH87)</f>
        <v>2.254283620099465E-3</v>
      </c>
      <c r="AI85" s="376">
        <f>AI39*AI$45</f>
        <v>1.134290329244034E-7</v>
      </c>
      <c r="AJ85" s="379">
        <f>AJ39*AJ$45</f>
        <v>0</v>
      </c>
    </row>
    <row r="86" spans="2:36" ht="12.75" customHeight="1" x14ac:dyDescent="0.3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1.7397042437444321E-7</v>
      </c>
      <c r="AI86" s="378">
        <f>SUM(D86:AH86,AJ86)-SUM(AI55:AI85,AI87)</f>
        <v>6.0541391450039816E-8</v>
      </c>
      <c r="AJ86" s="379">
        <f>AJ40*AJ$45</f>
        <v>0</v>
      </c>
    </row>
    <row r="87" spans="2:36" ht="12.75" customHeight="1" x14ac:dyDescent="0.3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1.4574893751218934E-4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1.3474781915563802E-4</v>
      </c>
    </row>
    <row r="88" spans="2:36" ht="12.75" customHeight="1" x14ac:dyDescent="0.3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3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3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3">
      <c r="B91" s="146" t="s">
        <v>1209</v>
      </c>
      <c r="C91" s="150">
        <f>SUM(D91:AJ91)</f>
        <v>4.2426802226069826</v>
      </c>
      <c r="D91" s="179">
        <f t="array" ref="D91:AJ91">D5:AJ5</f>
        <v>1.4142267408689941</v>
      </c>
      <c r="E91" s="179">
        <v>0</v>
      </c>
      <c r="F91" s="179">
        <v>1.4142267408689941</v>
      </c>
      <c r="G91" s="179">
        <v>0</v>
      </c>
      <c r="H91" s="179">
        <v>0</v>
      </c>
      <c r="I91" s="179">
        <v>0</v>
      </c>
      <c r="J91" s="179">
        <v>0</v>
      </c>
      <c r="K91" s="179">
        <v>1.4142267408689941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3">
      <c r="B92" s="146" t="s">
        <v>1210</v>
      </c>
      <c r="C92" s="150">
        <f>SUM(D92:AJ92)</f>
        <v>3.5136053817143638</v>
      </c>
      <c r="D92" s="179">
        <f>SUM($D$55:$AJ$55)</f>
        <v>-0.89622460234745838</v>
      </c>
      <c r="E92" s="179">
        <f>SUM($D$56:$AJ$56)</f>
        <v>1.7187648248416714E-2</v>
      </c>
      <c r="F92" s="179">
        <f>SUM($D$57:$AJ$57)</f>
        <v>-0.31742108301296484</v>
      </c>
      <c r="G92" s="179">
        <f>SUM($D$58:$AJ$58)</f>
        <v>0.71333682821226541</v>
      </c>
      <c r="H92" s="179">
        <f>SUM($D$59:$AJ$59)</f>
        <v>0.28539978279246181</v>
      </c>
      <c r="I92" s="179">
        <f>SUM($D$60:$AJ$60)</f>
        <v>2.7749198380476328E-3</v>
      </c>
      <c r="J92" s="179">
        <f>SUM($D$61:$AJ$61)</f>
        <v>0.19514541521639434</v>
      </c>
      <c r="K92" s="179">
        <f>SUM($D$62:$AJ$62)</f>
        <v>0.37969999691562339</v>
      </c>
      <c r="L92" s="179">
        <f>SUM($D$63:$AJ$63)</f>
        <v>7.2273663421217868E-2</v>
      </c>
      <c r="M92" s="179">
        <f>SUM($D$64:$AJ$64)</f>
        <v>0.78208494565150555</v>
      </c>
      <c r="N92" s="179">
        <f>SUM($D$65:$AJ$65)</f>
        <v>1.5808505201779788E-3</v>
      </c>
      <c r="O92" s="179">
        <f>SUM($D$66:$AJ$66)</f>
        <v>1.468939337037866E-2</v>
      </c>
      <c r="P92" s="179">
        <f>SUM($D$67:$AJ$67)</f>
        <v>1.3453813073919099</v>
      </c>
      <c r="Q92" s="179">
        <f>SUM($D$68:$AJ$68)</f>
        <v>1.6691611330398278E-3</v>
      </c>
      <c r="R92" s="179">
        <f>SUM($D$69:$AJ$69)</f>
        <v>1.9351091602900618E-3</v>
      </c>
      <c r="S92" s="179">
        <f>SUM($D$70:$AJ$70)</f>
        <v>4.7132090597166831E-2</v>
      </c>
      <c r="T92" s="179">
        <f>SUM($D$71:$AJ$71)</f>
        <v>0.1074828300868414</v>
      </c>
      <c r="U92" s="179">
        <f>SUM($D$72:$AJ$72)</f>
        <v>1.7455746261733376E-2</v>
      </c>
      <c r="V92" s="179">
        <f>SUM($D$73:$AJ$73)</f>
        <v>5.7655215136664106E-2</v>
      </c>
      <c r="W92" s="179">
        <f>SUM($D$74:$AJ$74)</f>
        <v>0.28409553276407068</v>
      </c>
      <c r="X92" s="179">
        <f>SUM($D$75:$AJ$75)</f>
        <v>0.29158941925249476</v>
      </c>
      <c r="Y92" s="179">
        <f>SUM($D$76:$AJ$76)</f>
        <v>3.092911287286744E-5</v>
      </c>
      <c r="Z92" s="179">
        <f>SUM($D$77:$AJ$77)</f>
        <v>1.3603281936749326E-2</v>
      </c>
      <c r="AA92" s="179">
        <f>SUM($D$78:$AJ$78)</f>
        <v>1.1544391485833949E-3</v>
      </c>
      <c r="AB92" s="179">
        <f>SUM($D$79:$AJ$79)</f>
        <v>3.5274746324776299E-2</v>
      </c>
      <c r="AC92" s="179">
        <f>SUM($D$80:$AJ$80)</f>
        <v>5.0542300484892097E-2</v>
      </c>
      <c r="AD92" s="179">
        <f>SUM($D$81:$AJ$81)</f>
        <v>1.7877959678961361E-5</v>
      </c>
      <c r="AE92" s="179">
        <f>SUM($D$82:$AJ$82)</f>
        <v>2.4375426523228774E-4</v>
      </c>
      <c r="AF92" s="179">
        <f>SUM($D$83:$AJ$83)</f>
        <v>2.1084837729824896E-3</v>
      </c>
      <c r="AG92" s="179">
        <f>SUM($D$84:$AJ$84)</f>
        <v>8.3604699866823937E-4</v>
      </c>
      <c r="AH92" s="179">
        <f>SUM($D$85:$AJ$85)</f>
        <v>4.588619831167119E-3</v>
      </c>
      <c r="AI92" s="179">
        <f>SUM($D$86:$AJ$86)</f>
        <v>2.3451181582448304E-7</v>
      </c>
      <c r="AJ92" s="380">
        <f>SUM($D$87:$AJ$87)</f>
        <v>2.8049675666782733E-4</v>
      </c>
    </row>
    <row r="93" spans="2:36" ht="12.75" customHeight="1" x14ac:dyDescent="0.3">
      <c r="B93" s="146" t="s">
        <v>1212</v>
      </c>
      <c r="C93" s="150">
        <f>SUM(D93:AJ93)</f>
        <v>3.5136053817143642</v>
      </c>
      <c r="D93" s="179">
        <f t="shared" ref="D93:AJ93" si="61">SUM(D55:D87)</f>
        <v>9.7891079595138208E-3</v>
      </c>
      <c r="E93" s="179">
        <f t="shared" si="61"/>
        <v>8.7108960985833404E-3</v>
      </c>
      <c r="F93" s="179">
        <f t="shared" si="61"/>
        <v>0.29796424123451759</v>
      </c>
      <c r="G93" s="179">
        <f t="shared" si="61"/>
        <v>0.67334179459210675</v>
      </c>
      <c r="H93" s="179">
        <f t="shared" si="61"/>
        <v>0.24365510389314815</v>
      </c>
      <c r="I93" s="179">
        <f t="shared" si="61"/>
        <v>2.2799912628027417E-3</v>
      </c>
      <c r="J93" s="179">
        <f t="shared" si="61"/>
        <v>0.10249687644910747</v>
      </c>
      <c r="K93" s="179">
        <f t="shared" si="61"/>
        <v>0.22777083655357211</v>
      </c>
      <c r="L93" s="179">
        <f t="shared" si="61"/>
        <v>3.7961806092262025E-2</v>
      </c>
      <c r="M93" s="179">
        <f t="shared" si="61"/>
        <v>0.52956572297673732</v>
      </c>
      <c r="N93" s="179">
        <f t="shared" si="61"/>
        <v>8.0119306781428442E-4</v>
      </c>
      <c r="O93" s="179">
        <f t="shared" si="61"/>
        <v>1.0016217582100452E-2</v>
      </c>
      <c r="P93" s="179">
        <f t="shared" si="61"/>
        <v>0.77725035175624024</v>
      </c>
      <c r="Q93" s="179">
        <f t="shared" si="61"/>
        <v>1.4253681750997097E-3</v>
      </c>
      <c r="R93" s="179">
        <f t="shared" si="61"/>
        <v>1.6193680786459155E-3</v>
      </c>
      <c r="S93" s="179">
        <f t="shared" si="61"/>
        <v>2.4755344937871241E-2</v>
      </c>
      <c r="T93" s="179">
        <f t="shared" si="61"/>
        <v>5.5011877639713873E-2</v>
      </c>
      <c r="U93" s="179">
        <f t="shared" si="61"/>
        <v>9.1686462732856432E-3</v>
      </c>
      <c r="V93" s="179">
        <f t="shared" si="61"/>
        <v>3.8642035691149643E-2</v>
      </c>
      <c r="W93" s="179">
        <f t="shared" si="61"/>
        <v>0.23133604879033579</v>
      </c>
      <c r="X93" s="179">
        <f t="shared" si="61"/>
        <v>0.15344014624235769</v>
      </c>
      <c r="Y93" s="179">
        <f t="shared" si="61"/>
        <v>2.6251520661047398E-5</v>
      </c>
      <c r="Z93" s="179">
        <f t="shared" si="61"/>
        <v>7.1448970831687539E-3</v>
      </c>
      <c r="AA93" s="179">
        <f t="shared" si="61"/>
        <v>7.9729758236694089E-4</v>
      </c>
      <c r="AB93" s="179">
        <f t="shared" si="61"/>
        <v>3.3104054323138378E-2</v>
      </c>
      <c r="AC93" s="179">
        <f t="shared" si="61"/>
        <v>3.0949690912079116E-2</v>
      </c>
      <c r="AD93" s="179">
        <f t="shared" si="61"/>
        <v>1.7106617176174318E-5</v>
      </c>
      <c r="AE93" s="179">
        <f t="shared" si="61"/>
        <v>1.3165984334406153E-4</v>
      </c>
      <c r="AF93" s="179">
        <f t="shared" si="61"/>
        <v>1.381255612962849E-3</v>
      </c>
      <c r="AG93" s="179">
        <f t="shared" si="61"/>
        <v>5.6993375349617421E-4</v>
      </c>
      <c r="AH93" s="179">
        <f t="shared" si="61"/>
        <v>2.3343362110676545E-3</v>
      </c>
      <c r="AI93" s="179">
        <f t="shared" si="61"/>
        <v>1.7397042437444321E-7</v>
      </c>
      <c r="AJ93" s="380">
        <f t="shared" si="61"/>
        <v>1.4574893751218934E-4</v>
      </c>
    </row>
    <row r="94" spans="2:36" ht="12.75" customHeight="1" x14ac:dyDescent="0.3">
      <c r="B94" s="152" t="s">
        <v>1211</v>
      </c>
      <c r="C94" s="150">
        <f>SUM(D94:AJ94)</f>
        <v>4.2426802226069835</v>
      </c>
      <c r="D94" s="179">
        <f>k.aR*D45</f>
        <v>0.50821303056202194</v>
      </c>
      <c r="E94" s="179">
        <f>k.w0R*E45</f>
        <v>8.4767521498333737E-3</v>
      </c>
      <c r="F94" s="179">
        <f>k.w1R*F45</f>
        <v>0.79884141662151187</v>
      </c>
      <c r="G94" s="179">
        <f>k.w2R*G45</f>
        <v>3.9995033620158535E-2</v>
      </c>
      <c r="H94" s="179">
        <f>k.sd1R*H45</f>
        <v>4.1744678899313527E-2</v>
      </c>
      <c r="I94" s="179">
        <f>k.sd2R*I45</f>
        <v>4.9492857524489138E-4</v>
      </c>
      <c r="J94" s="179">
        <f>k.s1R*J45</f>
        <v>9.2648538767286862E-2</v>
      </c>
      <c r="K94" s="179">
        <f>k.s2R*K45</f>
        <v>1.5661559012310455</v>
      </c>
      <c r="L94" s="179">
        <f>k.s3R*L45</f>
        <v>3.431185732895585E-2</v>
      </c>
      <c r="M94" s="179">
        <f>k.aC*M45</f>
        <v>0.25251922267476817</v>
      </c>
      <c r="N94" s="179">
        <f>k.w0C*N45</f>
        <v>7.7965745236369436E-4</v>
      </c>
      <c r="O94" s="179">
        <f>k.w1C*O45</f>
        <v>4.6731757882782082E-3</v>
      </c>
      <c r="P94" s="179">
        <f>k.w2C*P45</f>
        <v>0.56813095563566951</v>
      </c>
      <c r="Q94" s="179">
        <f>k.sd1C*Q45</f>
        <v>2.4379295794011829E-4</v>
      </c>
      <c r="R94" s="179">
        <f>k.sd2C*R45</f>
        <v>3.1574108164414682E-4</v>
      </c>
      <c r="S94" s="179">
        <f>k.s1C*S45</f>
        <v>2.2376745659295587E-2</v>
      </c>
      <c r="T94" s="179">
        <f>k.s2C*T45</f>
        <v>5.2470952447127517E-2</v>
      </c>
      <c r="U94" s="179">
        <f>k.s3C*U45</f>
        <v>8.2870999884477325E-3</v>
      </c>
      <c r="V94" s="179">
        <f>k.aM*V45</f>
        <v>1.9013179445514453E-2</v>
      </c>
      <c r="W94" s="179">
        <f>k.w2M*W45</f>
        <v>5.2759483973734873E-2</v>
      </c>
      <c r="X94" s="179">
        <f>k.w3M*X45</f>
        <v>0.13814927301013707</v>
      </c>
      <c r="Y94" s="179">
        <f>k.sdM*Y45</f>
        <v>4.6775922118200369E-6</v>
      </c>
      <c r="Z94" s="179">
        <f>k.sM*Z45</f>
        <v>6.4583848535805727E-3</v>
      </c>
      <c r="AA94" s="179">
        <f>k.aA*AA45</f>
        <v>3.5714156621645388E-4</v>
      </c>
      <c r="AB94" s="179">
        <f>k.w2A*AB45</f>
        <v>2.1706920016379243E-3</v>
      </c>
      <c r="AC94" s="179">
        <f>k.w3A*AC45</f>
        <v>1.9592609572812978E-2</v>
      </c>
      <c r="AD94" s="179">
        <f>k.sdA*AD45</f>
        <v>7.7134250278704284E-7</v>
      </c>
      <c r="AE94" s="179">
        <f>k.sA*AE45</f>
        <v>1.1209442188822622E-4</v>
      </c>
      <c r="AF94" s="179">
        <f>k.aT*AF45</f>
        <v>7.2722816001964154E-4</v>
      </c>
      <c r="AG94" s="179">
        <f>k.w2T*AG45</f>
        <v>2.6611324517206516E-4</v>
      </c>
      <c r="AH94" s="179">
        <f>k.w3T*AH45</f>
        <v>2.254283620099465E-3</v>
      </c>
      <c r="AI94" s="179">
        <f>k.sdT*AI45</f>
        <v>6.0541391450039803E-8</v>
      </c>
      <c r="AJ94" s="374">
        <f>k.sT*AJ45</f>
        <v>1.3474781915563796E-4</v>
      </c>
    </row>
    <row r="95" spans="2:36" ht="12.75" customHeight="1" x14ac:dyDescent="0.3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5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6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1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2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09375" defaultRowHeight="15" customHeight="1" x14ac:dyDescent="0.3"/>
  <cols>
    <col min="1" max="1" width="10.44140625" style="205" customWidth="1"/>
    <col min="2" max="2" width="102" style="205" customWidth="1"/>
    <col min="3" max="3" width="5.6640625" style="205" bestFit="1" customWidth="1"/>
    <col min="4" max="16384" width="9.109375" style="205"/>
  </cols>
  <sheetData>
    <row r="1" spans="1:3" s="232" customFormat="1" ht="15" customHeight="1" x14ac:dyDescent="0.3">
      <c r="A1" s="231" t="s">
        <v>2071</v>
      </c>
      <c r="B1" s="231" t="s">
        <v>2070</v>
      </c>
      <c r="C1" s="231" t="s">
        <v>968</v>
      </c>
    </row>
    <row r="2" spans="1:3" ht="15" customHeight="1" x14ac:dyDescent="0.3">
      <c r="A2" s="207" t="s">
        <v>661</v>
      </c>
      <c r="B2" s="208">
        <f>(kwsd.water.wC*kwsd.sed.sdC)/(kwsd.water.wC+kwsd.sed.sdC)*FRw.w1C*(SYSTEMAREA.C*AREAFRAC.w1C)</f>
        <v>2631.9114717665552</v>
      </c>
      <c r="C2" s="209" t="s">
        <v>2072</v>
      </c>
    </row>
    <row r="3" spans="1:3" ht="15" customHeight="1" x14ac:dyDescent="0.3">
      <c r="A3" s="207" t="s">
        <v>1085</v>
      </c>
      <c r="B3" s="208">
        <f>(kwsd.water.wR*kwsd.sed.sdR)/(kwsd.water.wR+kwsd.sed.sdR)*FRw.w1R*(SYSTEMAREA.R*AREAFRAC.w1R)</f>
        <v>172.57705606157529</v>
      </c>
      <c r="C3" s="209" t="s">
        <v>2072</v>
      </c>
    </row>
    <row r="4" spans="1:3" ht="15" customHeight="1" x14ac:dyDescent="0.3">
      <c r="A4" s="207" t="s">
        <v>663</v>
      </c>
      <c r="B4" s="208">
        <f>(kwsd.water.wC*kwsd.sed.sdC)/(kwsd.water.wC+kwsd.sed.sdC)*FRw.w2C*(SYSTEMAREA.C*AREAFRAC.w2C)</f>
        <v>102059.47190757698</v>
      </c>
      <c r="C4" s="209" t="s">
        <v>2072</v>
      </c>
    </row>
    <row r="5" spans="1:3" ht="15" customHeight="1" x14ac:dyDescent="0.3">
      <c r="A5" s="207" t="s">
        <v>973</v>
      </c>
      <c r="B5" s="208">
        <f>(kwsd.water.wR*kwsd.sed.sdR)/(kwsd.water.wR+kwsd.sed.sdR)*FRw.w2R*(SYSTEMAREA.R*AREAFRAC.w2R)</f>
        <v>27.48403001757875</v>
      </c>
      <c r="C5" s="209" t="s">
        <v>2072</v>
      </c>
    </row>
    <row r="6" spans="1:3" ht="15" customHeight="1" x14ac:dyDescent="0.3">
      <c r="A6" s="207" t="s">
        <v>163</v>
      </c>
      <c r="B6" s="208">
        <f>(kwsd.water.wA*kwsd.sed.sdA)/(kwsd.water.wA+kwsd.sed.sdA)*FRw.w3A*(SYSTEMAREA.A*AREAFRAC.wA)</f>
        <v>700842.76544825721</v>
      </c>
      <c r="C6" s="206" t="s">
        <v>2072</v>
      </c>
    </row>
    <row r="7" spans="1:3" ht="15" customHeight="1" x14ac:dyDescent="0.3">
      <c r="A7" s="207" t="s">
        <v>165</v>
      </c>
      <c r="B7" s="208">
        <f>(kwsd.water.wM*kwsd.sed.sdM)/(kwsd.water.wM+kwsd.sed.sdM)*FRw.w3M*(SYSTEMAREA.M*AREAFRAC.wM)</f>
        <v>1065984.3198095008</v>
      </c>
      <c r="C7" s="206" t="s">
        <v>2072</v>
      </c>
    </row>
    <row r="8" spans="1:3" ht="15" customHeight="1" x14ac:dyDescent="0.3">
      <c r="A8" s="207" t="s">
        <v>158</v>
      </c>
      <c r="B8" s="208">
        <f>(kwsd.water.wT*kwsd.sed.sdT)/(kwsd.water.wT+kwsd.sed.sdT)*FRw.w3T*(SYSTEMAREA.T*AREAFRAC.wT)</f>
        <v>2452949.6790689002</v>
      </c>
      <c r="C8" s="206" t="s">
        <v>2072</v>
      </c>
    </row>
    <row r="9" spans="1:3" ht="15" customHeight="1" x14ac:dyDescent="0.3">
      <c r="A9" s="210" t="s">
        <v>494</v>
      </c>
      <c r="B9" s="208">
        <v>1E-3</v>
      </c>
      <c r="C9" s="211" t="s">
        <v>2073</v>
      </c>
    </row>
    <row r="10" spans="1:3" ht="15" customHeight="1" x14ac:dyDescent="0.3">
      <c r="A10" s="210" t="s">
        <v>460</v>
      </c>
      <c r="B10" s="208">
        <v>1E-3</v>
      </c>
      <c r="C10" s="212" t="s">
        <v>2073</v>
      </c>
    </row>
    <row r="11" spans="1:3" ht="15" customHeight="1" x14ac:dyDescent="0.3">
      <c r="A11" s="210" t="s">
        <v>960</v>
      </c>
      <c r="B11" s="208">
        <v>1E-3</v>
      </c>
      <c r="C11" s="211" t="s">
        <v>2073</v>
      </c>
    </row>
    <row r="12" spans="1:3" ht="15" customHeight="1" x14ac:dyDescent="0.3">
      <c r="A12" s="210" t="s">
        <v>121</v>
      </c>
      <c r="B12" s="208">
        <v>1E-3</v>
      </c>
      <c r="C12" s="212" t="s">
        <v>2073</v>
      </c>
    </row>
    <row r="13" spans="1:3" ht="15" customHeight="1" x14ac:dyDescent="0.3">
      <c r="A13" s="210" t="s">
        <v>954</v>
      </c>
      <c r="B13" s="213">
        <v>1E-3</v>
      </c>
      <c r="C13" s="211" t="s">
        <v>2073</v>
      </c>
    </row>
    <row r="14" spans="1:3" ht="15" customHeight="1" x14ac:dyDescent="0.3">
      <c r="A14" s="207" t="s">
        <v>1023</v>
      </c>
      <c r="B14" s="208">
        <f>(FRaerw.aA+FRaers.aA)*(tdry.A+twet.A)/twet.A*RAINrate.A*COLLECTeff.A</f>
        <v>9.416395250352635E-4</v>
      </c>
      <c r="C14" s="212" t="s">
        <v>2073</v>
      </c>
    </row>
    <row r="15" spans="1:3" ht="15" customHeight="1" x14ac:dyDescent="0.3">
      <c r="A15" s="207" t="s">
        <v>1291</v>
      </c>
      <c r="B15" s="208">
        <f>(FRaerw.aC+FRaers.aC)*(tdry.C+twet.C)/twet.C*RAINrate.C*COLLECTeff.C</f>
        <v>1.7703550156734735E-3</v>
      </c>
      <c r="C15" s="212" t="s">
        <v>2073</v>
      </c>
    </row>
    <row r="16" spans="1:3" ht="15" customHeight="1" x14ac:dyDescent="0.3">
      <c r="A16" s="207" t="s">
        <v>547</v>
      </c>
      <c r="B16" s="208">
        <f>(FRaerw.aM+FRaers.aM)*(tdry.M+twet.M)/twet.M*RAINrate.M*COLLECTeff.M</f>
        <v>1.7703550156734735E-3</v>
      </c>
      <c r="C16" s="212" t="s">
        <v>2073</v>
      </c>
    </row>
    <row r="17" spans="1:3" ht="15" customHeight="1" x14ac:dyDescent="0.3">
      <c r="A17" s="207" t="s">
        <v>586</v>
      </c>
      <c r="B17" s="208">
        <f>(FRaerw.aR+FRaers.aR)*(tdry.R+twet.R)/twet.R*COLLECTeff.R*RAINrate.R</f>
        <v>1.7703550156734733E-3</v>
      </c>
      <c r="C17" s="212" t="s">
        <v>2073</v>
      </c>
    </row>
    <row r="18" spans="1:3" ht="15" customHeight="1" x14ac:dyDescent="0.3">
      <c r="A18" s="207" t="s">
        <v>1400</v>
      </c>
      <c r="B18" s="208">
        <f>(FRaerw.aT+FRaers.aT)*(tdry.T+twet.T)/twet.T*RAINrate.T*COLLECTeff.T</f>
        <v>3.2433509736249609E-3</v>
      </c>
      <c r="C18" s="212" t="s">
        <v>2073</v>
      </c>
    </row>
    <row r="19" spans="1:3" ht="15" customHeight="1" x14ac:dyDescent="0.3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3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3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3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3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3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3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3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3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3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3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3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3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3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3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3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3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3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3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3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3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3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3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3">
      <c r="A42" s="210" t="s">
        <v>18</v>
      </c>
      <c r="B42" s="228">
        <v>0.6</v>
      </c>
      <c r="C42" s="206" t="s">
        <v>36</v>
      </c>
    </row>
    <row r="43" spans="1:3" ht="15" customHeight="1" x14ac:dyDescent="0.3">
      <c r="A43" s="210" t="s">
        <v>1187</v>
      </c>
      <c r="B43" s="228">
        <v>0.5</v>
      </c>
      <c r="C43" s="206" t="s">
        <v>36</v>
      </c>
    </row>
    <row r="44" spans="1:3" ht="15" customHeight="1" x14ac:dyDescent="0.3">
      <c r="A44" s="210" t="s">
        <v>1410</v>
      </c>
      <c r="B44" s="229">
        <v>0.7</v>
      </c>
      <c r="C44" s="209" t="s">
        <v>36</v>
      </c>
    </row>
    <row r="45" spans="1:3" ht="15" customHeight="1" x14ac:dyDescent="0.3">
      <c r="A45" s="206" t="s">
        <v>1445</v>
      </c>
      <c r="B45" s="229">
        <v>3714410000000</v>
      </c>
      <c r="C45" s="212" t="s">
        <v>2074</v>
      </c>
    </row>
    <row r="46" spans="1:3" ht="15" customHeight="1" x14ac:dyDescent="0.3">
      <c r="A46" s="206" t="s">
        <v>1398</v>
      </c>
      <c r="B46" s="229">
        <v>228570000000</v>
      </c>
      <c r="C46" s="212" t="s">
        <v>2074</v>
      </c>
    </row>
    <row r="47" spans="1:3" ht="15" customHeight="1" x14ac:dyDescent="0.3">
      <c r="A47" s="206" t="s">
        <v>1446</v>
      </c>
      <c r="B47" s="229">
        <v>3714410000000</v>
      </c>
      <c r="C47" s="212" t="s">
        <v>2074</v>
      </c>
    </row>
    <row r="48" spans="1:3" ht="15" customHeight="1" x14ac:dyDescent="0.3">
      <c r="A48" s="206" t="s">
        <v>1399</v>
      </c>
      <c r="B48" s="229">
        <v>1000000000</v>
      </c>
      <c r="C48" s="212" t="s">
        <v>2074</v>
      </c>
    </row>
    <row r="49" spans="1:3" ht="15" customHeight="1" x14ac:dyDescent="0.3">
      <c r="A49" s="209" t="s">
        <v>16</v>
      </c>
      <c r="B49" s="229">
        <v>40000</v>
      </c>
      <c r="C49" s="209" t="s">
        <v>2075</v>
      </c>
    </row>
    <row r="50" spans="1:3" ht="15" customHeight="1" x14ac:dyDescent="0.3">
      <c r="A50" s="210" t="s">
        <v>355</v>
      </c>
      <c r="B50" s="228">
        <v>40000</v>
      </c>
      <c r="C50" s="209" t="s">
        <v>730</v>
      </c>
    </row>
    <row r="51" spans="1:3" ht="15" customHeight="1" x14ac:dyDescent="0.3">
      <c r="A51" s="210" t="s">
        <v>307</v>
      </c>
      <c r="B51" s="228">
        <v>40000</v>
      </c>
      <c r="C51" s="209" t="s">
        <v>730</v>
      </c>
    </row>
    <row r="52" spans="1:3" ht="15" customHeight="1" x14ac:dyDescent="0.3">
      <c r="A52" s="210" t="s">
        <v>686</v>
      </c>
      <c r="B52" s="228">
        <v>40000</v>
      </c>
      <c r="C52" s="209" t="s">
        <v>730</v>
      </c>
    </row>
    <row r="53" spans="1:3" ht="15" customHeight="1" x14ac:dyDescent="0.3">
      <c r="A53" s="210" t="s">
        <v>688</v>
      </c>
      <c r="B53" s="228">
        <v>40000</v>
      </c>
      <c r="C53" s="209" t="s">
        <v>730</v>
      </c>
    </row>
    <row r="54" spans="1:3" ht="15" customHeight="1" x14ac:dyDescent="0.3">
      <c r="A54" s="210" t="s">
        <v>1160</v>
      </c>
      <c r="B54" s="228">
        <v>40000</v>
      </c>
      <c r="C54" s="209" t="s">
        <v>730</v>
      </c>
    </row>
    <row r="55" spans="1:3" ht="15" customHeight="1" x14ac:dyDescent="0.3">
      <c r="A55" s="210" t="s">
        <v>687</v>
      </c>
      <c r="B55" s="228">
        <v>40000</v>
      </c>
      <c r="C55" s="209" t="s">
        <v>730</v>
      </c>
    </row>
    <row r="56" spans="1:3" ht="15" customHeight="1" x14ac:dyDescent="0.3">
      <c r="A56" s="210" t="s">
        <v>684</v>
      </c>
      <c r="B56" s="228">
        <v>40000</v>
      </c>
      <c r="C56" s="209" t="s">
        <v>730</v>
      </c>
    </row>
    <row r="57" spans="1:3" ht="15" customHeight="1" x14ac:dyDescent="0.3">
      <c r="A57" s="210" t="s">
        <v>689</v>
      </c>
      <c r="B57" s="228">
        <v>40000</v>
      </c>
      <c r="C57" s="209" t="s">
        <v>730</v>
      </c>
    </row>
    <row r="58" spans="1:3" ht="15" customHeight="1" x14ac:dyDescent="0.3">
      <c r="A58" s="210" t="s">
        <v>1141</v>
      </c>
      <c r="B58" s="229">
        <v>40000</v>
      </c>
      <c r="C58" s="209" t="s">
        <v>730</v>
      </c>
    </row>
    <row r="59" spans="1:3" ht="15" customHeight="1" x14ac:dyDescent="0.3">
      <c r="A59" s="210" t="s">
        <v>1161</v>
      </c>
      <c r="B59" s="228">
        <v>40000</v>
      </c>
      <c r="C59" s="209" t="s">
        <v>730</v>
      </c>
    </row>
    <row r="60" spans="1:3" ht="15" customHeight="1" x14ac:dyDescent="0.3">
      <c r="A60" s="210" t="s">
        <v>685</v>
      </c>
      <c r="B60" s="228">
        <v>40000</v>
      </c>
      <c r="C60" s="209" t="s">
        <v>730</v>
      </c>
    </row>
    <row r="61" spans="1:3" ht="15" customHeight="1" x14ac:dyDescent="0.3">
      <c r="A61" s="210" t="s">
        <v>1142</v>
      </c>
      <c r="B61" s="229">
        <v>40000</v>
      </c>
      <c r="C61" s="209" t="s">
        <v>730</v>
      </c>
    </row>
    <row r="62" spans="1:3" ht="15" customHeight="1" x14ac:dyDescent="0.3">
      <c r="A62" s="207" t="s">
        <v>765</v>
      </c>
      <c r="B62" s="214" t="s">
        <v>1296</v>
      </c>
      <c r="C62" s="209" t="s">
        <v>1295</v>
      </c>
    </row>
    <row r="63" spans="1:3" ht="15" customHeight="1" x14ac:dyDescent="0.3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3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3">
      <c r="A65" s="207" t="s">
        <v>1217</v>
      </c>
      <c r="B65" s="208">
        <f>NETsedrate.w2C*SYSTEMAREA.C*AREAFRAC.w2C</f>
        <v>101.85436998719213</v>
      </c>
      <c r="C65" s="209" t="s">
        <v>2072</v>
      </c>
    </row>
    <row r="66" spans="1:3" ht="15" customHeight="1" x14ac:dyDescent="0.3">
      <c r="A66" s="207" t="s">
        <v>1219</v>
      </c>
      <c r="B66" s="208">
        <f>NETsedrate.w2R*SYSTEMAREA.R*AREAFRAC.w2R</f>
        <v>6.3400000000000054E-2</v>
      </c>
      <c r="C66" s="209" t="s">
        <v>2072</v>
      </c>
    </row>
    <row r="67" spans="1:3" ht="15" customHeight="1" x14ac:dyDescent="0.3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3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3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3">
      <c r="A70" s="207" t="s">
        <v>1309</v>
      </c>
      <c r="B70" s="213">
        <v>500000</v>
      </c>
      <c r="C70" s="209" t="s">
        <v>2076</v>
      </c>
    </row>
    <row r="71" spans="1:3" ht="15" customHeight="1" x14ac:dyDescent="0.3">
      <c r="A71" s="207" t="s">
        <v>804</v>
      </c>
      <c r="B71" s="208">
        <v>500000</v>
      </c>
      <c r="C71" s="209" t="s">
        <v>2076</v>
      </c>
    </row>
    <row r="72" spans="1:3" ht="15" customHeight="1" x14ac:dyDescent="0.3">
      <c r="A72" s="207" t="s">
        <v>188</v>
      </c>
      <c r="B72" s="208">
        <v>500000</v>
      </c>
      <c r="C72" s="209" t="s">
        <v>2076</v>
      </c>
    </row>
    <row r="73" spans="1:3" ht="15" customHeight="1" x14ac:dyDescent="0.3">
      <c r="A73" s="207" t="s">
        <v>1003</v>
      </c>
      <c r="B73" s="208">
        <v>500000</v>
      </c>
      <c r="C73" s="209" t="s">
        <v>2076</v>
      </c>
    </row>
    <row r="74" spans="1:3" ht="15" customHeight="1" x14ac:dyDescent="0.3">
      <c r="A74" s="207" t="s">
        <v>972</v>
      </c>
      <c r="B74" s="208">
        <v>500000</v>
      </c>
      <c r="C74" s="209" t="s">
        <v>2076</v>
      </c>
    </row>
    <row r="75" spans="1:3" ht="15" customHeight="1" x14ac:dyDescent="0.3">
      <c r="A75" s="207" t="s">
        <v>1402</v>
      </c>
      <c r="B75" s="208">
        <v>500000</v>
      </c>
      <c r="C75" s="209" t="s">
        <v>2076</v>
      </c>
    </row>
    <row r="76" spans="1:3" ht="15" customHeight="1" x14ac:dyDescent="0.3">
      <c r="A76" s="210" t="s">
        <v>347</v>
      </c>
      <c r="B76" s="208">
        <v>1E-3</v>
      </c>
      <c r="C76" s="209" t="s">
        <v>2115</v>
      </c>
    </row>
    <row r="77" spans="1:3" ht="15" customHeight="1" x14ac:dyDescent="0.3">
      <c r="A77" s="210" t="s">
        <v>297</v>
      </c>
      <c r="B77" s="208">
        <v>1E-3</v>
      </c>
      <c r="C77" s="209" t="s">
        <v>2115</v>
      </c>
    </row>
    <row r="78" spans="1:3" ht="15" customHeight="1" x14ac:dyDescent="0.3">
      <c r="A78" s="210" t="s">
        <v>556</v>
      </c>
      <c r="B78" s="208">
        <v>1E-3</v>
      </c>
      <c r="C78" s="209" t="s">
        <v>2115</v>
      </c>
    </row>
    <row r="79" spans="1:3" ht="15" customHeight="1" x14ac:dyDescent="0.3">
      <c r="A79" s="210" t="s">
        <v>552</v>
      </c>
      <c r="B79" s="208">
        <v>1E-3</v>
      </c>
      <c r="C79" s="209" t="s">
        <v>2115</v>
      </c>
    </row>
    <row r="80" spans="1:3" ht="15" customHeight="1" x14ac:dyDescent="0.3">
      <c r="A80" s="210" t="s">
        <v>1155</v>
      </c>
      <c r="B80" s="208">
        <v>1E-3</v>
      </c>
      <c r="C80" s="209" t="s">
        <v>2115</v>
      </c>
    </row>
    <row r="81" spans="1:3" ht="15" customHeight="1" x14ac:dyDescent="0.3">
      <c r="A81" s="210" t="s">
        <v>558</v>
      </c>
      <c r="B81" s="208">
        <v>1E-3</v>
      </c>
      <c r="C81" s="209" t="s">
        <v>2115</v>
      </c>
    </row>
    <row r="82" spans="1:3" ht="15" customHeight="1" x14ac:dyDescent="0.3">
      <c r="A82" s="210" t="s">
        <v>142</v>
      </c>
      <c r="B82" s="208">
        <v>1E-3</v>
      </c>
      <c r="C82" s="209" t="s">
        <v>2115</v>
      </c>
    </row>
    <row r="83" spans="1:3" ht="15" customHeight="1" x14ac:dyDescent="0.3">
      <c r="A83" s="210" t="s">
        <v>554</v>
      </c>
      <c r="B83" s="208">
        <v>1E-3</v>
      </c>
      <c r="C83" s="209" t="s">
        <v>2115</v>
      </c>
    </row>
    <row r="84" spans="1:3" ht="15" customHeight="1" x14ac:dyDescent="0.3">
      <c r="A84" s="210" t="s">
        <v>1144</v>
      </c>
      <c r="B84" s="208">
        <v>1E-3</v>
      </c>
      <c r="C84" s="209" t="s">
        <v>2115</v>
      </c>
    </row>
    <row r="85" spans="1:3" ht="15" customHeight="1" x14ac:dyDescent="0.3">
      <c r="A85" s="210" t="s">
        <v>1156</v>
      </c>
      <c r="B85" s="208">
        <v>1E-3</v>
      </c>
      <c r="C85" s="209" t="s">
        <v>2115</v>
      </c>
    </row>
    <row r="86" spans="1:3" ht="15" customHeight="1" x14ac:dyDescent="0.3">
      <c r="A86" s="210" t="s">
        <v>143</v>
      </c>
      <c r="B86" s="208">
        <v>1E-3</v>
      </c>
      <c r="C86" s="209" t="s">
        <v>2115</v>
      </c>
    </row>
    <row r="87" spans="1:3" ht="15" customHeight="1" x14ac:dyDescent="0.3">
      <c r="A87" s="210" t="s">
        <v>1131</v>
      </c>
      <c r="B87" s="208">
        <v>1E-3</v>
      </c>
      <c r="C87" s="209" t="s">
        <v>2115</v>
      </c>
    </row>
    <row r="88" spans="1:3" ht="15" customHeight="1" x14ac:dyDescent="0.3">
      <c r="A88" s="210" t="s">
        <v>496</v>
      </c>
      <c r="B88" s="208">
        <v>200000</v>
      </c>
      <c r="C88" s="209" t="s">
        <v>36</v>
      </c>
    </row>
    <row r="89" spans="1:3" ht="15" customHeight="1" x14ac:dyDescent="0.3">
      <c r="A89" s="210" t="s">
        <v>1064</v>
      </c>
      <c r="B89" s="208">
        <v>200000</v>
      </c>
      <c r="C89" s="209" t="s">
        <v>36</v>
      </c>
    </row>
    <row r="90" spans="1:3" ht="15" customHeight="1" x14ac:dyDescent="0.3">
      <c r="A90" s="210" t="s">
        <v>962</v>
      </c>
      <c r="B90" s="208">
        <v>200000</v>
      </c>
      <c r="C90" s="209" t="s">
        <v>36</v>
      </c>
    </row>
    <row r="91" spans="1:3" ht="15" customHeight="1" x14ac:dyDescent="0.3">
      <c r="A91" s="210" t="s">
        <v>123</v>
      </c>
      <c r="B91" s="208">
        <v>200000</v>
      </c>
      <c r="C91" s="209" t="s">
        <v>36</v>
      </c>
    </row>
    <row r="92" spans="1:3" ht="15" customHeight="1" x14ac:dyDescent="0.3">
      <c r="A92" s="210" t="s">
        <v>956</v>
      </c>
      <c r="B92" s="213">
        <v>200000</v>
      </c>
      <c r="C92" s="209" t="s">
        <v>36</v>
      </c>
    </row>
    <row r="93" spans="1:3" ht="15" customHeight="1" x14ac:dyDescent="0.3">
      <c r="A93" s="210" t="s">
        <v>983</v>
      </c>
      <c r="B93" s="213">
        <v>0.02</v>
      </c>
      <c r="C93" s="209" t="s">
        <v>36</v>
      </c>
    </row>
    <row r="94" spans="1:3" ht="15" customHeight="1" x14ac:dyDescent="0.3">
      <c r="A94" s="210" t="s">
        <v>480</v>
      </c>
      <c r="B94" s="208">
        <v>0.02</v>
      </c>
      <c r="C94" s="209" t="s">
        <v>36</v>
      </c>
    </row>
    <row r="95" spans="1:3" ht="15" customHeight="1" x14ac:dyDescent="0.3">
      <c r="A95" s="210" t="s">
        <v>1070</v>
      </c>
      <c r="B95" s="208">
        <v>0.02</v>
      </c>
      <c r="C95" s="209" t="s">
        <v>36</v>
      </c>
    </row>
    <row r="96" spans="1:3" ht="15" customHeight="1" x14ac:dyDescent="0.3">
      <c r="A96" s="210" t="s">
        <v>482</v>
      </c>
      <c r="B96" s="208">
        <v>0.02</v>
      </c>
      <c r="C96" s="209" t="s">
        <v>36</v>
      </c>
    </row>
    <row r="97" spans="1:3" ht="15" customHeight="1" x14ac:dyDescent="0.3">
      <c r="A97" s="210" t="s">
        <v>1072</v>
      </c>
      <c r="B97" s="208">
        <v>0.02</v>
      </c>
      <c r="C97" s="209" t="s">
        <v>36</v>
      </c>
    </row>
    <row r="98" spans="1:3" ht="15" customHeight="1" x14ac:dyDescent="0.3">
      <c r="A98" s="210" t="s">
        <v>484</v>
      </c>
      <c r="B98" s="208">
        <v>0.02</v>
      </c>
      <c r="C98" s="209" t="s">
        <v>36</v>
      </c>
    </row>
    <row r="99" spans="1:3" ht="15" customHeight="1" x14ac:dyDescent="0.3">
      <c r="A99" s="210" t="s">
        <v>1074</v>
      </c>
      <c r="B99" s="208">
        <v>0.02</v>
      </c>
      <c r="C99" s="209" t="s">
        <v>36</v>
      </c>
    </row>
    <row r="100" spans="1:3" ht="15" customHeight="1" x14ac:dyDescent="0.3">
      <c r="A100" s="210" t="s">
        <v>410</v>
      </c>
      <c r="B100" s="208">
        <v>0.02</v>
      </c>
      <c r="C100" s="209" t="s">
        <v>36</v>
      </c>
    </row>
    <row r="101" spans="1:3" ht="15" customHeight="1" x14ac:dyDescent="0.3">
      <c r="A101" s="210" t="s">
        <v>1298</v>
      </c>
      <c r="B101" s="208">
        <v>0.05</v>
      </c>
      <c r="C101" s="209" t="s">
        <v>36</v>
      </c>
    </row>
    <row r="102" spans="1:3" ht="15" customHeight="1" x14ac:dyDescent="0.3">
      <c r="A102" s="210" t="s">
        <v>1066</v>
      </c>
      <c r="B102" s="208">
        <v>0.05</v>
      </c>
      <c r="C102" s="209" t="s">
        <v>36</v>
      </c>
    </row>
    <row r="103" spans="1:3" ht="15" customHeight="1" x14ac:dyDescent="0.3">
      <c r="A103" s="210" t="s">
        <v>1300</v>
      </c>
      <c r="B103" s="208">
        <v>0.05</v>
      </c>
      <c r="C103" s="209" t="s">
        <v>36</v>
      </c>
    </row>
    <row r="104" spans="1:3" ht="15" customHeight="1" x14ac:dyDescent="0.3">
      <c r="A104" s="210" t="s">
        <v>1068</v>
      </c>
      <c r="B104" s="208">
        <v>0.05</v>
      </c>
      <c r="C104" s="209" t="s">
        <v>36</v>
      </c>
    </row>
    <row r="105" spans="1:3" ht="15" customHeight="1" x14ac:dyDescent="0.3">
      <c r="A105" s="210" t="s">
        <v>409</v>
      </c>
      <c r="B105" s="208">
        <v>0.05</v>
      </c>
      <c r="C105" s="209" t="s">
        <v>36</v>
      </c>
    </row>
    <row r="106" spans="1:3" ht="15" customHeight="1" x14ac:dyDescent="0.3">
      <c r="A106" s="210" t="s">
        <v>437</v>
      </c>
      <c r="B106" s="208">
        <v>0.05</v>
      </c>
      <c r="C106" s="209" t="s">
        <v>36</v>
      </c>
    </row>
    <row r="107" spans="1:3" ht="15" customHeight="1" x14ac:dyDescent="0.3">
      <c r="A107" s="210" t="s">
        <v>114</v>
      </c>
      <c r="B107" s="208">
        <v>0.05</v>
      </c>
      <c r="C107" s="209" t="s">
        <v>36</v>
      </c>
    </row>
    <row r="108" spans="1:3" ht="15" customHeight="1" x14ac:dyDescent="0.3">
      <c r="A108" s="210" t="s">
        <v>957</v>
      </c>
      <c r="B108" s="208">
        <v>0.02</v>
      </c>
      <c r="C108" s="209" t="s">
        <v>36</v>
      </c>
    </row>
    <row r="109" spans="1:3" ht="15" customHeight="1" x14ac:dyDescent="0.3">
      <c r="A109" s="210" t="s">
        <v>1044</v>
      </c>
      <c r="B109" s="208">
        <v>0.02</v>
      </c>
      <c r="C109" s="209" t="s">
        <v>36</v>
      </c>
    </row>
    <row r="110" spans="1:3" ht="15" customHeight="1" x14ac:dyDescent="0.3">
      <c r="A110" s="210" t="s">
        <v>344</v>
      </c>
      <c r="B110" s="208">
        <v>0.1</v>
      </c>
      <c r="C110" s="209" t="s">
        <v>36</v>
      </c>
    </row>
    <row r="111" spans="1:3" ht="15" customHeight="1" x14ac:dyDescent="0.3">
      <c r="A111" s="210" t="s">
        <v>294</v>
      </c>
      <c r="B111" s="208">
        <v>0.1</v>
      </c>
      <c r="C111" s="209" t="s">
        <v>36</v>
      </c>
    </row>
    <row r="112" spans="1:3" ht="15" customHeight="1" x14ac:dyDescent="0.3">
      <c r="A112" s="210" t="s">
        <v>1454</v>
      </c>
      <c r="B112" s="208">
        <v>0.1</v>
      </c>
      <c r="C112" s="209" t="s">
        <v>36</v>
      </c>
    </row>
    <row r="113" spans="1:3" ht="15" customHeight="1" x14ac:dyDescent="0.3">
      <c r="A113" s="210" t="s">
        <v>1456</v>
      </c>
      <c r="B113" s="208">
        <v>0.1</v>
      </c>
      <c r="C113" s="209" t="s">
        <v>36</v>
      </c>
    </row>
    <row r="114" spans="1:3" ht="15" customHeight="1" x14ac:dyDescent="0.3">
      <c r="A114" s="210" t="s">
        <v>1458</v>
      </c>
      <c r="B114" s="208">
        <v>0.1</v>
      </c>
      <c r="C114" s="209" t="s">
        <v>36</v>
      </c>
    </row>
    <row r="115" spans="1:3" ht="15" customHeight="1" x14ac:dyDescent="0.3">
      <c r="A115" s="210" t="s">
        <v>1455</v>
      </c>
      <c r="B115" s="208">
        <v>0.1</v>
      </c>
      <c r="C115" s="209" t="s">
        <v>36</v>
      </c>
    </row>
    <row r="116" spans="1:3" ht="15" customHeight="1" x14ac:dyDescent="0.3">
      <c r="A116" s="210" t="s">
        <v>1452</v>
      </c>
      <c r="B116" s="208">
        <v>0.1</v>
      </c>
      <c r="C116" s="209" t="s">
        <v>36</v>
      </c>
    </row>
    <row r="117" spans="1:3" ht="15" customHeight="1" x14ac:dyDescent="0.3">
      <c r="A117" s="210" t="s">
        <v>1457</v>
      </c>
      <c r="B117" s="208">
        <v>0.1</v>
      </c>
      <c r="C117" s="209" t="s">
        <v>36</v>
      </c>
    </row>
    <row r="118" spans="1:3" ht="15" customHeight="1" x14ac:dyDescent="0.3">
      <c r="A118" s="210" t="s">
        <v>1460</v>
      </c>
      <c r="B118" s="215">
        <v>0.1</v>
      </c>
      <c r="C118" s="209" t="s">
        <v>36</v>
      </c>
    </row>
    <row r="119" spans="1:3" ht="15" customHeight="1" x14ac:dyDescent="0.3">
      <c r="A119" s="210" t="s">
        <v>1459</v>
      </c>
      <c r="B119" s="208">
        <v>0.1</v>
      </c>
      <c r="C119" s="209" t="s">
        <v>36</v>
      </c>
    </row>
    <row r="120" spans="1:3" ht="15" customHeight="1" x14ac:dyDescent="0.3">
      <c r="A120" s="210" t="s">
        <v>1453</v>
      </c>
      <c r="B120" s="208">
        <v>0.1</v>
      </c>
      <c r="C120" s="209" t="s">
        <v>36</v>
      </c>
    </row>
    <row r="121" spans="1:3" ht="15" customHeight="1" x14ac:dyDescent="0.3">
      <c r="A121" s="210" t="s">
        <v>1461</v>
      </c>
      <c r="B121" s="215">
        <v>0.1</v>
      </c>
      <c r="C121" s="209" t="s">
        <v>36</v>
      </c>
    </row>
    <row r="122" spans="1:3" ht="15" customHeight="1" x14ac:dyDescent="0.3">
      <c r="A122" s="206" t="s">
        <v>1546</v>
      </c>
      <c r="B122" s="208">
        <v>0.1</v>
      </c>
      <c r="C122" s="206" t="s">
        <v>36</v>
      </c>
    </row>
    <row r="123" spans="1:3" ht="15" customHeight="1" x14ac:dyDescent="0.3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3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3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3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3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3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3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3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3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3">
      <c r="A132" s="207" t="s">
        <v>908</v>
      </c>
      <c r="B132" s="216" t="s">
        <v>2096</v>
      </c>
      <c r="C132" s="206" t="s">
        <v>36</v>
      </c>
    </row>
    <row r="133" spans="1:3" ht="15" customHeight="1" x14ac:dyDescent="0.3">
      <c r="A133" s="207" t="s">
        <v>1467</v>
      </c>
      <c r="B133" s="216" t="s">
        <v>2097</v>
      </c>
      <c r="C133" s="206" t="s">
        <v>36</v>
      </c>
    </row>
    <row r="134" spans="1:3" ht="15" customHeight="1" x14ac:dyDescent="0.3">
      <c r="A134" s="207" t="s">
        <v>909</v>
      </c>
      <c r="B134" s="216" t="s">
        <v>2098</v>
      </c>
      <c r="C134" s="206" t="s">
        <v>36</v>
      </c>
    </row>
    <row r="135" spans="1:3" ht="15" customHeight="1" x14ac:dyDescent="0.3">
      <c r="A135" s="207" t="s">
        <v>1468</v>
      </c>
      <c r="B135" s="216" t="s">
        <v>2099</v>
      </c>
      <c r="C135" s="206" t="s">
        <v>36</v>
      </c>
    </row>
    <row r="136" spans="1:3" ht="15" customHeight="1" x14ac:dyDescent="0.3">
      <c r="A136" s="207" t="s">
        <v>910</v>
      </c>
      <c r="B136" s="216" t="s">
        <v>2100</v>
      </c>
      <c r="C136" s="206" t="s">
        <v>36</v>
      </c>
    </row>
    <row r="137" spans="1:3" ht="15" customHeight="1" x14ac:dyDescent="0.3">
      <c r="A137" s="207" t="s">
        <v>1469</v>
      </c>
      <c r="B137" s="216" t="s">
        <v>2101</v>
      </c>
      <c r="C137" s="206" t="s">
        <v>36</v>
      </c>
    </row>
    <row r="138" spans="1:3" ht="15" customHeight="1" x14ac:dyDescent="0.3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3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3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3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3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3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3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3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3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3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3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3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3">
      <c r="A150" s="207" t="s">
        <v>607</v>
      </c>
      <c r="B150" s="216" t="s">
        <v>2095</v>
      </c>
      <c r="C150" s="209" t="s">
        <v>36</v>
      </c>
    </row>
    <row r="151" spans="1:3" ht="15" customHeight="1" x14ac:dyDescent="0.3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3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3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3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3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3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3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3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3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3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3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3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3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3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3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3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3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3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3">
      <c r="A169" s="210" t="s">
        <v>1355</v>
      </c>
      <c r="B169" s="208">
        <v>0.05</v>
      </c>
      <c r="C169" s="206" t="s">
        <v>719</v>
      </c>
    </row>
    <row r="170" spans="1:3" ht="15" customHeight="1" x14ac:dyDescent="0.3">
      <c r="A170" s="210" t="s">
        <v>1200</v>
      </c>
      <c r="B170" s="213">
        <v>0.05</v>
      </c>
      <c r="C170" s="209" t="s">
        <v>719</v>
      </c>
    </row>
    <row r="171" spans="1:3" ht="15" customHeight="1" x14ac:dyDescent="0.3">
      <c r="A171" s="210" t="s">
        <v>472</v>
      </c>
      <c r="B171" s="208">
        <v>0.2</v>
      </c>
      <c r="C171" s="206" t="s">
        <v>719</v>
      </c>
    </row>
    <row r="172" spans="1:3" ht="15" customHeight="1" x14ac:dyDescent="0.3">
      <c r="A172" s="210" t="s">
        <v>57</v>
      </c>
      <c r="B172" s="213">
        <v>0.2</v>
      </c>
      <c r="C172" s="209" t="s">
        <v>719</v>
      </c>
    </row>
    <row r="173" spans="1:3" ht="15" customHeight="1" x14ac:dyDescent="0.3">
      <c r="A173" s="210" t="s">
        <v>775</v>
      </c>
      <c r="B173" s="208">
        <v>0.05</v>
      </c>
      <c r="C173" s="206" t="s">
        <v>719</v>
      </c>
    </row>
    <row r="174" spans="1:3" ht="15" customHeight="1" x14ac:dyDescent="0.3">
      <c r="A174" s="210" t="s">
        <v>58</v>
      </c>
      <c r="B174" s="213">
        <v>0.05</v>
      </c>
      <c r="C174" s="209" t="s">
        <v>719</v>
      </c>
    </row>
    <row r="175" spans="1:3" ht="15" customHeight="1" x14ac:dyDescent="0.3">
      <c r="A175" s="210" t="s">
        <v>22</v>
      </c>
      <c r="B175" s="208">
        <v>0.05</v>
      </c>
      <c r="C175" s="209" t="s">
        <v>719</v>
      </c>
    </row>
    <row r="176" spans="1:3" ht="15" customHeight="1" x14ac:dyDescent="0.3">
      <c r="A176" s="210" t="s">
        <v>470</v>
      </c>
      <c r="B176" s="208">
        <v>0.03</v>
      </c>
      <c r="C176" s="209" t="s">
        <v>719</v>
      </c>
    </row>
    <row r="177" spans="1:3" ht="15" customHeight="1" x14ac:dyDescent="0.3">
      <c r="A177" s="210" t="s">
        <v>1198</v>
      </c>
      <c r="B177" s="208">
        <v>0.03</v>
      </c>
      <c r="C177" s="209" t="s">
        <v>719</v>
      </c>
    </row>
    <row r="178" spans="1:3" ht="15" customHeight="1" x14ac:dyDescent="0.3">
      <c r="A178" s="210" t="s">
        <v>471</v>
      </c>
      <c r="B178" s="208">
        <v>0.03</v>
      </c>
      <c r="C178" s="209" t="s">
        <v>719</v>
      </c>
    </row>
    <row r="179" spans="1:3" ht="15" customHeight="1" x14ac:dyDescent="0.3">
      <c r="A179" s="210" t="s">
        <v>1199</v>
      </c>
      <c r="B179" s="208">
        <v>0.03</v>
      </c>
      <c r="C179" s="209" t="s">
        <v>719</v>
      </c>
    </row>
    <row r="180" spans="1:3" ht="15" customHeight="1" x14ac:dyDescent="0.3">
      <c r="A180" s="210" t="s">
        <v>21</v>
      </c>
      <c r="B180" s="208">
        <v>0.03</v>
      </c>
      <c r="C180" s="209" t="s">
        <v>719</v>
      </c>
    </row>
    <row r="181" spans="1:3" ht="15" customHeight="1" x14ac:dyDescent="0.3">
      <c r="A181" s="210" t="s">
        <v>1353</v>
      </c>
      <c r="B181" s="208">
        <v>0.03</v>
      </c>
      <c r="C181" s="209" t="s">
        <v>719</v>
      </c>
    </row>
    <row r="182" spans="1:3" ht="15" customHeight="1" x14ac:dyDescent="0.3">
      <c r="A182" s="210" t="s">
        <v>1413</v>
      </c>
      <c r="B182" s="208">
        <v>0.03</v>
      </c>
      <c r="C182" s="209" t="s">
        <v>719</v>
      </c>
    </row>
    <row r="183" spans="1:3" ht="15" customHeight="1" x14ac:dyDescent="0.3">
      <c r="A183" s="210" t="s">
        <v>1354</v>
      </c>
      <c r="B183" s="208">
        <v>0.05</v>
      </c>
      <c r="C183" s="209" t="s">
        <v>719</v>
      </c>
    </row>
    <row r="184" spans="1:3" ht="15" customHeight="1" x14ac:dyDescent="0.3">
      <c r="A184" s="210" t="s">
        <v>1414</v>
      </c>
      <c r="B184" s="208">
        <v>0.05</v>
      </c>
      <c r="C184" s="209" t="s">
        <v>719</v>
      </c>
    </row>
    <row r="185" spans="1:3" ht="15" customHeight="1" x14ac:dyDescent="0.3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3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3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3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3">
      <c r="A189" s="210" t="s">
        <v>950</v>
      </c>
      <c r="B189" s="208">
        <v>100</v>
      </c>
      <c r="C189" s="209" t="s">
        <v>719</v>
      </c>
    </row>
    <row r="190" spans="1:3" ht="15" customHeight="1" x14ac:dyDescent="0.3">
      <c r="A190" s="210" t="s">
        <v>469</v>
      </c>
      <c r="B190" s="208">
        <v>200</v>
      </c>
      <c r="C190" s="206" t="s">
        <v>719</v>
      </c>
    </row>
    <row r="191" spans="1:3" ht="15" customHeight="1" x14ac:dyDescent="0.3">
      <c r="A191" s="210" t="s">
        <v>941</v>
      </c>
      <c r="B191" s="208">
        <v>100</v>
      </c>
      <c r="C191" s="209" t="s">
        <v>719</v>
      </c>
    </row>
    <row r="192" spans="1:3" ht="15" customHeight="1" x14ac:dyDescent="0.3">
      <c r="A192" s="210" t="s">
        <v>1197</v>
      </c>
      <c r="B192" s="208">
        <v>10</v>
      </c>
      <c r="C192" s="209" t="s">
        <v>719</v>
      </c>
    </row>
    <row r="193" spans="1:3" ht="15" customHeight="1" x14ac:dyDescent="0.3">
      <c r="A193" s="210" t="s">
        <v>947</v>
      </c>
      <c r="B193" s="213">
        <v>100</v>
      </c>
      <c r="C193" s="209" t="s">
        <v>719</v>
      </c>
    </row>
    <row r="194" spans="1:3" ht="15" customHeight="1" x14ac:dyDescent="0.3">
      <c r="A194" s="210" t="s">
        <v>951</v>
      </c>
      <c r="B194" s="208">
        <v>3000</v>
      </c>
      <c r="C194" s="209" t="s">
        <v>719</v>
      </c>
    </row>
    <row r="195" spans="1:3" ht="15" customHeight="1" x14ac:dyDescent="0.3">
      <c r="A195" s="210" t="s">
        <v>940</v>
      </c>
      <c r="B195" s="208">
        <v>3000</v>
      </c>
      <c r="C195" s="209" t="s">
        <v>719</v>
      </c>
    </row>
    <row r="196" spans="1:3" ht="15" customHeight="1" x14ac:dyDescent="0.3">
      <c r="A196" s="210" t="s">
        <v>948</v>
      </c>
      <c r="B196" s="208">
        <v>3000</v>
      </c>
      <c r="C196" s="209" t="s">
        <v>719</v>
      </c>
    </row>
    <row r="197" spans="1:3" ht="15" customHeight="1" x14ac:dyDescent="0.3">
      <c r="A197" s="206" t="s">
        <v>1342</v>
      </c>
      <c r="B197" s="213">
        <v>3</v>
      </c>
      <c r="C197" s="206" t="s">
        <v>720</v>
      </c>
    </row>
    <row r="198" spans="1:3" ht="15" customHeight="1" x14ac:dyDescent="0.3">
      <c r="A198" s="206" t="s">
        <v>1418</v>
      </c>
      <c r="B198" s="213">
        <v>3</v>
      </c>
      <c r="C198" s="206" t="s">
        <v>720</v>
      </c>
    </row>
    <row r="199" spans="1:3" ht="15" customHeight="1" x14ac:dyDescent="0.3">
      <c r="A199" s="206" t="s">
        <v>313</v>
      </c>
      <c r="B199" s="213">
        <v>100</v>
      </c>
      <c r="C199" s="206" t="s">
        <v>720</v>
      </c>
    </row>
    <row r="200" spans="1:3" ht="15" customHeight="1" x14ac:dyDescent="0.3">
      <c r="A200" s="206" t="s">
        <v>312</v>
      </c>
      <c r="B200" s="213">
        <v>100</v>
      </c>
      <c r="C200" s="206" t="s">
        <v>720</v>
      </c>
    </row>
    <row r="201" spans="1:3" ht="15" customHeight="1" x14ac:dyDescent="0.3">
      <c r="A201" s="207" t="s">
        <v>662</v>
      </c>
      <c r="B201" s="208">
        <f>((kwsd.water.wC*kwsd.sed.sdC)/(kwsd.water.wC+kwsd.sed.sdC))/Ksdw1.C*(SYSTEMAREA.C*AREAFRAC.w1C)</f>
        <v>99.836860635402232</v>
      </c>
      <c r="C201" s="209" t="s">
        <v>2072</v>
      </c>
    </row>
    <row r="202" spans="1:3" ht="15" customHeight="1" x14ac:dyDescent="0.3">
      <c r="A202" s="207" t="s">
        <v>1086</v>
      </c>
      <c r="B202" s="208">
        <f>((kwsd.water.wR*kwsd.sed.sdR)/(kwsd.water.wR+kwsd.sed.sdR))/Ksdw1.R*(SYSTEMAREA.R*AREAFRAC.w1R)</f>
        <v>6.5464023694242686</v>
      </c>
      <c r="C202" s="209" t="s">
        <v>2072</v>
      </c>
    </row>
    <row r="203" spans="1:3" ht="15" customHeight="1" x14ac:dyDescent="0.3">
      <c r="A203" s="207" t="s">
        <v>664</v>
      </c>
      <c r="B203" s="208">
        <f>((kwsd.water.wC*kwsd.sed.sdC)/(kwsd.water.wC+kwsd.sed.sdC))/Ksdw2.C*(SYSTEMAREA.C*AREAFRAC.w2C)</f>
        <v>3893.7526634760584</v>
      </c>
      <c r="C203" s="209" t="s">
        <v>2072</v>
      </c>
    </row>
    <row r="204" spans="1:3" ht="15" customHeight="1" x14ac:dyDescent="0.3">
      <c r="A204" s="207" t="s">
        <v>974</v>
      </c>
      <c r="B204" s="208">
        <f>((kwsd.water.wR*kwsd.sed.sdR)/(kwsd.water.wR+kwsd.sed.sdR))/Ksdw2.R*(SYSTEMAREA.R*AREAFRAC.w2R)</f>
        <v>1.0485652442030542</v>
      </c>
      <c r="C204" s="209" t="s">
        <v>2072</v>
      </c>
    </row>
    <row r="205" spans="1:3" ht="15" customHeight="1" x14ac:dyDescent="0.3">
      <c r="A205" s="207" t="s">
        <v>164</v>
      </c>
      <c r="B205" s="208">
        <f>((kwsd.water.wA*kwsd.sed.sdA)/(kwsd.water.wA+kwsd.sed.sdA))/Ksdw.A*(SYSTEMAREA.A*AREAFRAC.wA)</f>
        <v>26738.413727177849</v>
      </c>
      <c r="C205" s="206" t="s">
        <v>2072</v>
      </c>
    </row>
    <row r="206" spans="1:3" ht="15" customHeight="1" x14ac:dyDescent="0.3">
      <c r="A206" s="207" t="s">
        <v>166</v>
      </c>
      <c r="B206" s="208">
        <f>((kwsd.water.wM*kwsd.sed.sdM)/(kwsd.water.wM+kwsd.sed.sdM))/Ksdw.M*(SYSTEMAREA.M*AREAFRAC.wM)</f>
        <v>40669.221649909487</v>
      </c>
      <c r="C206" s="206" t="s">
        <v>2072</v>
      </c>
    </row>
    <row r="207" spans="1:3" ht="15" customHeight="1" x14ac:dyDescent="0.3">
      <c r="A207" s="207" t="s">
        <v>159</v>
      </c>
      <c r="B207" s="208">
        <f>((kwsd.water.wT*kwsd.sed.sdT)/(kwsd.water.wT+kwsd.sed.sdT))/Ksdw.T*(SYSTEMAREA.T*AREAFRAC.wT)</f>
        <v>93584.448045122466</v>
      </c>
      <c r="C207" s="206" t="s">
        <v>2072</v>
      </c>
    </row>
    <row r="208" spans="1:3" ht="15" customHeight="1" x14ac:dyDescent="0.3">
      <c r="A208" s="209" t="s">
        <v>1174</v>
      </c>
      <c r="B208" s="213">
        <f>0.0000257*SQRT(18)/SQRT(Molweight*1000)</f>
        <v>7.2816902647752066E-6</v>
      </c>
      <c r="C208" s="212" t="s">
        <v>2077</v>
      </c>
    </row>
    <row r="209" spans="1:3" ht="15" customHeight="1" x14ac:dyDescent="0.3">
      <c r="A209" s="209" t="s">
        <v>871</v>
      </c>
      <c r="B209" s="213">
        <f>0.000000002*SQRT(32)/SQRT(Molweight*1000)</f>
        <v>7.5555800412712927E-10</v>
      </c>
      <c r="C209" s="212" t="s">
        <v>2077</v>
      </c>
    </row>
    <row r="210" spans="1:3" ht="15" customHeight="1" x14ac:dyDescent="0.3">
      <c r="A210" s="210" t="s">
        <v>413</v>
      </c>
      <c r="B210" s="208">
        <f>AEROSOLdeprate.A*(FRaerw.aA+FRaers.aA)</f>
        <v>3.5634652873814484E-5</v>
      </c>
      <c r="C210" s="211" t="s">
        <v>2073</v>
      </c>
    </row>
    <row r="211" spans="1:3" ht="15" customHeight="1" x14ac:dyDescent="0.3">
      <c r="A211" s="210" t="s">
        <v>459</v>
      </c>
      <c r="B211" s="208">
        <f>AEROSOLdeprate.C*(FRaerw.aC+FRaers.aC)</f>
        <v>2.3927106760405139E-5</v>
      </c>
      <c r="C211" s="212" t="s">
        <v>2073</v>
      </c>
    </row>
    <row r="212" spans="1:3" ht="15" customHeight="1" x14ac:dyDescent="0.3">
      <c r="A212" s="210" t="s">
        <v>959</v>
      </c>
      <c r="B212" s="208">
        <f>AEROSOLdeprate.M*(FRaerw.aM+FRaers.aM)</f>
        <v>2.3927106760405139E-5</v>
      </c>
      <c r="C212" s="211" t="s">
        <v>2073</v>
      </c>
    </row>
    <row r="213" spans="1:3" ht="15" customHeight="1" x14ac:dyDescent="0.3">
      <c r="A213" s="210" t="s">
        <v>120</v>
      </c>
      <c r="B213" s="208">
        <f>AEROSOLdeprate.R*(FRaerw.aR+FRaers.aR)</f>
        <v>2.3927106760405139E-5</v>
      </c>
      <c r="C213" s="212" t="s">
        <v>2073</v>
      </c>
    </row>
    <row r="214" spans="1:3" ht="15" customHeight="1" x14ac:dyDescent="0.3">
      <c r="A214" s="210" t="s">
        <v>953</v>
      </c>
      <c r="B214" s="208">
        <f>AEROSOLdeprate.T*(FRaerw.aT+FRaers.aT)</f>
        <v>2.3603611454823871E-5</v>
      </c>
      <c r="C214" s="211" t="s">
        <v>2073</v>
      </c>
    </row>
    <row r="215" spans="1:3" ht="15" customHeight="1" x14ac:dyDescent="0.3">
      <c r="A215" s="207" t="s">
        <v>969</v>
      </c>
      <c r="B215" s="213">
        <v>6000</v>
      </c>
      <c r="C215" s="209" t="s">
        <v>2116</v>
      </c>
    </row>
    <row r="216" spans="1:3" ht="15" customHeight="1" x14ac:dyDescent="0.3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3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3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3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3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3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3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3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3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3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3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3">
      <c r="A227" s="206" t="s">
        <v>1234</v>
      </c>
      <c r="B227" s="213">
        <v>0</v>
      </c>
      <c r="C227" s="206" t="s">
        <v>486</v>
      </c>
    </row>
    <row r="228" spans="1:3" ht="15" customHeight="1" x14ac:dyDescent="0.3">
      <c r="A228" s="206" t="s">
        <v>5</v>
      </c>
      <c r="B228" s="213">
        <v>0</v>
      </c>
      <c r="C228" s="206" t="s">
        <v>486</v>
      </c>
    </row>
    <row r="229" spans="1:3" ht="15" customHeight="1" x14ac:dyDescent="0.3">
      <c r="A229" s="210" t="s">
        <v>43</v>
      </c>
      <c r="B229" s="208">
        <v>0.2</v>
      </c>
      <c r="C229" s="206" t="s">
        <v>722</v>
      </c>
    </row>
    <row r="230" spans="1:3" ht="15" customHeight="1" x14ac:dyDescent="0.3">
      <c r="A230" s="210" t="s">
        <v>892</v>
      </c>
      <c r="B230" s="208">
        <v>0.2</v>
      </c>
      <c r="C230" s="209" t="s">
        <v>722</v>
      </c>
    </row>
    <row r="231" spans="1:3" ht="15" customHeight="1" x14ac:dyDescent="0.3">
      <c r="A231" s="210" t="s">
        <v>443</v>
      </c>
      <c r="B231" s="208">
        <v>0.2</v>
      </c>
      <c r="C231" s="206" t="s">
        <v>722</v>
      </c>
    </row>
    <row r="232" spans="1:3" ht="15" customHeight="1" x14ac:dyDescent="0.3">
      <c r="A232" s="210" t="s">
        <v>7</v>
      </c>
      <c r="B232" s="208">
        <v>0.2</v>
      </c>
      <c r="C232" s="209" t="s">
        <v>722</v>
      </c>
    </row>
    <row r="233" spans="1:3" ht="15" customHeight="1" x14ac:dyDescent="0.3">
      <c r="A233" s="210" t="s">
        <v>38</v>
      </c>
      <c r="B233" s="208">
        <v>0.2</v>
      </c>
      <c r="C233" s="206" t="s">
        <v>722</v>
      </c>
    </row>
    <row r="234" spans="1:3" ht="15" customHeight="1" x14ac:dyDescent="0.3">
      <c r="A234" s="210" t="s">
        <v>8</v>
      </c>
      <c r="B234" s="208">
        <v>0.2</v>
      </c>
      <c r="C234" s="209" t="s">
        <v>722</v>
      </c>
    </row>
    <row r="235" spans="1:3" ht="15" customHeight="1" x14ac:dyDescent="0.3">
      <c r="A235" s="210" t="s">
        <v>474</v>
      </c>
      <c r="B235" s="208">
        <v>0.2</v>
      </c>
      <c r="C235" s="209" t="s">
        <v>722</v>
      </c>
    </row>
    <row r="236" spans="1:3" ht="15" customHeight="1" x14ac:dyDescent="0.3">
      <c r="A236" s="210" t="s">
        <v>659</v>
      </c>
      <c r="B236" s="208">
        <v>0.2</v>
      </c>
      <c r="C236" s="209" t="s">
        <v>722</v>
      </c>
    </row>
    <row r="237" spans="1:3" ht="15" customHeight="1" x14ac:dyDescent="0.3">
      <c r="A237" s="210" t="s">
        <v>1081</v>
      </c>
      <c r="B237" s="213">
        <v>0.2</v>
      </c>
      <c r="C237" s="209" t="s">
        <v>722</v>
      </c>
    </row>
    <row r="238" spans="1:3" ht="15" customHeight="1" x14ac:dyDescent="0.3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3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3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3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3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3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3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3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3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3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3">
      <c r="A248" s="206" t="s">
        <v>1340</v>
      </c>
      <c r="B248" s="213">
        <v>0.6</v>
      </c>
      <c r="C248" s="206" t="s">
        <v>486</v>
      </c>
    </row>
    <row r="249" spans="1:3" ht="15" customHeight="1" x14ac:dyDescent="0.3">
      <c r="A249" s="206" t="s">
        <v>1416</v>
      </c>
      <c r="B249" s="213">
        <v>0.6</v>
      </c>
      <c r="C249" s="206" t="s">
        <v>486</v>
      </c>
    </row>
    <row r="250" spans="1:3" ht="15" customHeight="1" x14ac:dyDescent="0.3">
      <c r="A250" s="206" t="s">
        <v>1422</v>
      </c>
      <c r="B250" s="213">
        <v>2.75E-2</v>
      </c>
      <c r="C250" s="206" t="s">
        <v>486</v>
      </c>
    </row>
    <row r="251" spans="1:3" ht="15" customHeight="1" x14ac:dyDescent="0.3">
      <c r="A251" s="206" t="s">
        <v>681</v>
      </c>
      <c r="B251" s="213">
        <v>2.75E-2</v>
      </c>
      <c r="C251" s="206" t="s">
        <v>486</v>
      </c>
    </row>
    <row r="252" spans="1:3" ht="15" customHeight="1" x14ac:dyDescent="0.3">
      <c r="A252" s="206" t="s">
        <v>1343</v>
      </c>
      <c r="B252" s="213">
        <v>0.25</v>
      </c>
      <c r="C252" s="206" t="s">
        <v>486</v>
      </c>
    </row>
    <row r="253" spans="1:3" ht="15" customHeight="1" x14ac:dyDescent="0.3">
      <c r="A253" s="206" t="s">
        <v>1419</v>
      </c>
      <c r="B253" s="213">
        <v>0.25</v>
      </c>
      <c r="C253" s="206" t="s">
        <v>486</v>
      </c>
    </row>
    <row r="254" spans="1:3" ht="15" customHeight="1" x14ac:dyDescent="0.3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3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3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3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3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3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3">
      <c r="A260" s="210" t="s">
        <v>877</v>
      </c>
      <c r="B260" s="208">
        <v>0.25</v>
      </c>
      <c r="C260" s="209" t="s">
        <v>36</v>
      </c>
    </row>
    <row r="261" spans="1:3" ht="15" customHeight="1" x14ac:dyDescent="0.3">
      <c r="A261" s="210" t="s">
        <v>272</v>
      </c>
      <c r="B261" s="208">
        <v>0.25</v>
      </c>
      <c r="C261" s="209" t="s">
        <v>36</v>
      </c>
    </row>
    <row r="262" spans="1:3" ht="15" customHeight="1" x14ac:dyDescent="0.3">
      <c r="A262" s="210" t="s">
        <v>1393</v>
      </c>
      <c r="B262" s="213">
        <v>0.25</v>
      </c>
      <c r="C262" s="209" t="s">
        <v>36</v>
      </c>
    </row>
    <row r="263" spans="1:3" ht="15" customHeight="1" x14ac:dyDescent="0.3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3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3">
      <c r="A265" s="206" t="s">
        <v>1423</v>
      </c>
      <c r="B265" s="213">
        <v>0.27</v>
      </c>
      <c r="C265" s="206" t="s">
        <v>486</v>
      </c>
    </row>
    <row r="266" spans="1:3" ht="15" customHeight="1" x14ac:dyDescent="0.3">
      <c r="A266" s="206" t="s">
        <v>682</v>
      </c>
      <c r="B266" s="213">
        <v>0.27</v>
      </c>
      <c r="C266" s="206" t="s">
        <v>486</v>
      </c>
    </row>
    <row r="267" spans="1:3" ht="15" customHeight="1" x14ac:dyDescent="0.3">
      <c r="A267" s="206" t="s">
        <v>1341</v>
      </c>
      <c r="B267" s="213">
        <v>0.1</v>
      </c>
      <c r="C267" s="206" t="s">
        <v>486</v>
      </c>
    </row>
    <row r="268" spans="1:3" ht="15" customHeight="1" x14ac:dyDescent="0.3">
      <c r="A268" s="206" t="s">
        <v>1417</v>
      </c>
      <c r="B268" s="213">
        <v>0.1</v>
      </c>
      <c r="C268" s="206" t="s">
        <v>486</v>
      </c>
    </row>
    <row r="269" spans="1:3" ht="15" customHeight="1" x14ac:dyDescent="0.3">
      <c r="A269" s="206" t="s">
        <v>1344</v>
      </c>
      <c r="B269" s="213">
        <v>0.25</v>
      </c>
      <c r="C269" s="206" t="s">
        <v>486</v>
      </c>
    </row>
    <row r="270" spans="1:3" ht="15" customHeight="1" x14ac:dyDescent="0.3">
      <c r="A270" s="206" t="s">
        <v>1420</v>
      </c>
      <c r="B270" s="213">
        <v>0.25</v>
      </c>
      <c r="C270" s="206" t="s">
        <v>486</v>
      </c>
    </row>
    <row r="271" spans="1:3" ht="15" customHeight="1" x14ac:dyDescent="0.3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3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3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3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3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3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3">
      <c r="A277" s="210" t="s">
        <v>670</v>
      </c>
      <c r="B277" s="208">
        <v>0.25</v>
      </c>
      <c r="C277" s="209" t="s">
        <v>36</v>
      </c>
    </row>
    <row r="278" spans="1:3" ht="15" customHeight="1" x14ac:dyDescent="0.3">
      <c r="A278" s="210" t="s">
        <v>191</v>
      </c>
      <c r="B278" s="208">
        <v>0.25</v>
      </c>
      <c r="C278" s="209" t="s">
        <v>36</v>
      </c>
    </row>
    <row r="279" spans="1:3" ht="15" customHeight="1" x14ac:dyDescent="0.3">
      <c r="A279" s="210" t="s">
        <v>51</v>
      </c>
      <c r="B279" s="213">
        <v>0.25</v>
      </c>
      <c r="C279" s="209" t="s">
        <v>36</v>
      </c>
    </row>
    <row r="280" spans="1:3" ht="15" customHeight="1" x14ac:dyDescent="0.3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3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3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3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3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3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3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3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3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3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3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3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3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3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3">
      <c r="A294" s="210" t="s">
        <v>441</v>
      </c>
      <c r="B294" s="208">
        <v>0.2</v>
      </c>
      <c r="C294" s="206" t="s">
        <v>722</v>
      </c>
    </row>
    <row r="295" spans="1:3" ht="15" customHeight="1" x14ac:dyDescent="0.3">
      <c r="A295" s="210" t="s">
        <v>9</v>
      </c>
      <c r="B295" s="208">
        <v>0.2</v>
      </c>
      <c r="C295" s="209" t="s">
        <v>722</v>
      </c>
    </row>
    <row r="296" spans="1:3" ht="15" customHeight="1" x14ac:dyDescent="0.3">
      <c r="A296" s="210" t="s">
        <v>198</v>
      </c>
      <c r="B296" s="208">
        <v>0.2</v>
      </c>
      <c r="C296" s="206" t="s">
        <v>722</v>
      </c>
    </row>
    <row r="297" spans="1:3" ht="15" customHeight="1" x14ac:dyDescent="0.3">
      <c r="A297" s="210" t="s">
        <v>10</v>
      </c>
      <c r="B297" s="208">
        <v>0.2</v>
      </c>
      <c r="C297" s="209" t="s">
        <v>722</v>
      </c>
    </row>
    <row r="298" spans="1:3" ht="15" customHeight="1" x14ac:dyDescent="0.3">
      <c r="A298" s="210" t="s">
        <v>39</v>
      </c>
      <c r="B298" s="208">
        <v>0.2</v>
      </c>
      <c r="C298" s="206" t="s">
        <v>722</v>
      </c>
    </row>
    <row r="299" spans="1:3" ht="15" customHeight="1" x14ac:dyDescent="0.3">
      <c r="A299" s="210" t="s">
        <v>11</v>
      </c>
      <c r="B299" s="208">
        <v>0.2</v>
      </c>
      <c r="C299" s="209" t="s">
        <v>722</v>
      </c>
    </row>
    <row r="300" spans="1:3" ht="15" customHeight="1" x14ac:dyDescent="0.3">
      <c r="A300" s="210" t="s">
        <v>1304</v>
      </c>
      <c r="B300" s="208">
        <v>0.2</v>
      </c>
      <c r="C300" s="209" t="s">
        <v>722</v>
      </c>
    </row>
    <row r="301" spans="1:3" ht="15" customHeight="1" x14ac:dyDescent="0.3">
      <c r="A301" s="210" t="s">
        <v>1306</v>
      </c>
      <c r="B301" s="208">
        <v>0.8</v>
      </c>
      <c r="C301" s="209" t="s">
        <v>722</v>
      </c>
    </row>
    <row r="302" spans="1:3" ht="15" customHeight="1" x14ac:dyDescent="0.3">
      <c r="A302" s="210" t="s">
        <v>41</v>
      </c>
      <c r="B302" s="208">
        <v>0.8</v>
      </c>
      <c r="C302" s="206" t="s">
        <v>722</v>
      </c>
    </row>
    <row r="303" spans="1:3" ht="15" customHeight="1" x14ac:dyDescent="0.3">
      <c r="A303" s="210" t="s">
        <v>592</v>
      </c>
      <c r="B303" s="208">
        <v>0.8</v>
      </c>
      <c r="C303" s="209" t="s">
        <v>722</v>
      </c>
    </row>
    <row r="304" spans="1:3" ht="15" customHeight="1" x14ac:dyDescent="0.3">
      <c r="A304" s="210" t="s">
        <v>893</v>
      </c>
      <c r="B304" s="208">
        <v>0.8</v>
      </c>
      <c r="C304" s="209" t="s">
        <v>722</v>
      </c>
    </row>
    <row r="305" spans="1:3" ht="15" customHeight="1" x14ac:dyDescent="0.3">
      <c r="A305" s="210" t="s">
        <v>1078</v>
      </c>
      <c r="B305" s="213">
        <v>0.8</v>
      </c>
      <c r="C305" s="209" t="s">
        <v>722</v>
      </c>
    </row>
    <row r="306" spans="1:3" ht="15" customHeight="1" x14ac:dyDescent="0.3">
      <c r="A306" s="210" t="s">
        <v>590</v>
      </c>
      <c r="B306" s="208">
        <v>0.2</v>
      </c>
      <c r="C306" s="209" t="s">
        <v>722</v>
      </c>
    </row>
    <row r="307" spans="1:3" ht="15" customHeight="1" x14ac:dyDescent="0.3">
      <c r="A307" s="210" t="s">
        <v>1079</v>
      </c>
      <c r="B307" s="213">
        <v>0.2</v>
      </c>
      <c r="C307" s="209" t="s">
        <v>722</v>
      </c>
    </row>
    <row r="308" spans="1:3" ht="15" customHeight="1" x14ac:dyDescent="0.3">
      <c r="A308" s="206" t="s">
        <v>640</v>
      </c>
      <c r="B308" s="396" t="s">
        <v>2186</v>
      </c>
      <c r="C308" s="206" t="s">
        <v>36</v>
      </c>
    </row>
    <row r="309" spans="1:3" ht="15" customHeight="1" x14ac:dyDescent="0.3">
      <c r="A309" s="206" t="s">
        <v>625</v>
      </c>
      <c r="B309" s="396" t="s">
        <v>2187</v>
      </c>
      <c r="C309" s="206" t="s">
        <v>36</v>
      </c>
    </row>
    <row r="310" spans="1:3" ht="15" customHeight="1" x14ac:dyDescent="0.3">
      <c r="A310" s="206" t="s">
        <v>635</v>
      </c>
      <c r="B310" s="396" t="s">
        <v>2188</v>
      </c>
      <c r="C310" s="206" t="s">
        <v>36</v>
      </c>
    </row>
    <row r="311" spans="1:3" ht="15" customHeight="1" x14ac:dyDescent="0.3">
      <c r="A311" s="206" t="s">
        <v>610</v>
      </c>
      <c r="B311" s="396" t="s">
        <v>2189</v>
      </c>
      <c r="C311" s="206" t="s">
        <v>36</v>
      </c>
    </row>
    <row r="312" spans="1:3" ht="15" customHeight="1" x14ac:dyDescent="0.3">
      <c r="A312" s="206" t="s">
        <v>630</v>
      </c>
      <c r="B312" s="396" t="s">
        <v>2190</v>
      </c>
      <c r="C312" s="206" t="s">
        <v>36</v>
      </c>
    </row>
    <row r="313" spans="1:3" ht="15" customHeight="1" x14ac:dyDescent="0.3">
      <c r="A313" s="206" t="s">
        <v>639</v>
      </c>
      <c r="B313" s="397">
        <f>FRACaerw.aA*Kaerw.aA/(1+FRACaerw.aA*Kaerw.aA+FRACaers.aA*Kaers.aA)</f>
        <v>1.2386888961088596E-2</v>
      </c>
      <c r="C313" s="206" t="s">
        <v>36</v>
      </c>
    </row>
    <row r="314" spans="1:3" ht="15" customHeight="1" x14ac:dyDescent="0.3">
      <c r="A314" s="206" t="s">
        <v>624</v>
      </c>
      <c r="B314" s="397">
        <f>FRACaerw.aC*Kaerw.aC/(1+FRACaerw.aC*Kaerw.aC+FRACaers.aC*Kaers.aC)</f>
        <v>3.9711135849005027E-4</v>
      </c>
      <c r="C314" s="206" t="s">
        <v>36</v>
      </c>
    </row>
    <row r="315" spans="1:3" ht="15" customHeight="1" x14ac:dyDescent="0.3">
      <c r="A315" s="206" t="s">
        <v>634</v>
      </c>
      <c r="B315" s="397">
        <f>FRACaerw.aM*Kaerw.aM/(1+FRACaerw.aM*Kaerw.aM+FRACaers.aM*Kaers.aM)</f>
        <v>3.9711135849005027E-4</v>
      </c>
      <c r="C315" s="206" t="s">
        <v>36</v>
      </c>
    </row>
    <row r="316" spans="1:3" ht="15" customHeight="1" x14ac:dyDescent="0.3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3">
      <c r="A317" s="206" t="s">
        <v>629</v>
      </c>
      <c r="B317" s="397">
        <f>FRACaerw.aT*Kaerw.aT/(1+FRACaerw.aT*Kaerw.aT+FRACaers.aT*Kaers.aT)</f>
        <v>6.581761581910175E-5</v>
      </c>
      <c r="C317" s="206" t="s">
        <v>36</v>
      </c>
    </row>
    <row r="318" spans="1:3" ht="15" customHeight="1" x14ac:dyDescent="0.3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3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3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3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3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3">
      <c r="A323" s="209" t="s">
        <v>2044</v>
      </c>
      <c r="B323" s="397">
        <f>1-FRaerw.aA-FRaers.aA</f>
        <v>0.96436534712618549</v>
      </c>
      <c r="C323" s="209" t="s">
        <v>36</v>
      </c>
    </row>
    <row r="324" spans="1:3" ht="15" customHeight="1" x14ac:dyDescent="0.3">
      <c r="A324" s="209" t="s">
        <v>2021</v>
      </c>
      <c r="B324" s="397">
        <f>1-FRaerw.aC-FRaers.aC</f>
        <v>0.97607289323959479</v>
      </c>
      <c r="C324" s="209" t="s">
        <v>36</v>
      </c>
    </row>
    <row r="325" spans="1:3" ht="15" customHeight="1" x14ac:dyDescent="0.3">
      <c r="A325" s="209" t="s">
        <v>2036</v>
      </c>
      <c r="B325" s="397">
        <f>1-FRaerw.aM-FRaers.aM</f>
        <v>0.97607289323959479</v>
      </c>
      <c r="C325" s="209" t="s">
        <v>36</v>
      </c>
    </row>
    <row r="326" spans="1:3" ht="15" customHeight="1" x14ac:dyDescent="0.3">
      <c r="A326" s="206" t="s">
        <v>2018</v>
      </c>
      <c r="B326" s="397">
        <f>1-FRaerw.aR-FRaers.aR</f>
        <v>0.97607289323959479</v>
      </c>
      <c r="C326" s="206" t="s">
        <v>36</v>
      </c>
    </row>
    <row r="327" spans="1:3" ht="15" customHeight="1" x14ac:dyDescent="0.3">
      <c r="A327" s="209" t="s">
        <v>2048</v>
      </c>
      <c r="B327" s="397">
        <f>1-FRaerw.aT-FRaers.aT</f>
        <v>0.97639638854517607</v>
      </c>
      <c r="C327" s="209" t="s">
        <v>36</v>
      </c>
    </row>
    <row r="328" spans="1:3" ht="15" customHeight="1" x14ac:dyDescent="0.3">
      <c r="A328" s="209" t="s">
        <v>622</v>
      </c>
      <c r="B328" s="208">
        <f>IF(ChemClass="Acid",1/(1+10^(pH.aerw-pKa)),IF(ChemClass="Base",1/(1+10^(pKa-pH.aerw)),1))</f>
        <v>0.99999966115595873</v>
      </c>
      <c r="C328" s="209" t="s">
        <v>36</v>
      </c>
    </row>
    <row r="329" spans="1:3" ht="15" customHeight="1" x14ac:dyDescent="0.3">
      <c r="A329" s="394" t="s">
        <v>621</v>
      </c>
      <c r="B329" s="395" t="e">
        <f>IF(ChemClass="Acid",1/(1+10^(pH.cldw-pKa)),IF(ChemClass="Base",1/(1+10^(pKa-pH.cldw)),1))</f>
        <v>#NAME?</v>
      </c>
      <c r="C329" s="394" t="s">
        <v>36</v>
      </c>
    </row>
    <row r="330" spans="1:3" ht="15" customHeight="1" x14ac:dyDescent="0.3">
      <c r="A330" s="209" t="s">
        <v>604</v>
      </c>
      <c r="B330" s="208">
        <f>IF(ChemClass="Acid",1/(1+10^(pH.s1-0.6-pKa)),IF(ChemClass="Base",1/(1+10^(pKa-4.5)),1))</f>
        <v>0.99999148869206089</v>
      </c>
      <c r="C330" s="209" t="s">
        <v>36</v>
      </c>
    </row>
    <row r="331" spans="1:3" ht="15" customHeight="1" x14ac:dyDescent="0.3">
      <c r="A331" s="209" t="s">
        <v>645</v>
      </c>
      <c r="B331" s="208">
        <f>IF(ChemClass="Acid",1/(1+10^(pH.s1-pKa)),IF(ChemClass="Base",1/(1+10^(pKa-pH.s1)),1))</f>
        <v>0.99996611673250069</v>
      </c>
      <c r="C331" s="209" t="s">
        <v>36</v>
      </c>
    </row>
    <row r="332" spans="1:3" ht="15" customHeight="1" x14ac:dyDescent="0.3">
      <c r="A332" s="209" t="s">
        <v>605</v>
      </c>
      <c r="B332" s="208">
        <f>IF(ChemClass="Acid",1/(1+10^(pH.s2-0.6-pKa)),IF(ChemClass="Base",1/(1+10^(pKa-4.5)),1))</f>
        <v>0.99914958578168711</v>
      </c>
      <c r="C332" s="209" t="s">
        <v>36</v>
      </c>
    </row>
    <row r="333" spans="1:3" ht="15" customHeight="1" x14ac:dyDescent="0.3">
      <c r="A333" s="209" t="s">
        <v>646</v>
      </c>
      <c r="B333" s="208">
        <f>IF(ChemClass="Acid",1/(1+10^(pH.s2-pKa)),IF(ChemClass="Base",1/(1+10^(pKa-pH.s2)),1))</f>
        <v>0.9966230012016889</v>
      </c>
      <c r="C333" s="209" t="s">
        <v>36</v>
      </c>
    </row>
    <row r="334" spans="1:3" ht="15" customHeight="1" x14ac:dyDescent="0.3">
      <c r="A334" s="209" t="s">
        <v>606</v>
      </c>
      <c r="B334" s="208">
        <f>IF(ChemClass="Acid",1/(1+10^(pH.s3-0.6-pKa)),IF(ChemClass="Base",1/(1+10^(pKa-4.5)),1))</f>
        <v>0.99914958578168711</v>
      </c>
      <c r="C334" s="209" t="s">
        <v>36</v>
      </c>
    </row>
    <row r="335" spans="1:3" ht="15" customHeight="1" x14ac:dyDescent="0.3">
      <c r="A335" s="209" t="s">
        <v>647</v>
      </c>
      <c r="B335" s="208">
        <f>IF(ChemClass="Acid",1/(1+10^(pH.s3-pKa)),IF(ChemClass="Base",1/(1+10^(pKa-pH.s3)),1))</f>
        <v>0.9966230012016889</v>
      </c>
      <c r="C335" s="209" t="s">
        <v>36</v>
      </c>
    </row>
    <row r="336" spans="1:3" ht="15" customHeight="1" x14ac:dyDescent="0.3">
      <c r="A336" s="209" t="s">
        <v>600</v>
      </c>
      <c r="B336" s="208">
        <f>IF(ChemClass="Acid",1/(1+10^(pH.w1-0.6-pKa)),IF(ChemClass="Base",1/(1+10^(pKa-4.5)),1))</f>
        <v>0.99914958578168711</v>
      </c>
      <c r="C336" s="209" t="s">
        <v>36</v>
      </c>
    </row>
    <row r="337" spans="1:3" ht="15" customHeight="1" x14ac:dyDescent="0.3">
      <c r="A337" s="209" t="s">
        <v>601</v>
      </c>
      <c r="B337" s="208">
        <f>IF(ChemClass="Acid",1/(1+10^(pH.w2-0.6-pKa)),IF(ChemClass="Base",1/(1+10^(pKa-4.5)),1))</f>
        <v>0.99156045182276509</v>
      </c>
      <c r="C337" s="209"/>
    </row>
    <row r="338" spans="1:3" ht="15" customHeight="1" x14ac:dyDescent="0.3">
      <c r="A338" s="209" t="s">
        <v>598</v>
      </c>
      <c r="B338" s="208">
        <f>IF(ChemClass="Acid",1/(1+10^(pH.w1-pKa)),IF(ChemClass="Base",1/(1+10^(pKa-pH.w1)),1))</f>
        <v>0.9966230012016889</v>
      </c>
      <c r="C338" s="209" t="s">
        <v>36</v>
      </c>
    </row>
    <row r="339" spans="1:3" ht="15" customHeight="1" x14ac:dyDescent="0.3">
      <c r="A339" s="209" t="s">
        <v>599</v>
      </c>
      <c r="B339" s="208">
        <f>IF(ChemClass="Acid",1/(1+10^(pH.w2-pKa)),IF(ChemClass="Base",1/(1+10^(pKa-pH.w2)),1))</f>
        <v>0.96722610854541258</v>
      </c>
      <c r="C339" s="209" t="s">
        <v>36</v>
      </c>
    </row>
    <row r="340" spans="1:3" ht="15" customHeight="1" x14ac:dyDescent="0.3">
      <c r="A340" s="210" t="s">
        <v>1031</v>
      </c>
      <c r="B340" s="208">
        <f>FRACs.s1C / (FRACa.s1C*Kaw.C*FRorig.s1w/(Kp.s1C*RHOsolid/1000)+FRACw.s1C /(Kp.s1C*RHOsolid/1000)+FRACs.s1C )</f>
        <v>0.99353903943270516</v>
      </c>
      <c r="C340" s="209" t="s">
        <v>36</v>
      </c>
    </row>
    <row r="341" spans="1:3" ht="15" customHeight="1" x14ac:dyDescent="0.3">
      <c r="A341" s="210" t="s">
        <v>1029</v>
      </c>
      <c r="B341" s="215">
        <f>FRACs.s1R / (FRACa.s1R*Kaw.R*FRorig.s1w/(Kp.s1R*RHOsolid/1000)+FRACw.s1R /(Kp.s1R*RHOsolid/1000)+FRACs.s1R )</f>
        <v>0.99353903943270516</v>
      </c>
      <c r="C341" s="209" t="s">
        <v>36</v>
      </c>
    </row>
    <row r="342" spans="1:3" ht="15" customHeight="1" x14ac:dyDescent="0.3">
      <c r="A342" s="210" t="s">
        <v>1032</v>
      </c>
      <c r="B342" s="208">
        <f>FRACs.s2C / (FRACa.s2C*Kaw.C*FRorig.s2w/(Kp.s2C*RHOsolid/1000)+FRACw.s2C /(Kp.s2C*RHOsolid/1000)+FRACs.s2C )</f>
        <v>0.99353407703352459</v>
      </c>
      <c r="C342" s="209" t="s">
        <v>36</v>
      </c>
    </row>
    <row r="343" spans="1:3" ht="15" customHeight="1" x14ac:dyDescent="0.3">
      <c r="A343" s="210" t="s">
        <v>1030</v>
      </c>
      <c r="B343" s="215">
        <f>FRACs.s2R / (FRACa.s2R*Kaw.R*FRorig.s2w/(Kp.s2R*RHOsolid/1000)+FRACw.s2R /(Kp.s2R*RHOsolid/1000)+FRACs.s2R )</f>
        <v>0.99353407703352459</v>
      </c>
      <c r="C343" s="209" t="s">
        <v>36</v>
      </c>
    </row>
    <row r="344" spans="1:3" ht="15" customHeight="1" x14ac:dyDescent="0.3">
      <c r="A344" s="210" t="s">
        <v>1033</v>
      </c>
      <c r="B344" s="208">
        <f>FRACs.s3C / (FRACa.s3C*Kaw.C*FRorig.s3w/(Kp.s3C*RHOsolid/1000)+FRACw.s3C /(Kp.s3C*RHOsolid/1000)+FRACs.s3C )</f>
        <v>0.99353407703352459</v>
      </c>
      <c r="C344" s="209" t="s">
        <v>36</v>
      </c>
    </row>
    <row r="345" spans="1:3" ht="15" customHeight="1" x14ac:dyDescent="0.3">
      <c r="A345" s="210" t="s">
        <v>1107</v>
      </c>
      <c r="B345" s="215">
        <f>FRACs.s3R / (FRACa.s3R*Kaw.R*FRorig.s3w/(Kp.s3R*RHOsolid/1000)+FRACw.s3R /(Kp.s3R*RHOsolid/1000)+FRACs.s3R )</f>
        <v>0.99353407703352459</v>
      </c>
      <c r="C345" s="209" t="s">
        <v>36</v>
      </c>
    </row>
    <row r="346" spans="1:3" ht="15" customHeight="1" x14ac:dyDescent="0.3">
      <c r="A346" s="210" t="s">
        <v>1303</v>
      </c>
      <c r="B346" s="208">
        <f>FRACs.sA/ (FRACa.sA*Kaw.A*FRorig.s1w/(Kp.sA*RHOsolid/1000)+FRACw.sA/(Kp.sA*RHOsolid/1000)+FRACs.sA )</f>
        <v>0.99353903973825985</v>
      </c>
      <c r="C346" s="209" t="s">
        <v>36</v>
      </c>
    </row>
    <row r="347" spans="1:3" ht="15" customHeight="1" x14ac:dyDescent="0.3">
      <c r="A347" s="210" t="s">
        <v>44</v>
      </c>
      <c r="B347" s="208">
        <f>FRACs.sM / (FRACa.sM*Kaw.M*FRorig.s1w/(Kp.sM*RHOsolid/1000)+FRACw.sM/(Kp.sM*RHOsolid/1000)+FRACs.sM )</f>
        <v>0.99353903943270516</v>
      </c>
      <c r="C347" s="209" t="s">
        <v>36</v>
      </c>
    </row>
    <row r="348" spans="1:3" ht="15" customHeight="1" x14ac:dyDescent="0.3">
      <c r="A348" s="210" t="s">
        <v>477</v>
      </c>
      <c r="B348" s="208">
        <f>FRACs.sT/ (FRACa.sT*Kaw.T*FRorig.s1w/(Kp.sT*RHOsolid/1000)+FRACw.sT/(Kp.sT*RHOsolid/1000)+FRACs.sT )</f>
        <v>0.99353903784375253</v>
      </c>
      <c r="C348" s="209" t="s">
        <v>36</v>
      </c>
    </row>
    <row r="349" spans="1:3" ht="15" customHeight="1" x14ac:dyDescent="0.3">
      <c r="A349" s="210" t="s">
        <v>577</v>
      </c>
      <c r="B349" s="208">
        <f>FRACw.s1C/(FRACa.s1C*(Kaw.C*FRorig.s1w)+FRACw.s1C+FRACs.s1C*Kp.s1C*RHOsolid/1000)</f>
        <v>6.4609602496933077E-3</v>
      </c>
      <c r="C349" s="209" t="s">
        <v>36</v>
      </c>
    </row>
    <row r="350" spans="1:3" ht="15" customHeight="1" x14ac:dyDescent="0.3">
      <c r="A350" s="210" t="s">
        <v>1025</v>
      </c>
      <c r="B350" s="215">
        <f>FRACw.s1R/(FRACa.s1R*(Kaw.R*FRorig.s1w)+FRACw.s1R+FRACs.s1R*Kp.s1R*RHOsolid/1000)</f>
        <v>6.4609602496933077E-3</v>
      </c>
      <c r="C350" s="209" t="s">
        <v>36</v>
      </c>
    </row>
    <row r="351" spans="1:3" ht="15" customHeight="1" x14ac:dyDescent="0.3">
      <c r="A351" s="210" t="s">
        <v>578</v>
      </c>
      <c r="B351" s="208">
        <f>FRACw.s2C/(FRACa.s2C*(Kaw.C*FRorig.s2w)+FRACw.s2C+FRACs.s2C*Kp.s2C*RHOsolid/1000)</f>
        <v>6.4659226496925713E-3</v>
      </c>
      <c r="C351" s="209" t="s">
        <v>36</v>
      </c>
    </row>
    <row r="352" spans="1:3" ht="15" customHeight="1" x14ac:dyDescent="0.3">
      <c r="A352" s="210" t="s">
        <v>1026</v>
      </c>
      <c r="B352" s="215">
        <f>FRACw.s2R/(FRACa.s2R*(Kaw.R*FRorig.s2w)+FRACw.s2R+FRACs.s2R*Kp.s2R*RHOsolid/1000)</f>
        <v>6.4659226496925713E-3</v>
      </c>
      <c r="C352" s="209" t="s">
        <v>36</v>
      </c>
    </row>
    <row r="353" spans="1:3" ht="15" customHeight="1" x14ac:dyDescent="0.3">
      <c r="A353" s="210" t="s">
        <v>579</v>
      </c>
      <c r="B353" s="208">
        <f>FRACw.s3C/(FRACa.s3C*(Kaw.C*FRorig.s3w)+FRACw.s3C+FRACs.s3C*Kp.s3C*RHOsolid/1000)</f>
        <v>6.4659226496925713E-3</v>
      </c>
      <c r="C353" s="209" t="s">
        <v>36</v>
      </c>
    </row>
    <row r="354" spans="1:3" ht="15" customHeight="1" x14ac:dyDescent="0.3">
      <c r="A354" s="210" t="s">
        <v>1027</v>
      </c>
      <c r="B354" s="215">
        <f>FRACw.s3R/(FRACa.s3R*(Kaw.R*FRorig.s3w)+FRACw.s3R+FRACs.s3R*Kp.s3R*RHOsolid/1000)</f>
        <v>6.4659226496925713E-3</v>
      </c>
      <c r="C354" s="209" t="s">
        <v>36</v>
      </c>
    </row>
    <row r="355" spans="1:3" ht="15" customHeight="1" x14ac:dyDescent="0.3">
      <c r="A355" s="210" t="s">
        <v>1302</v>
      </c>
      <c r="B355" s="208">
        <f>FRACw.sA/(FRACa.sA*(Kaw.A*FRorig.s1w)+FRACw.sA+FRACs.sA*Kp.sA*RHOsolid/1000)</f>
        <v>6.4609602516803215E-3</v>
      </c>
      <c r="C355" s="209" t="s">
        <v>36</v>
      </c>
    </row>
    <row r="356" spans="1:3" ht="15" customHeight="1" x14ac:dyDescent="0.3">
      <c r="A356" s="210" t="s">
        <v>589</v>
      </c>
      <c r="B356" s="208">
        <f>FRACw.sM/(FRACa.sM*(Kaw.M*FRorig.s1w)+FRACw.sM+FRACs.sM*Kp.sM*RHOsolid/1000)</f>
        <v>6.4609602496933077E-3</v>
      </c>
      <c r="C356" s="209" t="s">
        <v>36</v>
      </c>
    </row>
    <row r="357" spans="1:3" ht="15" customHeight="1" x14ac:dyDescent="0.3">
      <c r="A357" s="210" t="s">
        <v>478</v>
      </c>
      <c r="B357" s="208">
        <f>FRACw.sT/(FRACa.sT*(Kaw.T*FRorig.s1w)+FRACw.sT+FRACs.sT*Kp.sT*RHOsolid/1000)</f>
        <v>6.4609602393603874E-3</v>
      </c>
      <c r="C357" s="209" t="s">
        <v>36</v>
      </c>
    </row>
    <row r="358" spans="1:3" ht="15" customHeight="1" x14ac:dyDescent="0.3">
      <c r="A358" s="210" t="s">
        <v>342</v>
      </c>
      <c r="B358" s="215">
        <f>1/(1+Kp.susp0C*SUSP.w0C/1000+Kp.col0C*COL.w0C/1000)</f>
        <v>0.99968498850414056</v>
      </c>
      <c r="C358" s="209" t="s">
        <v>36</v>
      </c>
    </row>
    <row r="359" spans="1:3" ht="15" customHeight="1" x14ac:dyDescent="0.3">
      <c r="A359" s="210" t="s">
        <v>292</v>
      </c>
      <c r="B359" s="215">
        <f>1/(1+Kp.susp0R*SUSP.w0R/1000+Kp.col0R*COL.w0R/1000)</f>
        <v>0.99968498850414056</v>
      </c>
      <c r="C359" s="209" t="s">
        <v>36</v>
      </c>
    </row>
    <row r="360" spans="1:3" ht="15" customHeight="1" x14ac:dyDescent="0.3">
      <c r="A360" s="210" t="s">
        <v>572</v>
      </c>
      <c r="B360" s="215">
        <f>1/(1+Kp.susp1C*SUSP.w1C/1000+Kp.col1C*COL.w1C/1000)</f>
        <v>0.99820620799108495</v>
      </c>
      <c r="C360" s="209" t="s">
        <v>36</v>
      </c>
    </row>
    <row r="361" spans="1:3" ht="15" customHeight="1" x14ac:dyDescent="0.3">
      <c r="A361" s="210" t="s">
        <v>538</v>
      </c>
      <c r="B361" s="215">
        <f>1/(1+Kp.susp1R*SUSP.w1R/1000+Kp.col1R*COL.w1R/1000)</f>
        <v>0.99820620799108495</v>
      </c>
      <c r="C361" s="209" t="s">
        <v>36</v>
      </c>
    </row>
    <row r="362" spans="1:3" ht="15" customHeight="1" x14ac:dyDescent="0.3">
      <c r="A362" s="207" t="s">
        <v>1147</v>
      </c>
      <c r="B362" s="208">
        <f>1/(1+Kp.susp2A*SUSP.w2A/1000+Kp.col2A*COL.w2A/1000)</f>
        <v>0.99923939228777903</v>
      </c>
      <c r="C362" s="209" t="s">
        <v>36</v>
      </c>
    </row>
    <row r="363" spans="1:3" ht="15" customHeight="1" x14ac:dyDescent="0.3">
      <c r="A363" s="210" t="s">
        <v>573</v>
      </c>
      <c r="B363" s="215">
        <f>1/(1+Kp.susp2C*SUSP.w2C/1000+Kp.col2C*COL.w2C/1000)</f>
        <v>0.99923939228777903</v>
      </c>
      <c r="C363" s="209" t="s">
        <v>36</v>
      </c>
    </row>
    <row r="364" spans="1:3" ht="15" customHeight="1" x14ac:dyDescent="0.3">
      <c r="A364" s="207" t="s">
        <v>134</v>
      </c>
      <c r="B364" s="208">
        <f>1/(1+Kp.susp2M*SUSP.w2M/1000+Kp.col2M*COL.w2M/1000)</f>
        <v>0.99923939228777903</v>
      </c>
      <c r="C364" s="209" t="s">
        <v>36</v>
      </c>
    </row>
    <row r="365" spans="1:3" ht="15" customHeight="1" x14ac:dyDescent="0.3">
      <c r="A365" s="210" t="s">
        <v>539</v>
      </c>
      <c r="B365" s="208">
        <f>1/(1+Kp.susp2R*SUSP.w2R/1000+Kp.col2R*COL.w2R/1000)</f>
        <v>0.99923939228777903</v>
      </c>
      <c r="C365" s="209" t="s">
        <v>36</v>
      </c>
    </row>
    <row r="366" spans="1:3" ht="15" customHeight="1" x14ac:dyDescent="0.3">
      <c r="A366" s="207" t="s">
        <v>107</v>
      </c>
      <c r="B366" s="215">
        <f>1/(1+Kp.susp2T*SUSP.w2T/1000+Kp.col2T*COL.w2T/1000)</f>
        <v>0.99923939228777903</v>
      </c>
      <c r="C366" s="209" t="s">
        <v>36</v>
      </c>
    </row>
    <row r="367" spans="1:3" ht="15" customHeight="1" x14ac:dyDescent="0.3">
      <c r="A367" s="207" t="s">
        <v>1148</v>
      </c>
      <c r="B367" s="208">
        <f>1/(1+Kp.susp3A*SUSP.w3A/1000+Kp.col3A*COL.w3A/1000)</f>
        <v>0.99923939228777903</v>
      </c>
      <c r="C367" s="209" t="s">
        <v>36</v>
      </c>
    </row>
    <row r="368" spans="1:3" ht="15" customHeight="1" x14ac:dyDescent="0.3">
      <c r="A368" s="207" t="s">
        <v>135</v>
      </c>
      <c r="B368" s="208">
        <f>1/(1+Kp.susp3M*SUSP.w3M/1000+Kp.col3M*COL.w3M/1000)</f>
        <v>0.99923939228777903</v>
      </c>
      <c r="C368" s="209" t="s">
        <v>36</v>
      </c>
    </row>
    <row r="369" spans="1:3" ht="15" customHeight="1" x14ac:dyDescent="0.3">
      <c r="A369" s="207" t="s">
        <v>1120</v>
      </c>
      <c r="B369" s="215">
        <f>1/(1+Kp.susp3T*SUSP.w3T/1000+Kp.col3T*COL.w3T/1000)</f>
        <v>0.99923939228777903</v>
      </c>
      <c r="C369" s="209" t="s">
        <v>36</v>
      </c>
    </row>
    <row r="370" spans="1:3" ht="15" customHeight="1" x14ac:dyDescent="0.3">
      <c r="A370" s="207" t="s">
        <v>1231</v>
      </c>
      <c r="B370" s="208">
        <f>FRgas.aA*(MTCas.air.aA*MTCas.soil.sA)/(MTCas.air.aA*((Kaw.A*FRorig.s1w)/Kslw.A)+MTCas.soil.sA)*SYSTEMAREA.A*AREAFRAC.sA</f>
        <v>17176213159.716074</v>
      </c>
      <c r="C370" s="206" t="s">
        <v>2072</v>
      </c>
    </row>
    <row r="371" spans="1:3" ht="15" customHeight="1" x14ac:dyDescent="0.3">
      <c r="A371" s="207" t="s">
        <v>1162</v>
      </c>
      <c r="B371" s="208">
        <f>FRgas.aA*(MTCaw.air.aA*MTCaw.water.wA/(FRorig.w1*MTCaw.air.aA*Kaw.A+MTCaw.water.wA))*SYSTEMAREA.A*AREAFRAC.wA</f>
        <v>95074513319.140808</v>
      </c>
      <c r="C371" s="206" t="s">
        <v>2072</v>
      </c>
    </row>
    <row r="372" spans="1:3" ht="15" customHeight="1" x14ac:dyDescent="0.3">
      <c r="A372" s="207" t="s">
        <v>1384</v>
      </c>
      <c r="B372" s="208">
        <f>FRgas.aC*(MTCas.air.aC*MTCas.soil.sC)/(MTCas.air.aC*((Kaw.C*FRorig.s1w)/Ks1w.C)+MTCas.soil.sC)*(SYSTEMAREA.C*AREAFRAC.s1C)</f>
        <v>962162254.58630133</v>
      </c>
      <c r="C372" s="209" t="s">
        <v>2072</v>
      </c>
    </row>
    <row r="373" spans="1:3" ht="15" customHeight="1" x14ac:dyDescent="0.3">
      <c r="A373" s="207" t="s">
        <v>1237</v>
      </c>
      <c r="B373" s="208">
        <f>FRgas.aC*(MTCas.air.aC*MTCas.soil.sC)/(MTCas.air.aC*((Kaw.C*FRorig.s2w)/Ks2w.C)+MTCas.soil.sC)*(SYSTEMAREA.C*AREAFRAC.s2C)</f>
        <v>2138140453.0148363</v>
      </c>
      <c r="C373" s="209" t="s">
        <v>2072</v>
      </c>
    </row>
    <row r="374" spans="1:3" ht="15" customHeight="1" x14ac:dyDescent="0.3">
      <c r="A374" s="207" t="s">
        <v>1239</v>
      </c>
      <c r="B374" s="208">
        <f>FRgas.aC*(MTCas.air.aC*MTCas.soil.sC)/(MTCas.air.aC*((Kaw.C*FRorig.s3w)/Ks3w.C)+MTCas.soil.sC)*(SYSTEMAREA.C*AREAFRAC.s3C)</f>
        <v>356356742.16913933</v>
      </c>
      <c r="C374" s="209" t="s">
        <v>2072</v>
      </c>
    </row>
    <row r="375" spans="1:3" ht="15" customHeight="1" x14ac:dyDescent="0.3">
      <c r="A375" s="207" t="s">
        <v>351</v>
      </c>
      <c r="B375" s="208">
        <f>FRgas.aC*(MTCaw.air.aC*MTCaw.water.wC/(FRorig.w1*MTCaw.air.aC*Kaw.C+MTCaw.water.wC))*SYSTEMAREA.C*AREAFRAC.w0C</f>
        <v>32884783.873968229</v>
      </c>
      <c r="C375" s="209" t="s">
        <v>2072</v>
      </c>
    </row>
    <row r="376" spans="1:3" ht="15" customHeight="1" x14ac:dyDescent="0.3">
      <c r="A376" s="207" t="s">
        <v>13</v>
      </c>
      <c r="B376" s="208">
        <f>FRgas.aC*(MTCaw.air.aC*MTCaw.water.wC/(FRorig.w1*MTCaw.air.aC*Kaw.C+MTCaw.water.wC))*SYSTEMAREA.C*AREAFRAC.w1C</f>
        <v>361732622.61365044</v>
      </c>
      <c r="C376" s="209" t="s">
        <v>2072</v>
      </c>
    </row>
    <row r="377" spans="1:3" ht="15" customHeight="1" x14ac:dyDescent="0.3">
      <c r="A377" s="207" t="s">
        <v>1382</v>
      </c>
      <c r="B377" s="208">
        <f>FRgas.aC*(MTCaw.air.aC*MTCaw.water.wC/(FRorig.w2*MTCaw.air.aC*Kaw.C+MTCaw.water.wC))*SYSTEMAREA.C*AREAFRAC.w2C</f>
        <v>14012671991.34993</v>
      </c>
      <c r="C377" s="209" t="s">
        <v>2072</v>
      </c>
    </row>
    <row r="378" spans="1:3" ht="15" customHeight="1" x14ac:dyDescent="0.3">
      <c r="A378" s="207" t="s">
        <v>1330</v>
      </c>
      <c r="B378" s="208">
        <f>FRgas.aM*(MTCas.air.aM*MTCas.soil.sM)/(MTCas.air.aM*((Kaw.M*FRorig.s1w)/Kslw.M)+MTCas.soil.sM)*SYSTEMAREA.M*AREAFRAC.sM</f>
        <v>39650393762.213326</v>
      </c>
      <c r="C378" s="206" t="s">
        <v>2072</v>
      </c>
    </row>
    <row r="379" spans="1:3" ht="15" customHeight="1" x14ac:dyDescent="0.3">
      <c r="A379" s="207" t="s">
        <v>145</v>
      </c>
      <c r="B379" s="208">
        <f>FRgas.aM*(MTCaw.air.aM*MTCaw.water.wM/(FRorig.w1*MTCaw.air.aM*Kaw.M+MTCaw.water.wM))*SYSTEMAREA.M*AREAFRAC.wM</f>
        <v>146358495464.43246</v>
      </c>
      <c r="C379" s="206" t="s">
        <v>2072</v>
      </c>
    </row>
    <row r="380" spans="1:3" ht="15" customHeight="1" x14ac:dyDescent="0.3">
      <c r="A380" s="207" t="s">
        <v>738</v>
      </c>
      <c r="B380" s="208">
        <f>FRgas.aR*(MTCas.air.aR*MTCas.soil.sR/(MTCas.air.aR*(Kaw.R*FRorig.s1)/Ks1w.R+MTCas.soil.sR))*(SYSTEMAREA.R*AREAFRAC.s1R)</f>
        <v>63089936.541865975</v>
      </c>
      <c r="C380" s="209" t="s">
        <v>2072</v>
      </c>
    </row>
    <row r="381" spans="1:3" ht="15" customHeight="1" x14ac:dyDescent="0.3">
      <c r="A381" s="207" t="s">
        <v>740</v>
      </c>
      <c r="B381" s="208">
        <f>FRgas.aR*(MTCas.air.aR*MTCas.soil.sR/(MTCas.air.aR*(Kaw.R*FRorig.s2)/Ks2w.R+MTCas.soil.sR))*(SYSTEMAREA.R*AREAFRAC.s2R)</f>
        <v>140199862.97955677</v>
      </c>
      <c r="C381" s="209" t="s">
        <v>2072</v>
      </c>
    </row>
    <row r="382" spans="1:3" ht="15" customHeight="1" x14ac:dyDescent="0.3">
      <c r="A382" s="207" t="s">
        <v>742</v>
      </c>
      <c r="B382" s="208">
        <f>FRgas.aR*(MTCas.air.aR*MTCas.soil.sR/(MTCas.air.aR*(Kaw.R*FRorig.s3)/Ks3w.R+MTCas.soil.sR))*(SYSTEMAREA.R*AREAFRAC.s3R)</f>
        <v>23366643.829926129</v>
      </c>
      <c r="C382" s="209" t="s">
        <v>2072</v>
      </c>
    </row>
    <row r="383" spans="1:3" ht="15" customHeight="1" x14ac:dyDescent="0.3">
      <c r="A383" s="207" t="s">
        <v>302</v>
      </c>
      <c r="B383" s="208">
        <f>FRgas.aR*(MTCaw.air.aR*MTCaw.water.wR/(MTCaw.air.aR*(Kaw.R*FRorig.w1)+MTCaw.water.wR))*(SYSTEMAREA.R*AREAFRAC.w0R)</f>
        <v>2156288.0252888594</v>
      </c>
      <c r="C383" s="209" t="s">
        <v>2072</v>
      </c>
    </row>
    <row r="384" spans="1:3" ht="15" customHeight="1" x14ac:dyDescent="0.3">
      <c r="A384" s="207" t="s">
        <v>1040</v>
      </c>
      <c r="B384" s="208">
        <f>FRgas.aR*(MTCaw.air.aR*MTCaw.water.wR/(MTCaw.air.aR*(Kaw.R*FRorig.w1)+MTCaw.water.wR))*(SYSTEMAREA.R*AREAFRAC.w1R)</f>
        <v>23719168.278177451</v>
      </c>
      <c r="C384" s="209" t="s">
        <v>2072</v>
      </c>
    </row>
    <row r="385" spans="1:3" ht="15" customHeight="1" x14ac:dyDescent="0.3">
      <c r="A385" s="207" t="s">
        <v>736</v>
      </c>
      <c r="B385" s="208">
        <f>FRgas.aR*(MTCaw.air.aR*MTCaw.water.wR/(MTCaw.air.aR*(Kaw.R*FRorig.w2)+MTCaw.water.wR))*(SYSTEMAREA.R*AREAFRAC.w2R)</f>
        <v>3773532.1419799984</v>
      </c>
      <c r="C385" s="209" t="s">
        <v>2072</v>
      </c>
    </row>
    <row r="386" spans="1:3" ht="15" customHeight="1" x14ac:dyDescent="0.3">
      <c r="A386" s="207" t="s">
        <v>1379</v>
      </c>
      <c r="B386" s="208">
        <f>FRgas.aT*(MTCas.air.aT*MTCas.soil.sT/(MTCas.air.aT*(Kaw.T*FRorig.s1w)/Kslw.T+MTCas.soil.sT))*SYSTEMAREA.T*AREAFRAC.sT</f>
        <v>39094107618.834053</v>
      </c>
      <c r="C386" s="206" t="s">
        <v>2072</v>
      </c>
    </row>
    <row r="387" spans="1:3" ht="15" customHeight="1" x14ac:dyDescent="0.3">
      <c r="A387" s="207" t="s">
        <v>1133</v>
      </c>
      <c r="B387" s="208">
        <f>FRgas.aT*(MTCaw.air.aT*MTCaw.water.wT/(FRorig.w1*MTCaw.air.aT*Kaw.T+MTCaw.water.wT))*SYSTEMAREA.T*AREAFRAC.wT</f>
        <v>336830187672.104</v>
      </c>
      <c r="C387" s="206" t="s">
        <v>2072</v>
      </c>
    </row>
    <row r="388" spans="1:3" ht="15" customHeight="1" x14ac:dyDescent="0.3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3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3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3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3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3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3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3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3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3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3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3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3">
      <c r="A400" s="207" t="s">
        <v>970</v>
      </c>
      <c r="B400" s="213">
        <v>10000</v>
      </c>
      <c r="C400" s="209" t="s">
        <v>2117</v>
      </c>
    </row>
    <row r="401" spans="1:3" ht="15" customHeight="1" x14ac:dyDescent="0.3">
      <c r="A401" s="207" t="s">
        <v>697</v>
      </c>
      <c r="B401" s="213">
        <f>(-3.82*LN(IF(Tm&gt;298,Pvap25*EXP(-6.79*(1-Tm/298)),Pvap25))+70)*1000</f>
        <v>110064.4630283444</v>
      </c>
      <c r="C401" s="209" t="s">
        <v>2117</v>
      </c>
    </row>
    <row r="402" spans="1:3" ht="15" customHeight="1" x14ac:dyDescent="0.3">
      <c r="A402" s="210" t="s">
        <v>20</v>
      </c>
      <c r="B402" s="208">
        <v>1000</v>
      </c>
      <c r="C402" s="209" t="s">
        <v>719</v>
      </c>
    </row>
    <row r="403" spans="1:3" ht="15" customHeight="1" x14ac:dyDescent="0.3">
      <c r="A403" s="210" t="s">
        <v>111</v>
      </c>
      <c r="B403" s="208">
        <v>1000</v>
      </c>
      <c r="C403" s="206" t="s">
        <v>719</v>
      </c>
    </row>
    <row r="404" spans="1:3" ht="15" customHeight="1" x14ac:dyDescent="0.3">
      <c r="A404" s="210" t="s">
        <v>1189</v>
      </c>
      <c r="B404" s="208">
        <v>1000</v>
      </c>
      <c r="C404" s="209" t="s">
        <v>719</v>
      </c>
    </row>
    <row r="405" spans="1:3" ht="15" customHeight="1" x14ac:dyDescent="0.3">
      <c r="A405" s="210" t="s">
        <v>1195</v>
      </c>
      <c r="B405" s="208">
        <v>1000</v>
      </c>
      <c r="C405" s="209" t="s">
        <v>719</v>
      </c>
    </row>
    <row r="406" spans="1:3" ht="15" customHeight="1" x14ac:dyDescent="0.3">
      <c r="A406" s="210" t="s">
        <v>1412</v>
      </c>
      <c r="B406" s="213">
        <v>1000</v>
      </c>
      <c r="C406" s="209" t="s">
        <v>719</v>
      </c>
    </row>
    <row r="407" spans="1:3" ht="15" customHeight="1" x14ac:dyDescent="0.3">
      <c r="A407" s="207" t="s">
        <v>1365</v>
      </c>
      <c r="B407" s="208">
        <f>kesc.aA+FRgas.aA*kdeg.air*(C.OHrad.aA/C.OHrad)*Tempfactor.aA</f>
        <v>7.4743485216883895E-6</v>
      </c>
      <c r="C407" s="209" t="s">
        <v>2082</v>
      </c>
    </row>
    <row r="408" spans="1:3" ht="15" customHeight="1" x14ac:dyDescent="0.3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3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3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3">
      <c r="A411" s="207" t="s">
        <v>830</v>
      </c>
      <c r="B411" s="208">
        <f>kesc.aC+FRgas.aC*kdeg.air*(C.OHrad.aC/C.OHrad)*Tempfactor.aC</f>
        <v>9.0459815058013851E-6</v>
      </c>
      <c r="C411" s="209" t="s">
        <v>2082</v>
      </c>
    </row>
    <row r="412" spans="1:3" ht="15" customHeight="1" x14ac:dyDescent="0.3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3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3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3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3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3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3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3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3">
      <c r="A420" s="207" t="s">
        <v>843</v>
      </c>
      <c r="B420" s="208">
        <f>kesc.aM+FRgas.aM*kdeg.air*(C.OHrad.aM/C.OHrad)*Tempfactor.aM</f>
        <v>9.0459815058013851E-6</v>
      </c>
      <c r="C420" s="209" t="s">
        <v>2082</v>
      </c>
    </row>
    <row r="421" spans="1:3" ht="15" customHeight="1" x14ac:dyDescent="0.3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3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3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3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3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3">
      <c r="A426" s="207" t="s">
        <v>247</v>
      </c>
      <c r="B426" s="208">
        <f>kesc.aR+FRgas.aR*kdeg.air*(C.OHrad.aR/C.OHrad)*Tempfactor.aR</f>
        <v>9.0459815058013851E-6</v>
      </c>
      <c r="C426" s="209" t="s">
        <v>2082</v>
      </c>
    </row>
    <row r="427" spans="1:3" ht="15" customHeight="1" x14ac:dyDescent="0.3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3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3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3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3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3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3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3">
      <c r="A434" s="207" t="s">
        <v>1369</v>
      </c>
      <c r="B434" s="217">
        <f>kesc.aT+FRgas.aT*kdeg.air*(C.OHrad.aT/C.OHrad)*Tempfactor.aT</f>
        <v>1.0057249127897143E-5</v>
      </c>
      <c r="C434" s="209" t="s">
        <v>2082</v>
      </c>
    </row>
    <row r="435" spans="1:3" ht="15" customHeight="1" x14ac:dyDescent="0.3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3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3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3">
      <c r="A438" s="207" t="s">
        <v>835</v>
      </c>
      <c r="B438" s="208">
        <f>Tempfactor.wsdsC*kdeg.soil+FRACinf.s1C*RAINrate.C/Ks1w.C*CORRleach.s1C*SYSTEMAREA.C*AREAFRAC.s1C/VOLUME.s1C</f>
        <v>4.3486201567445368E-8</v>
      </c>
      <c r="C438" s="209" t="s">
        <v>2082</v>
      </c>
    </row>
    <row r="439" spans="1:3" ht="15" customHeight="1" x14ac:dyDescent="0.3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3">
      <c r="A440" s="207" t="s">
        <v>827</v>
      </c>
      <c r="B440" s="208">
        <f>(RAINrate.C*FRACrun.s1C/Ks1w.C+EROSION.s1C)*CORRrunoff.s1C * (SYSTEMAREA.C*AREAFRAC.s1C/VOLUME.s1C)</f>
        <v>4.580218015700943E-9</v>
      </c>
      <c r="C440" s="209" t="s">
        <v>2082</v>
      </c>
    </row>
    <row r="441" spans="1:3" ht="15" customHeight="1" x14ac:dyDescent="0.3">
      <c r="A441" s="207" t="s">
        <v>250</v>
      </c>
      <c r="B441" s="208">
        <f>Tempfactor.wsdsR*kdeg.soil+FRACinf.s1R*RAINrate.R/Ks1w.R*CORRleach.s1R*SYSTEMAREA.R*AREAFRAC.s1R/VOLUME.s1R</f>
        <v>4.3486201567445368E-8</v>
      </c>
      <c r="C441" s="209" t="s">
        <v>2082</v>
      </c>
    </row>
    <row r="442" spans="1:3" ht="15" customHeight="1" x14ac:dyDescent="0.3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3">
      <c r="A443" s="207" t="s">
        <v>244</v>
      </c>
      <c r="B443" s="208">
        <f>(RAINrate.R*FRACrun.s1R/Ks1w.R+EROSION.s1R)*CORRrunoff.s1R * (SYSTEMAREA.R*AREAFRAC.s1R/VOLUME.s1R)</f>
        <v>4.580218015700943E-9</v>
      </c>
      <c r="C443" s="209" t="s">
        <v>2082</v>
      </c>
    </row>
    <row r="444" spans="1:3" ht="15" customHeight="1" x14ac:dyDescent="0.3">
      <c r="A444" s="207" t="s">
        <v>836</v>
      </c>
      <c r="B444" s="208">
        <f>Tempfactor.wsdsC*kdeg.soil+FRACinf.s2C*RAINrate.C/Ks2w.C*CORRleach.s2C*SYSTEMAREA.C*AREAFRAC.s2C/VOLUME.s2C</f>
        <v>4.3469483354178676E-8</v>
      </c>
      <c r="C444" s="209" t="s">
        <v>2082</v>
      </c>
    </row>
    <row r="445" spans="1:3" ht="15" customHeight="1" x14ac:dyDescent="0.3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3">
      <c r="A446" s="207" t="s">
        <v>828</v>
      </c>
      <c r="B446" s="208">
        <f>(RAINrate.C*FRACrun.s2C/Ks2w.C+EROSION.s2C)*CORRrunoff.s2C * (SYSTEMAREA.C*AREAFRAC.s2C/VOLUME.s2C)</f>
        <v>2.0858399757986424E-9</v>
      </c>
      <c r="C446" s="209" t="s">
        <v>2082</v>
      </c>
    </row>
    <row r="447" spans="1:3" ht="15" customHeight="1" x14ac:dyDescent="0.3">
      <c r="A447" s="207" t="s">
        <v>251</v>
      </c>
      <c r="B447" s="208">
        <f>Tempfactor.wsdsR*kdeg.soil+FRACinf.s2R*RAINrate.R/Ks2w.R*CORRleach.s2R*SYSTEMAREA.R*AREAFRAC.s2R/VOLUME.s2R</f>
        <v>4.3469483354178676E-8</v>
      </c>
      <c r="C447" s="209" t="s">
        <v>2082</v>
      </c>
    </row>
    <row r="448" spans="1:3" ht="15" customHeight="1" x14ac:dyDescent="0.3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3">
      <c r="A449" s="207" t="s">
        <v>245</v>
      </c>
      <c r="B449" s="208">
        <f>(RAINrate.R*FRACrun.s2R/Ks2w.R+EROSION.s2R)*CORRrunoff.s2R * (SYSTEMAREA.R*AREAFRAC.s2R/VOLUME.s2R)</f>
        <v>2.0858399757986419E-9</v>
      </c>
      <c r="C449" s="209" t="s">
        <v>2082</v>
      </c>
    </row>
    <row r="450" spans="1:3" ht="15" customHeight="1" x14ac:dyDescent="0.3">
      <c r="A450" s="207" t="s">
        <v>837</v>
      </c>
      <c r="B450" s="208">
        <f>Tempfactor.wsdsC*kdeg.soil+FRACinf.s3C*RAINrate.C/Ks3w.C*CORRleach.s3C*SYSTEMAREA.C*AREAFRAC.s3C/VOLUME.s3C</f>
        <v>4.3486225145605207E-8</v>
      </c>
      <c r="C450" s="209" t="s">
        <v>2082</v>
      </c>
    </row>
    <row r="451" spans="1:3" ht="15" customHeight="1" x14ac:dyDescent="0.3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3">
      <c r="A452" s="207" t="s">
        <v>829</v>
      </c>
      <c r="B452" s="208">
        <f>(RAINrate.C*FRACrun.s3C/Ks3w.C+EROSION.s3C)*CORRrunoff.s3C * (SYSTEMAREA.C*AREAFRAC.s3C/VOLUME.s3C)</f>
        <v>4.5837173248885841E-9</v>
      </c>
      <c r="C452" s="209" t="s">
        <v>2082</v>
      </c>
    </row>
    <row r="453" spans="1:3" ht="15" customHeight="1" x14ac:dyDescent="0.3">
      <c r="A453" s="207" t="s">
        <v>252</v>
      </c>
      <c r="B453" s="208">
        <f>Tempfactor.wsdsR*kdeg.soil+FRACinf.s3R*RAINrate.R/Ks3w.R*CORRleach.s3R*SYSTEMAREA.R*AREAFRAC.s3R/VOLUME.s3R</f>
        <v>4.3486225145605207E-8</v>
      </c>
      <c r="C453" s="209" t="s">
        <v>2082</v>
      </c>
    </row>
    <row r="454" spans="1:3" ht="15" customHeight="1" x14ac:dyDescent="0.3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3">
      <c r="A455" s="207" t="s">
        <v>246</v>
      </c>
      <c r="B455" s="208">
        <f>(RAINrate.R*FRACrun.s3R/Ks3w.R+EROSION.s3R)*CORRrunoff.s3R * (SYSTEMAREA.R*AREAFRAC.s3R/VOLUME.s3R)</f>
        <v>4.5837173248885841E-9</v>
      </c>
      <c r="C455" s="209" t="s">
        <v>2082</v>
      </c>
    </row>
    <row r="456" spans="1:3" ht="15" customHeight="1" x14ac:dyDescent="0.3">
      <c r="A456" s="207" t="s">
        <v>1366</v>
      </c>
      <c r="B456" s="208">
        <f>Tempfactor.wsdsA*kdeg.soil+FRACinf.sA*RAINrate.A/Kslw.A*CORRleach.sA*SYSTEMAREA.A*AREAFRAC.sA/VOLUME.sA</f>
        <v>9.4685168992258617E-9</v>
      </c>
      <c r="C456" s="209" t="s">
        <v>2082</v>
      </c>
    </row>
    <row r="457" spans="1:3" ht="15" customHeight="1" x14ac:dyDescent="0.3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3">
      <c r="A458" s="207" t="s">
        <v>1261</v>
      </c>
      <c r="B458" s="208">
        <f>(RAINrate.A*FRACrun.sA/Kslw.A+EROSION.sA)*CORRrunoff.sA * (SYSTEMAREA.A*AREAFRAC.sA/VOLUME.sA)</f>
        <v>1.651334554068617E-9</v>
      </c>
      <c r="C458" s="209" t="s">
        <v>2082</v>
      </c>
    </row>
    <row r="459" spans="1:3" ht="15" customHeight="1" x14ac:dyDescent="0.3">
      <c r="A459" s="207" t="s">
        <v>833</v>
      </c>
      <c r="B459" s="208">
        <f>Tempfactor.wsdsC*kdeg.sed+NETsedrate.w1C*SYSTEMAREA.C*AREAFRAC.w1C/VOLUME.sd1C</f>
        <v>1.254003191179276E-8</v>
      </c>
      <c r="C459" s="209" t="s">
        <v>2082</v>
      </c>
    </row>
    <row r="460" spans="1:3" ht="15" customHeight="1" x14ac:dyDescent="0.3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3">
      <c r="A461" s="207" t="s">
        <v>249</v>
      </c>
      <c r="B461" s="208">
        <f>Tempfactor.wsdsR*kdeg.sed+NETsedrate.w1R*(SYSTEMAREA.R*AREAFRAC.w1R/VOLUME.sd1R)</f>
        <v>1.2561171773023441E-8</v>
      </c>
      <c r="C461" s="209" t="s">
        <v>2082</v>
      </c>
    </row>
    <row r="462" spans="1:3" ht="15" customHeight="1" x14ac:dyDescent="0.3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3">
      <c r="A463" s="207" t="s">
        <v>834</v>
      </c>
      <c r="B463" s="208">
        <f>Tempfactor.wsdsC*kdeg.sed+NETsedrate.w2C*SYSTEMAREA.C*AREAFRAC.w2C/VOLUME.sd2C</f>
        <v>1.0580096758225705E-8</v>
      </c>
      <c r="C463" s="209" t="s">
        <v>2082</v>
      </c>
    </row>
    <row r="464" spans="1:3" ht="15" customHeight="1" x14ac:dyDescent="0.3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3">
      <c r="A465" s="207" t="s">
        <v>258</v>
      </c>
      <c r="B465" s="208">
        <f>Tempfactor.wsdsR*kdeg.sed+NETsedrate.w2R*(SYSTEMAREA.R*AREAFRAC.w2R/VOLUME.sd2R)</f>
        <v>1.1779136849972535E-8</v>
      </c>
      <c r="C465" s="209" t="s">
        <v>2082</v>
      </c>
    </row>
    <row r="466" spans="1:3" ht="15" customHeight="1" x14ac:dyDescent="0.3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3">
      <c r="A467" s="207" t="s">
        <v>1262</v>
      </c>
      <c r="B467" s="208">
        <f>Tempfactor.wsdsA*kdeg.sed+NETsedrate.wA*SYSTEMAREA.A*AREAFRAC.wA/VOLUME.sdA</f>
        <v>2.10575666016223E-9</v>
      </c>
      <c r="C467" s="209" t="s">
        <v>2082</v>
      </c>
    </row>
    <row r="468" spans="1:3" ht="15" customHeight="1" x14ac:dyDescent="0.3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3">
      <c r="A469" s="207" t="s">
        <v>1255</v>
      </c>
      <c r="B469" s="208">
        <f>Tempfactor.wsdsM*kdeg.sed+NETsedrate.wM*SYSTEMAREA.M*AREAFRAC.wM/VOLUME.sdM</f>
        <v>9.668787450953858E-9</v>
      </c>
      <c r="C469" s="209" t="s">
        <v>2082</v>
      </c>
    </row>
    <row r="470" spans="1:3" ht="15" customHeight="1" x14ac:dyDescent="0.3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3">
      <c r="A471" s="207" t="s">
        <v>1267</v>
      </c>
      <c r="B471" s="208">
        <f>Tempfactor.wsdsT*kdeg.sed+NETsedrate.wT*SYSTEMAREA.T*AREAFRAC.wT/VOLUME.sdT</f>
        <v>2.3802113986132248E-8</v>
      </c>
      <c r="C471" s="209" t="s">
        <v>2082</v>
      </c>
    </row>
    <row r="472" spans="1:3" ht="15" customHeight="1" x14ac:dyDescent="0.3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3">
      <c r="A473" s="207" t="s">
        <v>845</v>
      </c>
      <c r="B473" s="208">
        <f>Tempfactor.wsdsM*kdeg.soil+FRACinf.sM*RAINrate.M/Kslw.M*CORRleach.sM*SYSTEMAREA.M*AREAFRAC.sM/VOLUME.sM</f>
        <v>4.3486201567445368E-8</v>
      </c>
      <c r="C473" s="209" t="s">
        <v>2082</v>
      </c>
    </row>
    <row r="474" spans="1:3" ht="15" customHeight="1" x14ac:dyDescent="0.3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3">
      <c r="A475" s="207" t="s">
        <v>1254</v>
      </c>
      <c r="B475" s="208">
        <f>(RAINrate.M*FRACrun.sM/Kslw.M+EROSION.sM)*CORRrunoff.sM * (SYSTEMAREA.M*AREAFRAC.sM/VOLUME.sM)</f>
        <v>4.580218015700943E-9</v>
      </c>
      <c r="C475" s="209" t="s">
        <v>2082</v>
      </c>
    </row>
    <row r="476" spans="1:3" ht="15" customHeight="1" x14ac:dyDescent="0.3">
      <c r="A476" s="207" t="s">
        <v>1370</v>
      </c>
      <c r="B476" s="208">
        <f>Tempfactor.wsdsT*kdeg.soil+FRACinf.sT*RAINrate.T/Kslw.T*CORRleach.sT*SYSTEMAREA.T*AREAFRAC.sT/VOLUME.sT</f>
        <v>1.0705701124434139E-7</v>
      </c>
      <c r="C476" s="209" t="s">
        <v>2082</v>
      </c>
    </row>
    <row r="477" spans="1:3" ht="15" customHeight="1" x14ac:dyDescent="0.3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3">
      <c r="A478" s="207" t="s">
        <v>1266</v>
      </c>
      <c r="B478" s="208">
        <f>(RAINrate.T*FRACrun.sT/Kslw.T+EROSION.sT)*CORRrunoff.sT * (SYSTEMAREA.T*AREAFRAC.sT/VOLUME.sT)</f>
        <v>8.4853959516793628E-9</v>
      </c>
      <c r="C478" s="209" t="s">
        <v>2082</v>
      </c>
    </row>
    <row r="479" spans="1:3" ht="15" customHeight="1" x14ac:dyDescent="0.3">
      <c r="A479" s="207" t="s">
        <v>353</v>
      </c>
      <c r="B479" s="208">
        <f>kdeg.water*Tempfactor.wsdsC*(BACT.w0C/BACT.test)*FRw.w0C</f>
        <v>8.685696044300724E-8</v>
      </c>
      <c r="C479" s="209" t="s">
        <v>2082</v>
      </c>
    </row>
    <row r="480" spans="1:3" ht="15" customHeight="1" x14ac:dyDescent="0.3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3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3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3">
      <c r="A483" s="207" t="s">
        <v>305</v>
      </c>
      <c r="B483" s="208">
        <f>kdeg.water*Tempfactor.wsdsR*(BACT.w0R/BACT.test)*FRw.w0R</f>
        <v>8.685696044300724E-8</v>
      </c>
      <c r="C483" s="209" t="s">
        <v>2082</v>
      </c>
    </row>
    <row r="484" spans="1:3" ht="15" customHeight="1" x14ac:dyDescent="0.3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3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3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3">
      <c r="A487" s="207" t="s">
        <v>831</v>
      </c>
      <c r="B487" s="208">
        <f>kdeg.water*Tempfactor.wsdsC*(BACT.w1C/BACT.test)*FRw.w1C</f>
        <v>8.6728477588904822E-8</v>
      </c>
      <c r="C487" s="209" t="s">
        <v>2082</v>
      </c>
    </row>
    <row r="488" spans="1:3" ht="15" customHeight="1" x14ac:dyDescent="0.3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3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3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3">
      <c r="A491" s="209" t="s">
        <v>261</v>
      </c>
      <c r="B491" s="208">
        <v>0</v>
      </c>
      <c r="C491" s="209" t="s">
        <v>2082</v>
      </c>
    </row>
    <row r="492" spans="1:3" ht="15" customHeight="1" x14ac:dyDescent="0.3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3">
      <c r="A493" s="207" t="s">
        <v>248</v>
      </c>
      <c r="B493" s="208">
        <f>kdeg.water*Tempfactor.wsdsR*(BACT.w1R/BACT.test)*FRw.w1R</f>
        <v>8.6728477588904822E-8</v>
      </c>
      <c r="C493" s="209" t="s">
        <v>2082</v>
      </c>
    </row>
    <row r="494" spans="1:3" ht="15" customHeight="1" x14ac:dyDescent="0.3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3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3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3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3">
      <c r="A498" s="207" t="s">
        <v>1046</v>
      </c>
      <c r="B498" s="208">
        <f>kdeg.water*Tempfactor.wsdsA*(BACT.w2A/BACT.test)*FRw.w2A</f>
        <v>1.8894918047157747E-8</v>
      </c>
      <c r="C498" s="209" t="s">
        <v>2082</v>
      </c>
    </row>
    <row r="499" spans="1:3" ht="15" customHeight="1" x14ac:dyDescent="0.3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3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3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3">
      <c r="A502" s="207" t="s">
        <v>832</v>
      </c>
      <c r="B502" s="208">
        <f>kdeg.water*Tempfactor.wsdsC*(BACT.w2C/BACT.test)*FRw.w2C</f>
        <v>8.6818245114295561E-8</v>
      </c>
      <c r="C502" s="209" t="s">
        <v>2082</v>
      </c>
    </row>
    <row r="503" spans="1:3" ht="15" customHeight="1" x14ac:dyDescent="0.3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3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3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3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3">
      <c r="A507" s="207" t="s">
        <v>1045</v>
      </c>
      <c r="B507" s="208">
        <f>kdeg.water*Tempfactor.wsdsM*(BACT.w2M/BACT.test)*FRw.w2M</f>
        <v>8.6818245114295561E-8</v>
      </c>
      <c r="C507" s="209" t="s">
        <v>2082</v>
      </c>
    </row>
    <row r="508" spans="1:3" ht="15" customHeight="1" x14ac:dyDescent="0.3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3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3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3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3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3">
      <c r="A513" s="207" t="s">
        <v>255</v>
      </c>
      <c r="B513" s="208">
        <f>kdeg.water*Tempfactor.wsdsR*(BACT.w2R/BACT.test)*FRw.w2R</f>
        <v>8.6818245114295561E-8</v>
      </c>
      <c r="C513" s="209" t="s">
        <v>2082</v>
      </c>
    </row>
    <row r="514" spans="1:3" ht="15" customHeight="1" x14ac:dyDescent="0.3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3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3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3">
      <c r="A517" s="207" t="s">
        <v>1047</v>
      </c>
      <c r="B517" s="208">
        <f>kdeg.water*Tempfactor.wsdsT*(BACT.w2T/BACT.test)*FRw.w2T</f>
        <v>2.1377159489774912E-7</v>
      </c>
      <c r="C517" s="209" t="s">
        <v>2082</v>
      </c>
    </row>
    <row r="518" spans="1:3" ht="15" customHeight="1" x14ac:dyDescent="0.3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3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3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3">
      <c r="A521" s="207" t="s">
        <v>1170</v>
      </c>
      <c r="B521" s="208">
        <f>kdeg.water*Tempfactor.wsdsA*(BACT.w3A/BACT.test)*FRw.w3A</f>
        <v>1.8894918047157747E-8</v>
      </c>
      <c r="C521" s="209" t="s">
        <v>2082</v>
      </c>
    </row>
    <row r="522" spans="1:3" ht="15" customHeight="1" x14ac:dyDescent="0.3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3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3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3">
      <c r="A525" s="207" t="s">
        <v>1169</v>
      </c>
      <c r="B525" s="208">
        <f>kdeg.water*Tempfactor.wsdsM*(BACT.w3M/BACT.test)*FRw.w3M</f>
        <v>8.6818245114295561E-8</v>
      </c>
      <c r="C525" s="209" t="s">
        <v>2082</v>
      </c>
    </row>
    <row r="526" spans="1:3" ht="15" customHeight="1" x14ac:dyDescent="0.3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3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3">
      <c r="A528" s="209" t="s">
        <v>132</v>
      </c>
      <c r="B528" s="208">
        <v>0</v>
      </c>
      <c r="C528" s="209" t="s">
        <v>2082</v>
      </c>
    </row>
    <row r="529" spans="1:3" ht="15" customHeight="1" x14ac:dyDescent="0.3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3">
      <c r="A530" s="207" t="s">
        <v>1171</v>
      </c>
      <c r="B530" s="208">
        <f>kdeg.water*Tempfactor.wsdsT*(BACT.w3T/BACT.test)*FRw.w3T</f>
        <v>2.1377159489774912E-7</v>
      </c>
      <c r="C530" s="209" t="s">
        <v>2082</v>
      </c>
    </row>
    <row r="531" spans="1:3" ht="15" customHeight="1" x14ac:dyDescent="0.3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3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3">
      <c r="A533" s="209" t="s">
        <v>59</v>
      </c>
      <c r="B533" s="208">
        <v>0</v>
      </c>
      <c r="C533" s="209" t="s">
        <v>2082</v>
      </c>
    </row>
    <row r="534" spans="1:3" ht="15" customHeight="1" x14ac:dyDescent="0.3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3">
      <c r="A535" s="206" t="s">
        <v>643</v>
      </c>
      <c r="B535" s="215">
        <f>0.54*(Kow/Kaw)*CORGaers*(RHOaers/1000)</f>
        <v>1205340070.6487617</v>
      </c>
      <c r="C535" s="206" t="s">
        <v>1549</v>
      </c>
    </row>
    <row r="536" spans="1:3" ht="15" customHeight="1" x14ac:dyDescent="0.3">
      <c r="A536" s="206" t="s">
        <v>628</v>
      </c>
      <c r="B536" s="215">
        <f>0.54*(Kow/Kaw)*CORGaers*(RHOaers/1000)</f>
        <v>1205340070.6487617</v>
      </c>
      <c r="C536" s="206" t="s">
        <v>1549</v>
      </c>
    </row>
    <row r="537" spans="1:3" ht="15" customHeight="1" x14ac:dyDescent="0.3">
      <c r="A537" s="206" t="s">
        <v>638</v>
      </c>
      <c r="B537" s="215">
        <f>0.54*(Kow/Kaw)*CORGaers*(RHOaers/1000)</f>
        <v>1205340070.6487617</v>
      </c>
      <c r="C537" s="206" t="s">
        <v>1549</v>
      </c>
    </row>
    <row r="538" spans="1:3" ht="15" customHeight="1" x14ac:dyDescent="0.3">
      <c r="A538" s="206" t="s">
        <v>614</v>
      </c>
      <c r="B538" s="215">
        <f>0.54*(Kow/Kaw)*CORGaers*(RHOaers/1000)</f>
        <v>1205340070.6487617</v>
      </c>
      <c r="C538" s="206" t="s">
        <v>1549</v>
      </c>
    </row>
    <row r="539" spans="1:3" ht="15" customHeight="1" x14ac:dyDescent="0.3">
      <c r="A539" s="206" t="s">
        <v>633</v>
      </c>
      <c r="B539" s="215">
        <f>0.54*(Kow/Kaw)*CORGaers*(RHOaers/1000)</f>
        <v>1205340070.6487617</v>
      </c>
      <c r="C539" s="206" t="s">
        <v>1549</v>
      </c>
    </row>
    <row r="540" spans="1:3" ht="15" customHeight="1" x14ac:dyDescent="0.3">
      <c r="A540" s="206" t="s">
        <v>642</v>
      </c>
      <c r="B540" s="215">
        <f>1/(Kaw.A*FRorig.aerw)</f>
        <v>642230094.53842366</v>
      </c>
      <c r="C540" s="206" t="s">
        <v>1548</v>
      </c>
    </row>
    <row r="541" spans="1:3" ht="15" customHeight="1" x14ac:dyDescent="0.3">
      <c r="A541" s="206" t="s">
        <v>627</v>
      </c>
      <c r="B541" s="215">
        <f>1/(Kaw.C*FRorig.aerw)</f>
        <v>20342300.315913603</v>
      </c>
      <c r="C541" s="206" t="s">
        <v>1548</v>
      </c>
    </row>
    <row r="542" spans="1:3" ht="15" customHeight="1" x14ac:dyDescent="0.3">
      <c r="A542" s="206" t="s">
        <v>637</v>
      </c>
      <c r="B542" s="215">
        <f>1/(Kaw.M*FRorig.aerw)</f>
        <v>20342300.315913603</v>
      </c>
      <c r="C542" s="206" t="s">
        <v>1548</v>
      </c>
    </row>
    <row r="543" spans="1:3" ht="15" customHeight="1" x14ac:dyDescent="0.3">
      <c r="A543" s="206" t="s">
        <v>611</v>
      </c>
      <c r="B543" s="215">
        <f>1/(Kaw.R*FRorig.aerw)</f>
        <v>20342300.315913603</v>
      </c>
      <c r="C543" s="206" t="s">
        <v>1548</v>
      </c>
    </row>
    <row r="544" spans="1:3" ht="15" customHeight="1" x14ac:dyDescent="0.3">
      <c r="A544" s="206" t="s">
        <v>632</v>
      </c>
      <c r="B544" s="215">
        <f>1/(Kaw.T*FRorig.aerw)</f>
        <v>3370435.2346678358</v>
      </c>
      <c r="C544" s="206" t="s">
        <v>1548</v>
      </c>
    </row>
    <row r="545" spans="1:3" ht="15" customHeight="1" x14ac:dyDescent="0.3">
      <c r="A545" s="209" t="s">
        <v>2045</v>
      </c>
      <c r="B545" s="215">
        <f>Kaw*EXP((H0vap/8.314)*(1/298-1/TEMP.A))*EXP(-(H0sol/8.314)*(1/298-1/TEMP.A))*(298/TEMP.A)</f>
        <v>1.557074866700018E-9</v>
      </c>
      <c r="C545" s="209" t="s">
        <v>36</v>
      </c>
    </row>
    <row r="546" spans="1:3" ht="15" customHeight="1" x14ac:dyDescent="0.3">
      <c r="A546" s="209" t="s">
        <v>2020</v>
      </c>
      <c r="B546" s="215">
        <f>Kaw*EXP((H0vap/8.314)*(1/298-1/TEMP.C))*EXP(-(H0sol/8.314)*(1/298-1/TEMP.C))*(298/TEMP.C)</f>
        <v>4.9158665603902462E-8</v>
      </c>
      <c r="C546" s="209" t="s">
        <v>36</v>
      </c>
    </row>
    <row r="547" spans="1:3" ht="15" customHeight="1" x14ac:dyDescent="0.3">
      <c r="A547" s="209" t="s">
        <v>2037</v>
      </c>
      <c r="B547" s="208">
        <f>Kaw*EXP((H0vap/8.314)*(1/298-1/TEMP.M))*EXP(-(H0sol/8.314)*(1/298-1/TEMP.M))*(298/TEMP.M)</f>
        <v>4.9158665603902462E-8</v>
      </c>
      <c r="C547" s="209" t="s">
        <v>36</v>
      </c>
    </row>
    <row r="548" spans="1:3" ht="15" customHeight="1" x14ac:dyDescent="0.3">
      <c r="A548" s="206" t="s">
        <v>2019</v>
      </c>
      <c r="B548" s="215">
        <f>Kaw*EXP((H0vap/8.314)*(1/298-1/TEMP.R))*EXP(-(H0sol/8.314)*(1/298-1/TEMP.R))*(298/TEMP.R)</f>
        <v>4.9158665603902462E-8</v>
      </c>
      <c r="C548" s="206" t="s">
        <v>2084</v>
      </c>
    </row>
    <row r="549" spans="1:3" ht="15" customHeight="1" x14ac:dyDescent="0.3">
      <c r="A549" s="209" t="s">
        <v>2049</v>
      </c>
      <c r="B549" s="215">
        <f>Kaw*EXP((H0vap/8.314)*(1/298-1/TEMP.T))*EXP(-(H0sol/8.314)*(1/298-1/TEMP.T))*(298/TEMP.T)</f>
        <v>2.9669768715870563E-7</v>
      </c>
      <c r="C549" s="209" t="s">
        <v>36</v>
      </c>
    </row>
    <row r="550" spans="1:3" ht="15" customHeight="1" x14ac:dyDescent="0.3">
      <c r="A550" s="207" t="s">
        <v>671</v>
      </c>
      <c r="B550" s="208">
        <f>FRgas.aA*kdeg.air*(C.OHrad.aA/C.OHrad)*Tempfactor.aA</f>
        <v>7.4739821958065615E-6</v>
      </c>
      <c r="C550" s="209" t="s">
        <v>2082</v>
      </c>
    </row>
    <row r="551" spans="1:3" ht="15" customHeight="1" x14ac:dyDescent="0.3">
      <c r="A551" s="207" t="s">
        <v>1203</v>
      </c>
      <c r="B551" s="208">
        <f>FRgas.aC*kdeg.air*(C.OHrad.aC/C.OHrad)*Tempfactor.aC</f>
        <v>9.0456151799195571E-6</v>
      </c>
      <c r="C551" s="209" t="s">
        <v>2082</v>
      </c>
    </row>
    <row r="552" spans="1:3" ht="15" customHeight="1" x14ac:dyDescent="0.3">
      <c r="A552" s="207" t="s">
        <v>192</v>
      </c>
      <c r="B552" s="208">
        <f>FRgas.aM*kdeg.air*(C.OHrad.aM/C.OHrad)*Tempfactor.aM</f>
        <v>9.0456151799195571E-6</v>
      </c>
      <c r="C552" s="209" t="s">
        <v>2082</v>
      </c>
    </row>
    <row r="553" spans="1:3" ht="15" customHeight="1" x14ac:dyDescent="0.3">
      <c r="A553" s="207" t="s">
        <v>464</v>
      </c>
      <c r="B553" s="208">
        <f>FRgas.aR*kdeg.air*(C.OHrad.aR/C.OHrad)*Tempfactor.aR</f>
        <v>9.0456151799195571E-6</v>
      </c>
      <c r="C553" s="209" t="s">
        <v>2082</v>
      </c>
    </row>
    <row r="554" spans="1:3" ht="15" customHeight="1" x14ac:dyDescent="0.3">
      <c r="A554" s="207" t="s">
        <v>52</v>
      </c>
      <c r="B554" s="208">
        <f>FRgas.aT*kdeg.air*(C.OHrad.aT/C.OHrad)*Tempfactor.aT</f>
        <v>1.0056882802015316E-5</v>
      </c>
      <c r="C554" s="209" t="s">
        <v>2082</v>
      </c>
    </row>
    <row r="555" spans="1:3" ht="15" customHeight="1" x14ac:dyDescent="0.3">
      <c r="A555" s="207" t="s">
        <v>1293</v>
      </c>
      <c r="B555" s="215">
        <f>Tempfactor.wsdsC*kdeg.soil</f>
        <v>4.3455503205058602E-8</v>
      </c>
      <c r="C555" s="209" t="s">
        <v>2082</v>
      </c>
    </row>
    <row r="556" spans="1:3" ht="15" customHeight="1" x14ac:dyDescent="0.3">
      <c r="A556" s="207" t="s">
        <v>1335</v>
      </c>
      <c r="B556" s="208">
        <f>Tempfactor.wsdsR*kdeg.soil</f>
        <v>4.3455503205058602E-8</v>
      </c>
      <c r="C556" s="209" t="s">
        <v>2082</v>
      </c>
    </row>
    <row r="557" spans="1:3" ht="15" customHeight="1" x14ac:dyDescent="0.3">
      <c r="A557" s="207" t="s">
        <v>1294</v>
      </c>
      <c r="B557" s="215">
        <f>Tempfactor.wsdsC*kdeg.soil</f>
        <v>4.3455503205058602E-8</v>
      </c>
      <c r="C557" s="209" t="s">
        <v>2082</v>
      </c>
    </row>
    <row r="558" spans="1:3" ht="15" customHeight="1" x14ac:dyDescent="0.3">
      <c r="A558" s="207" t="s">
        <v>1336</v>
      </c>
      <c r="B558" s="208">
        <f>Tempfactor.wsdsR*kdeg.soil</f>
        <v>4.3455503205058602E-8</v>
      </c>
      <c r="C558" s="209" t="s">
        <v>2082</v>
      </c>
    </row>
    <row r="559" spans="1:3" ht="15" customHeight="1" x14ac:dyDescent="0.3">
      <c r="A559" s="207" t="s">
        <v>1202</v>
      </c>
      <c r="B559" s="215">
        <f>Tempfactor.wsdsC*kdeg.soil</f>
        <v>4.3455503205058602E-8</v>
      </c>
      <c r="C559" s="209" t="s">
        <v>2082</v>
      </c>
    </row>
    <row r="560" spans="1:3" ht="15" customHeight="1" x14ac:dyDescent="0.3">
      <c r="A560" s="207" t="s">
        <v>1337</v>
      </c>
      <c r="B560" s="208">
        <f>Tempfactor.wsdsR*kdeg.soil</f>
        <v>4.3455503205058602E-8</v>
      </c>
      <c r="C560" s="209" t="s">
        <v>2082</v>
      </c>
    </row>
    <row r="561" spans="1:3" ht="15" customHeight="1" x14ac:dyDescent="0.3">
      <c r="A561" s="207" t="s">
        <v>673</v>
      </c>
      <c r="B561" s="215">
        <f>Tempfactor.wsdsA*kdeg.soil</f>
        <v>9.4575531983700746E-9</v>
      </c>
      <c r="C561" s="209" t="s">
        <v>2082</v>
      </c>
    </row>
    <row r="562" spans="1:3" ht="15" customHeight="1" x14ac:dyDescent="0.3">
      <c r="A562" s="207" t="s">
        <v>1014</v>
      </c>
      <c r="B562" s="215">
        <f>Tempfactor.wsdsC*kdeg.sed</f>
        <v>9.6658035166392018E-9</v>
      </c>
      <c r="C562" s="209" t="s">
        <v>2082</v>
      </c>
    </row>
    <row r="563" spans="1:3" ht="15" customHeight="1" x14ac:dyDescent="0.3">
      <c r="A563" s="207" t="s">
        <v>1333</v>
      </c>
      <c r="B563" s="208">
        <f>Tempfactor.wsdsR*kdeg.sed</f>
        <v>9.6658035166392018E-9</v>
      </c>
      <c r="C563" s="209" t="s">
        <v>2082</v>
      </c>
    </row>
    <row r="564" spans="1:3" ht="15" customHeight="1" x14ac:dyDescent="0.3">
      <c r="A564" s="207" t="s">
        <v>1292</v>
      </c>
      <c r="B564" s="215">
        <f>Tempfactor.wsdsC*kdeg.sed</f>
        <v>9.6658035166392018E-9</v>
      </c>
      <c r="C564" s="209" t="s">
        <v>2082</v>
      </c>
    </row>
    <row r="565" spans="1:3" ht="15" customHeight="1" x14ac:dyDescent="0.3">
      <c r="A565" s="207" t="s">
        <v>1334</v>
      </c>
      <c r="B565" s="208">
        <f>Tempfactor.wsdsR*kdeg.sed</f>
        <v>9.6658035166392018E-9</v>
      </c>
      <c r="C565" s="209" t="s">
        <v>2082</v>
      </c>
    </row>
    <row r="566" spans="1:3" ht="15" customHeight="1" x14ac:dyDescent="0.3">
      <c r="A566" s="207" t="s">
        <v>672</v>
      </c>
      <c r="B566" s="215">
        <f>Tempfactor.wsdsA*kdeg.sed</f>
        <v>2.103642674029979E-9</v>
      </c>
      <c r="C566" s="209" t="s">
        <v>2082</v>
      </c>
    </row>
    <row r="567" spans="1:3" ht="15" customHeight="1" x14ac:dyDescent="0.3">
      <c r="A567" s="207" t="s">
        <v>193</v>
      </c>
      <c r="B567" s="208">
        <f>Tempfactor.wsdsM*kdeg.sed</f>
        <v>9.6658035166392018E-9</v>
      </c>
      <c r="C567" s="209" t="s">
        <v>2082</v>
      </c>
    </row>
    <row r="568" spans="1:3" ht="15" customHeight="1" x14ac:dyDescent="0.3">
      <c r="A568" s="207" t="s">
        <v>53</v>
      </c>
      <c r="B568" s="208">
        <f>Tempfactor.wsdsT*kdeg.sed</f>
        <v>2.3799999999999998E-8</v>
      </c>
      <c r="C568" s="209" t="s">
        <v>2082</v>
      </c>
    </row>
    <row r="569" spans="1:3" ht="15" customHeight="1" x14ac:dyDescent="0.3">
      <c r="A569" s="207" t="s">
        <v>194</v>
      </c>
      <c r="B569" s="208">
        <f>Tempfactor.wsdsM*kdeg.soil</f>
        <v>4.3455503205058602E-8</v>
      </c>
      <c r="C569" s="209" t="s">
        <v>2082</v>
      </c>
    </row>
    <row r="570" spans="1:3" ht="15" customHeight="1" x14ac:dyDescent="0.3">
      <c r="A570" s="207" t="s">
        <v>54</v>
      </c>
      <c r="B570" s="208">
        <f>Tempfactor.wsdsT*kdeg.soil</f>
        <v>1.0700000000000001E-7</v>
      </c>
      <c r="C570" s="209" t="s">
        <v>2082</v>
      </c>
    </row>
    <row r="571" spans="1:3" ht="15" customHeight="1" x14ac:dyDescent="0.3">
      <c r="A571" s="207" t="s">
        <v>354</v>
      </c>
      <c r="B571" s="208">
        <f>kdeg.water*Tempfactor.wsdsC*(BACT.w0C/BACT.test)*FRw.w0C</f>
        <v>8.685696044300724E-8</v>
      </c>
      <c r="C571" s="209" t="s">
        <v>2082</v>
      </c>
    </row>
    <row r="572" spans="1:3" ht="15" customHeight="1" x14ac:dyDescent="0.3">
      <c r="A572" s="207" t="s">
        <v>306</v>
      </c>
      <c r="B572" s="208">
        <f>kdeg.water*Tempfactor.wsdsR*(BACT.w0R/BACT.test)*FRw.w0R</f>
        <v>8.685696044300724E-8</v>
      </c>
      <c r="C572" s="209" t="s">
        <v>2082</v>
      </c>
    </row>
    <row r="573" spans="1:3" ht="15" customHeight="1" x14ac:dyDescent="0.3">
      <c r="A573" s="207" t="s">
        <v>1012</v>
      </c>
      <c r="B573" s="208">
        <f>kdeg.water*Tempfactor.wsdsC*(BACT.w1C/BACT.test)*FRw.w1C</f>
        <v>8.6728477588904822E-8</v>
      </c>
      <c r="C573" s="209" t="s">
        <v>2082</v>
      </c>
    </row>
    <row r="574" spans="1:3" ht="15" customHeight="1" x14ac:dyDescent="0.3">
      <c r="A574" s="207" t="s">
        <v>851</v>
      </c>
      <c r="B574" s="208">
        <f>kdeg.water*Tempfactor.wsdsR*(BACT.w1R/BACT.test)*FRw.w1R</f>
        <v>8.6728477588904822E-8</v>
      </c>
      <c r="C574" s="209" t="s">
        <v>2082</v>
      </c>
    </row>
    <row r="575" spans="1:3" ht="15" customHeight="1" x14ac:dyDescent="0.3">
      <c r="A575" s="207" t="s">
        <v>1158</v>
      </c>
      <c r="B575" s="215">
        <f>kdeg.water*Tempfactor.wsdsA*(BACT.w2A/BACT.test)*FRw.w2A</f>
        <v>1.8894918047157747E-8</v>
      </c>
      <c r="C575" s="209" t="s">
        <v>2082</v>
      </c>
    </row>
    <row r="576" spans="1:3" ht="15" customHeight="1" x14ac:dyDescent="0.3">
      <c r="A576" s="207" t="s">
        <v>1013</v>
      </c>
      <c r="B576" s="208">
        <f>kdeg.water*Tempfactor.wsdsC*(BACT.w2C/BACT.test)*FRw.w2C</f>
        <v>8.6818245114295561E-8</v>
      </c>
      <c r="C576" s="209" t="s">
        <v>2082</v>
      </c>
    </row>
    <row r="577" spans="1:3" ht="15" customHeight="1" x14ac:dyDescent="0.3">
      <c r="A577" s="207" t="s">
        <v>149</v>
      </c>
      <c r="B577" s="208">
        <f>kdeg.water*Tempfactor.wsdsM*(BACT.w2M/BACT.test)*FRw.w2M</f>
        <v>8.6818245114295561E-8</v>
      </c>
      <c r="C577" s="209" t="s">
        <v>2082</v>
      </c>
    </row>
    <row r="578" spans="1:3" ht="15" customHeight="1" x14ac:dyDescent="0.3">
      <c r="A578" s="207" t="s">
        <v>852</v>
      </c>
      <c r="B578" s="208">
        <f>kdeg.water*Tempfactor.wsdsR*(BACT.w2R/BACT.test)*FRw.w2R</f>
        <v>8.6818245114295561E-8</v>
      </c>
      <c r="C578" s="209" t="s">
        <v>2082</v>
      </c>
    </row>
    <row r="579" spans="1:3" ht="15" customHeight="1" x14ac:dyDescent="0.3">
      <c r="A579" s="207" t="s">
        <v>1137</v>
      </c>
      <c r="B579" s="208">
        <f>kdeg.water*Tempfactor.wsdsT*(BACT.w2T/BACT.test)*FRw.w2T</f>
        <v>2.1377159489774912E-7</v>
      </c>
      <c r="C579" s="209" t="s">
        <v>2082</v>
      </c>
    </row>
    <row r="580" spans="1:3" ht="15" customHeight="1" x14ac:dyDescent="0.3">
      <c r="A580" s="207" t="s">
        <v>1159</v>
      </c>
      <c r="B580" s="215">
        <f>kdeg.water*Tempfactor.wsdsA*(BACT.w3A/BACT.test)*FRw.w3A</f>
        <v>1.8894918047157747E-8</v>
      </c>
      <c r="C580" s="209" t="s">
        <v>2082</v>
      </c>
    </row>
    <row r="581" spans="1:3" ht="15" customHeight="1" x14ac:dyDescent="0.3">
      <c r="A581" s="207" t="s">
        <v>150</v>
      </c>
      <c r="B581" s="208">
        <f>kdeg.water*Tempfactor.wsdsM*(BACT.w3M/BACT.test)*FRw.w3M</f>
        <v>8.6818245114295561E-8</v>
      </c>
      <c r="C581" s="209" t="s">
        <v>2082</v>
      </c>
    </row>
    <row r="582" spans="1:3" ht="15" customHeight="1" x14ac:dyDescent="0.3">
      <c r="A582" s="207" t="s">
        <v>1139</v>
      </c>
      <c r="B582" s="208">
        <f>kdeg.water*Tempfactor.wsdsT*(BACT.w3T/BACT.test)*FRw.w3T</f>
        <v>2.1377159489774912E-7</v>
      </c>
      <c r="C582" s="209" t="s">
        <v>2082</v>
      </c>
    </row>
    <row r="583" spans="1:3" ht="15" customHeight="1" x14ac:dyDescent="0.3">
      <c r="A583" s="207" t="s">
        <v>758</v>
      </c>
      <c r="B583" s="216" t="s">
        <v>2090</v>
      </c>
      <c r="C583" s="209" t="s">
        <v>2082</v>
      </c>
    </row>
    <row r="584" spans="1:3" ht="15" customHeight="1" x14ac:dyDescent="0.3">
      <c r="A584" s="207" t="s">
        <v>997</v>
      </c>
      <c r="B584" s="216" t="s">
        <v>2091</v>
      </c>
      <c r="C584" s="209" t="s">
        <v>2082</v>
      </c>
    </row>
    <row r="585" spans="1:3" ht="15" customHeight="1" x14ac:dyDescent="0.3">
      <c r="A585" s="207" t="s">
        <v>750</v>
      </c>
      <c r="B585" s="216" t="s">
        <v>2092</v>
      </c>
      <c r="C585" s="209" t="s">
        <v>2082</v>
      </c>
    </row>
    <row r="586" spans="1:3" ht="15" customHeight="1" x14ac:dyDescent="0.3">
      <c r="A586" s="207" t="s">
        <v>926</v>
      </c>
      <c r="B586" s="216" t="s">
        <v>2093</v>
      </c>
      <c r="C586" s="209" t="s">
        <v>2082</v>
      </c>
    </row>
    <row r="587" spans="1:3" ht="15" customHeight="1" x14ac:dyDescent="0.3">
      <c r="A587" s="207" t="s">
        <v>427</v>
      </c>
      <c r="B587" s="216" t="s">
        <v>2094</v>
      </c>
      <c r="C587" s="209" t="s">
        <v>2082</v>
      </c>
    </row>
    <row r="588" spans="1:3" ht="15" customHeight="1" x14ac:dyDescent="0.3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3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3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3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3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3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3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3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3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3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3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3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3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3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3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3">
      <c r="A603" s="210" t="s">
        <v>346</v>
      </c>
      <c r="B603" s="208">
        <f>0.08*D</f>
        <v>264.01059655875667</v>
      </c>
      <c r="C603" s="209" t="s">
        <v>1039</v>
      </c>
    </row>
    <row r="604" spans="1:3" ht="15" customHeight="1" x14ac:dyDescent="0.3">
      <c r="A604" s="210" t="s">
        <v>296</v>
      </c>
      <c r="B604" s="208">
        <f>0.08*D</f>
        <v>264.01059655875667</v>
      </c>
      <c r="C604" s="209" t="s">
        <v>1039</v>
      </c>
    </row>
    <row r="605" spans="1:3" ht="15" customHeight="1" x14ac:dyDescent="0.3">
      <c r="A605" s="210" t="s">
        <v>555</v>
      </c>
      <c r="B605" s="208">
        <f>0.08*D</f>
        <v>264.01059655875667</v>
      </c>
      <c r="C605" s="209" t="s">
        <v>1039</v>
      </c>
    </row>
    <row r="606" spans="1:3" ht="15" customHeight="1" x14ac:dyDescent="0.3">
      <c r="A606" s="210" t="s">
        <v>550</v>
      </c>
      <c r="B606" s="208">
        <f>0.08*D</f>
        <v>264.01059655875667</v>
      </c>
      <c r="C606" s="209" t="s">
        <v>1039</v>
      </c>
    </row>
    <row r="607" spans="1:3" ht="15" customHeight="1" x14ac:dyDescent="0.3">
      <c r="A607" s="210" t="s">
        <v>1153</v>
      </c>
      <c r="B607" s="208">
        <v>220</v>
      </c>
      <c r="C607" s="209" t="s">
        <v>1039</v>
      </c>
    </row>
    <row r="608" spans="1:3" ht="15" customHeight="1" x14ac:dyDescent="0.3">
      <c r="A608" s="210" t="s">
        <v>557</v>
      </c>
      <c r="B608" s="208">
        <f>0.08*D</f>
        <v>264.01059655875667</v>
      </c>
      <c r="C608" s="209" t="s">
        <v>1039</v>
      </c>
    </row>
    <row r="609" spans="1:3" ht="15" customHeight="1" x14ac:dyDescent="0.3">
      <c r="A609" s="210" t="s">
        <v>140</v>
      </c>
      <c r="B609" s="208">
        <v>220</v>
      </c>
      <c r="C609" s="209" t="s">
        <v>1039</v>
      </c>
    </row>
    <row r="610" spans="1:3" ht="15" customHeight="1" x14ac:dyDescent="0.3">
      <c r="A610" s="210" t="s">
        <v>553</v>
      </c>
      <c r="B610" s="208">
        <f>0.08*D</f>
        <v>264.01059655875667</v>
      </c>
      <c r="C610" s="209" t="s">
        <v>1039</v>
      </c>
    </row>
    <row r="611" spans="1:3" ht="15" customHeight="1" x14ac:dyDescent="0.3">
      <c r="A611" s="210" t="s">
        <v>1128</v>
      </c>
      <c r="B611" s="208">
        <v>220</v>
      </c>
      <c r="C611" s="209" t="s">
        <v>1039</v>
      </c>
    </row>
    <row r="612" spans="1:3" ht="15" customHeight="1" x14ac:dyDescent="0.3">
      <c r="A612" s="210" t="s">
        <v>1154</v>
      </c>
      <c r="B612" s="208">
        <v>220</v>
      </c>
      <c r="C612" s="209" t="s">
        <v>1039</v>
      </c>
    </row>
    <row r="613" spans="1:3" ht="15" customHeight="1" x14ac:dyDescent="0.3">
      <c r="A613" s="210" t="s">
        <v>141</v>
      </c>
      <c r="B613" s="208">
        <v>220</v>
      </c>
      <c r="C613" s="209" t="s">
        <v>1039</v>
      </c>
    </row>
    <row r="614" spans="1:3" ht="15" customHeight="1" x14ac:dyDescent="0.3">
      <c r="A614" s="210" t="s">
        <v>1129</v>
      </c>
      <c r="B614" s="208">
        <v>220</v>
      </c>
      <c r="C614" s="209" t="s">
        <v>1039</v>
      </c>
    </row>
    <row r="615" spans="1:3" ht="15" customHeight="1" x14ac:dyDescent="0.3">
      <c r="A615" s="210" t="s">
        <v>125</v>
      </c>
      <c r="B615" s="208">
        <f>(FRorig.s1*Ksw+(1-FRorig.s1)*Ksw.alt)*(1000/RHOsolid/CORG)*CORG.s1C</f>
        <v>20.503433979592884</v>
      </c>
      <c r="C615" s="209" t="s">
        <v>1039</v>
      </c>
    </row>
    <row r="616" spans="1:3" ht="15" customHeight="1" x14ac:dyDescent="0.3">
      <c r="A616" s="210" t="s">
        <v>126</v>
      </c>
      <c r="B616" s="208">
        <f>(FRorig.s1*Ksw+(1-FRorig.s1)*Ksw.alt)*(1000/RHOsolid/CORG)*CORG.s1R</f>
        <v>20.503433979592884</v>
      </c>
      <c r="C616" s="209" t="s">
        <v>2085</v>
      </c>
    </row>
    <row r="617" spans="1:3" ht="15" customHeight="1" x14ac:dyDescent="0.3">
      <c r="A617" s="210" t="s">
        <v>167</v>
      </c>
      <c r="B617" s="208">
        <f>(FRorig.s2*Ksw+(1-FRorig.s2)*Ksw.alt)*(1000/RHOsolid/CORG)*CORG.s2C</f>
        <v>20.487595885087657</v>
      </c>
      <c r="C617" s="209" t="s">
        <v>1039</v>
      </c>
    </row>
    <row r="618" spans="1:3" ht="15" customHeight="1" x14ac:dyDescent="0.3">
      <c r="A618" s="210" t="s">
        <v>168</v>
      </c>
      <c r="B618" s="208">
        <f>(FRorig.s2*Ksw+(1-FRorig.s2)*Ksw.alt)*(1000/RHOsolid/CORG)*CORG.s2R</f>
        <v>20.487595885087657</v>
      </c>
      <c r="C618" s="209" t="s">
        <v>2085</v>
      </c>
    </row>
    <row r="619" spans="1:3" ht="15" customHeight="1" x14ac:dyDescent="0.3">
      <c r="A619" s="210" t="s">
        <v>169</v>
      </c>
      <c r="B619" s="208">
        <f>(FRorig.s2*Ksw+(1-FRorig.s2)*Ksw.alt)*(1000/RHOsolid/CORG)*CORG.s3C</f>
        <v>20.487595885087657</v>
      </c>
      <c r="C619" s="209" t="s">
        <v>1039</v>
      </c>
    </row>
    <row r="620" spans="1:3" ht="15" customHeight="1" x14ac:dyDescent="0.3">
      <c r="A620" s="210" t="s">
        <v>170</v>
      </c>
      <c r="B620" s="208">
        <f>(FRorig.s3*Ksw+(1-FRorig.s3)*Ksw.alt)*(1000/RHOsolid/CORG)*CORG.s3R</f>
        <v>20.487595885087657</v>
      </c>
      <c r="C620" s="209" t="s">
        <v>2085</v>
      </c>
    </row>
    <row r="621" spans="1:3" ht="15" customHeight="1" x14ac:dyDescent="0.3">
      <c r="A621" s="210" t="s">
        <v>171</v>
      </c>
      <c r="B621" s="208">
        <f>(FRorig.s1*Ksw+(1-FRorig.s1)*Ksw.alt)*(1000/RHOsolid/CORG)*CORG.sA</f>
        <v>20.503433979592884</v>
      </c>
      <c r="C621" s="209" t="s">
        <v>2085</v>
      </c>
    </row>
    <row r="622" spans="1:3" ht="15" customHeight="1" x14ac:dyDescent="0.3">
      <c r="A622" s="210" t="s">
        <v>172</v>
      </c>
      <c r="B622" s="208">
        <f>(FRorig.sd1*Ksw+(1-FRorig.sd1)*Ksw.alt)*(1000/RHOsolid/CORG)*CORG.sd1C</f>
        <v>51.21898971271915</v>
      </c>
      <c r="C622" s="209" t="s">
        <v>1039</v>
      </c>
    </row>
    <row r="623" spans="1:3" ht="15" customHeight="1" x14ac:dyDescent="0.3">
      <c r="A623" s="210" t="s">
        <v>173</v>
      </c>
      <c r="B623" s="208">
        <f>(FRorig.sd1*Ksw+(1-FRorig.sd1)*Ksw.alt)*(1000/RHOsolid/CORG)*CORG.sd1R</f>
        <v>51.21898971271915</v>
      </c>
      <c r="C623" s="209" t="s">
        <v>2085</v>
      </c>
    </row>
    <row r="624" spans="1:3" ht="15" customHeight="1" x14ac:dyDescent="0.3">
      <c r="A624" s="210" t="s">
        <v>174</v>
      </c>
      <c r="B624" s="208">
        <f>(FRorig.sd2*Ksw+(1-FRorig.sd2)*Ksw.alt)*(1000/RHOsolid/CORG)*CORG.sd2C</f>
        <v>50.862067853401449</v>
      </c>
      <c r="C624" s="209" t="s">
        <v>1039</v>
      </c>
    </row>
    <row r="625" spans="1:3" ht="15" customHeight="1" x14ac:dyDescent="0.3">
      <c r="A625" s="210" t="s">
        <v>175</v>
      </c>
      <c r="B625" s="208">
        <f>(FRorig.sd2*Ksw+(1-FRorig.sd2)*Ksw.alt)*(1000/RHOsolid/CORG)*CORG.sd2R</f>
        <v>50.862067853401449</v>
      </c>
      <c r="C625" s="209" t="s">
        <v>2085</v>
      </c>
    </row>
    <row r="626" spans="1:3" ht="15" customHeight="1" x14ac:dyDescent="0.3">
      <c r="A626" s="210" t="s">
        <v>176</v>
      </c>
      <c r="B626" s="208">
        <f>(FRorig.sd2*Ksw+(1-FRorig.sd2)*Ksw.alt)*(1000/RHOsolid/CORG)*CORG.sdA</f>
        <v>50.862067853401449</v>
      </c>
      <c r="C626" s="209" t="s">
        <v>2085</v>
      </c>
    </row>
    <row r="627" spans="1:3" ht="15" customHeight="1" x14ac:dyDescent="0.3">
      <c r="A627" s="210" t="s">
        <v>177</v>
      </c>
      <c r="B627" s="208">
        <f>(FRorig.sd2*Ksw+(1-FRorig.sd2)*Ksw.alt)*(1000/RHOsolid/CORG)*CORG.sdM</f>
        <v>50.862067853401449</v>
      </c>
      <c r="C627" s="209" t="s">
        <v>2085</v>
      </c>
    </row>
    <row r="628" spans="1:3" ht="15" customHeight="1" x14ac:dyDescent="0.3">
      <c r="A628" s="210" t="s">
        <v>178</v>
      </c>
      <c r="B628" s="208">
        <f>(FRorig.sd2*Ksw+(1-FRorig.sd2)*Ksw.alt)*(1000/RHOsolid/CORG)*CORG.sdT</f>
        <v>50.862067853401449</v>
      </c>
      <c r="C628" s="209" t="s">
        <v>2085</v>
      </c>
    </row>
    <row r="629" spans="1:3" ht="15" customHeight="1" x14ac:dyDescent="0.3">
      <c r="A629" s="210" t="s">
        <v>179</v>
      </c>
      <c r="B629" s="208">
        <f>(FRorig.s1*Ksw+(1-FRorig.s1)*Ksw.alt)*(1000/RHOsolid/CORG)*CORG.sM</f>
        <v>20.503433979592884</v>
      </c>
      <c r="C629" s="209" t="s">
        <v>2085</v>
      </c>
    </row>
    <row r="630" spans="1:3" ht="15" customHeight="1" x14ac:dyDescent="0.3">
      <c r="A630" s="210" t="s">
        <v>180</v>
      </c>
      <c r="B630" s="208">
        <f>(FRorig.s1*Ksw+(1-FRorig.s1)*Ksw.alt)*(1000/RHOsolid/CORG)*CORG.sT</f>
        <v>20.503433979592884</v>
      </c>
      <c r="C630" s="209" t="s">
        <v>2085</v>
      </c>
    </row>
    <row r="631" spans="1:3" ht="15" customHeight="1" x14ac:dyDescent="0.3">
      <c r="A631" s="210" t="s">
        <v>343</v>
      </c>
      <c r="B631" s="208">
        <f>(FRorig.w1*Ksw+(1-FRorig.w1)*Ksw.alt)*(1000/RHOsolid/CORG)*CORG.susp0C</f>
        <v>102.20032562438601</v>
      </c>
      <c r="C631" s="209" t="s">
        <v>2085</v>
      </c>
    </row>
    <row r="632" spans="1:3" ht="15" customHeight="1" x14ac:dyDescent="0.3">
      <c r="A632" s="210" t="s">
        <v>293</v>
      </c>
      <c r="B632" s="208">
        <f>(FRorig.w1*Ksw+(1-FRorig.w1)*Ksw.alt)*(1000/RHOsolid/CORG)*CORG.susp0R</f>
        <v>102.20032562438601</v>
      </c>
      <c r="C632" s="209" t="s">
        <v>2085</v>
      </c>
    </row>
    <row r="633" spans="1:3" ht="15" customHeight="1" x14ac:dyDescent="0.3">
      <c r="A633" s="210" t="s">
        <v>181</v>
      </c>
      <c r="B633" s="208">
        <f>(FRorig.w1*Ksw+(1-FRorig.w1)*Ksw.alt)*(1000/RHOsolid/CORG)*CORG.susp1C</f>
        <v>102.20032562438601</v>
      </c>
      <c r="C633" s="209" t="s">
        <v>1039</v>
      </c>
    </row>
    <row r="634" spans="1:3" ht="15" customHeight="1" x14ac:dyDescent="0.3">
      <c r="A634" s="210" t="s">
        <v>182</v>
      </c>
      <c r="B634" s="208">
        <f>(FRorig.w1*Ksw+(1-FRorig.w1)*Ksw.alt)*(1000/RHOsolid/CORG)*CORG.susp1R</f>
        <v>102.20032562438601</v>
      </c>
      <c r="C634" s="209" t="s">
        <v>2085</v>
      </c>
    </row>
    <row r="635" spans="1:3" ht="15" customHeight="1" x14ac:dyDescent="0.3">
      <c r="A635" s="210" t="s">
        <v>1149</v>
      </c>
      <c r="B635" s="208">
        <f>(FRorig.w2*Ksw+(1-FRorig.w2)*Ksw.alt)*(1000/RHOsolid/CORG)*CORG.susp2A</f>
        <v>99.435216023782488</v>
      </c>
      <c r="C635" s="209" t="s">
        <v>2085</v>
      </c>
    </row>
    <row r="636" spans="1:3" ht="15" customHeight="1" x14ac:dyDescent="0.3">
      <c r="A636" s="210" t="s">
        <v>183</v>
      </c>
      <c r="B636" s="208">
        <f>(FRorig.w2*Ksw+(1-FRorig.w2)*Ksw.alt)*(1000/RHOsolid/CORG)*CORG.susp2C</f>
        <v>99.435216023782488</v>
      </c>
      <c r="C636" s="209" t="s">
        <v>1039</v>
      </c>
    </row>
    <row r="637" spans="1:3" ht="15" customHeight="1" x14ac:dyDescent="0.3">
      <c r="A637" s="210" t="s">
        <v>136</v>
      </c>
      <c r="B637" s="208">
        <f>(FRorig.w2*Ksw+(1-FRorig.w2)*Ksw.alt)*(1000/RHOsolid/CORG)*CORG.susp2M</f>
        <v>99.435216023782488</v>
      </c>
      <c r="C637" s="209" t="s">
        <v>2085</v>
      </c>
    </row>
    <row r="638" spans="1:3" ht="15" customHeight="1" x14ac:dyDescent="0.3">
      <c r="A638" s="210" t="s">
        <v>184</v>
      </c>
      <c r="B638" s="208">
        <f>(FRorig.w2*Ksw+(1-FRorig.w2)*Ksw.alt)*(1000/RHOsolid/CORG)*CORG.susp2R</f>
        <v>99.435216023782488</v>
      </c>
      <c r="C638" s="209" t="s">
        <v>2085</v>
      </c>
    </row>
    <row r="639" spans="1:3" ht="15" customHeight="1" x14ac:dyDescent="0.3">
      <c r="A639" s="210" t="s">
        <v>1121</v>
      </c>
      <c r="B639" s="208">
        <f>(FRorig.w2*Ksw+(1-FRorig.w2)*Ksw.alt)*(1000/RHOsolid/CORG)*CORG.susp2T</f>
        <v>99.435216023782488</v>
      </c>
      <c r="C639" s="209" t="s">
        <v>2085</v>
      </c>
    </row>
    <row r="640" spans="1:3" ht="15" customHeight="1" x14ac:dyDescent="0.3">
      <c r="A640" s="210" t="s">
        <v>1150</v>
      </c>
      <c r="B640" s="208">
        <f>(FRorig.w2*Ksw+(1-FRorig.w2)*Ksw.alt)*(1000/RHOsolid/CORG)*CORG.susp3A</f>
        <v>99.435216023782488</v>
      </c>
      <c r="C640" s="209" t="s">
        <v>2085</v>
      </c>
    </row>
    <row r="641" spans="1:3" ht="15" customHeight="1" x14ac:dyDescent="0.3">
      <c r="A641" s="210" t="s">
        <v>137</v>
      </c>
      <c r="B641" s="208">
        <f>(FRorig.w2*Ksw+(1-FRorig.w2)*Ksw.alt)*(1000/RHOsolid/CORG)*CORG.susp3M</f>
        <v>99.435216023782488</v>
      </c>
      <c r="C641" s="209" t="s">
        <v>1498</v>
      </c>
    </row>
    <row r="642" spans="1:3" ht="15" customHeight="1" x14ac:dyDescent="0.3">
      <c r="A642" s="210" t="s">
        <v>1123</v>
      </c>
      <c r="B642" s="208">
        <f>(FRorig.w2*Ksw+(1-FRorig.w2)*Ksw.alt)*(1000/RHOsolid/CORG)*CORG.susp3T</f>
        <v>99.435216023782488</v>
      </c>
      <c r="C642" s="209" t="s">
        <v>2085</v>
      </c>
    </row>
    <row r="643" spans="1:3" ht="15" customHeight="1" x14ac:dyDescent="0.3">
      <c r="A643" s="210" t="s">
        <v>479</v>
      </c>
      <c r="B643" s="208">
        <f>FRACa.s1C*(Kaw.C*FRorig.s1w)+FRACw.s1C+FRACs.s1C*Kp.s1C*RHOsolid/1000</f>
        <v>30.955150979220729</v>
      </c>
      <c r="C643" s="209" t="s">
        <v>36</v>
      </c>
    </row>
    <row r="644" spans="1:3" ht="15" customHeight="1" x14ac:dyDescent="0.3">
      <c r="A644" s="210" t="s">
        <v>1069</v>
      </c>
      <c r="B644" s="208">
        <f>FRACa.s1R*(Kaw.R*FRorig.s1w)+FRACw.s1R+FRACs.s1R*Kp.s1R*RHOsolid/1000</f>
        <v>30.955150979220729</v>
      </c>
      <c r="C644" s="209" t="s">
        <v>36</v>
      </c>
    </row>
    <row r="645" spans="1:3" ht="15" customHeight="1" x14ac:dyDescent="0.3">
      <c r="A645" s="210" t="s">
        <v>481</v>
      </c>
      <c r="B645" s="208">
        <f>FRACa.s2C*(Kaw.C*FRorig.s2w)+FRACw.s2C+FRACs.s2C*Kp.s2C*RHOsolid/1000</f>
        <v>30.931393837430026</v>
      </c>
      <c r="C645" s="209" t="s">
        <v>36</v>
      </c>
    </row>
    <row r="646" spans="1:3" ht="15" customHeight="1" x14ac:dyDescent="0.3">
      <c r="A646" s="210" t="s">
        <v>1071</v>
      </c>
      <c r="B646" s="208">
        <f>FRACa.s2R*(Kaw.R*FRorig.s2w)+FRACw.s2R+FRACs.s2R*Kp.s2R*RHOsolid/1000</f>
        <v>30.931393837430026</v>
      </c>
      <c r="C646" s="209" t="s">
        <v>36</v>
      </c>
    </row>
    <row r="647" spans="1:3" ht="15" customHeight="1" x14ac:dyDescent="0.3">
      <c r="A647" s="210" t="s">
        <v>483</v>
      </c>
      <c r="B647" s="208">
        <f>FRACa.s3C*(Kaw.C*FRorig.s3w)+FRACw.s3C+FRACs.s3C*Kp.s3C*RHOsolid/1000</f>
        <v>30.931393837430026</v>
      </c>
      <c r="C647" s="209" t="s">
        <v>36</v>
      </c>
    </row>
    <row r="648" spans="1:3" ht="15" customHeight="1" x14ac:dyDescent="0.3">
      <c r="A648" s="210" t="s">
        <v>1073</v>
      </c>
      <c r="B648" s="208">
        <f>FRACa.s3R*(Kaw.R*FRorig.s3w)+FRACw.s3R+FRACs.s3R*Kp.s3R*RHOsolid/1000</f>
        <v>30.931393837430026</v>
      </c>
      <c r="C648" s="209" t="s">
        <v>36</v>
      </c>
    </row>
    <row r="649" spans="1:3" ht="15" customHeight="1" x14ac:dyDescent="0.3">
      <c r="A649" s="210" t="s">
        <v>411</v>
      </c>
      <c r="B649" s="208">
        <f>FRACw.sdA+FRACs.sdA*Kp.sdA*RHOsolid/1000</f>
        <v>26.231033926700718</v>
      </c>
      <c r="C649" s="209" t="s">
        <v>36</v>
      </c>
    </row>
    <row r="650" spans="1:3" ht="15" customHeight="1" x14ac:dyDescent="0.3">
      <c r="A650" s="210" t="s">
        <v>438</v>
      </c>
      <c r="B650" s="208">
        <f>FRACw.sdM+FRACs.sdM*Kp.sdM*RHOsolid/1000</f>
        <v>26.231033926700718</v>
      </c>
      <c r="C650" s="209" t="s">
        <v>36</v>
      </c>
    </row>
    <row r="651" spans="1:3" ht="15" customHeight="1" x14ac:dyDescent="0.3">
      <c r="A651" s="210" t="s">
        <v>113</v>
      </c>
      <c r="B651" s="208">
        <f>FRACw.sdT+FRACs.sdT*Kp.sdT*RHOsolid/1000</f>
        <v>26.231033926700718</v>
      </c>
      <c r="C651" s="209" t="s">
        <v>36</v>
      </c>
    </row>
    <row r="652" spans="1:3" ht="15" customHeight="1" x14ac:dyDescent="0.3">
      <c r="A652" s="210" t="s">
        <v>1111</v>
      </c>
      <c r="B652" s="208">
        <f>FRACw.sdC+FRACs.sdC*Kp.sd1C*RHOsolid/1000</f>
        <v>26.409494856359572</v>
      </c>
      <c r="C652" s="209" t="s">
        <v>36</v>
      </c>
    </row>
    <row r="653" spans="1:3" ht="15" customHeight="1" x14ac:dyDescent="0.3">
      <c r="A653" s="210" t="s">
        <v>466</v>
      </c>
      <c r="B653" s="217">
        <f>FRACw.sdR+FRACs.sdR*Kp.sd1R*RHOsolid/1000</f>
        <v>26.409494856359572</v>
      </c>
      <c r="C653" s="209" t="s">
        <v>36</v>
      </c>
    </row>
    <row r="654" spans="1:3" ht="15" customHeight="1" x14ac:dyDescent="0.3">
      <c r="A654" s="210" t="s">
        <v>1299</v>
      </c>
      <c r="B654" s="208">
        <f>FRACw.sdC+FRACs.sdC*Kp.sd2C*RHOsolid/1000</f>
        <v>26.231033926700718</v>
      </c>
      <c r="C654" s="209" t="s">
        <v>36</v>
      </c>
    </row>
    <row r="655" spans="1:3" ht="15" customHeight="1" x14ac:dyDescent="0.3">
      <c r="A655" s="210" t="s">
        <v>1067</v>
      </c>
      <c r="B655" s="208">
        <f>FRACw.sdR+FRACs.sdR*Kp.sd2R*RHOsolid/1000</f>
        <v>26.231033926700718</v>
      </c>
      <c r="C655" s="209" t="s">
        <v>36</v>
      </c>
    </row>
    <row r="656" spans="1:3" ht="15" customHeight="1" x14ac:dyDescent="0.3">
      <c r="A656" s="210" t="s">
        <v>2057</v>
      </c>
      <c r="B656" s="208">
        <f>FRACa.sA*(Kaw.A*FRorig.s1w)+FRACw.sA+FRACs.sA*Kp.sA*RHOsolid/1000</f>
        <v>30.955150969700735</v>
      </c>
      <c r="C656" s="209" t="s">
        <v>36</v>
      </c>
    </row>
    <row r="657" spans="1:3" ht="15" customHeight="1" x14ac:dyDescent="0.3">
      <c r="A657" s="210" t="s">
        <v>2056</v>
      </c>
      <c r="B657" s="208">
        <f>FRACa.sM*(Kaw.M*FRorig.s1w)+FRACw.sM+FRACs.sM*Kp.sM*RHOsolid/1000</f>
        <v>30.955150979220729</v>
      </c>
      <c r="C657" s="209" t="s">
        <v>36</v>
      </c>
    </row>
    <row r="658" spans="1:3" ht="15" customHeight="1" x14ac:dyDescent="0.3">
      <c r="A658" s="210" t="s">
        <v>2050</v>
      </c>
      <c r="B658" s="208">
        <f>FRACa.sT*(Kaw.T*FRorig.s1w)+FRACw.sT+FRACs.sT*Kp.sT*RHOsolid/1000</f>
        <v>30.955151028726856</v>
      </c>
      <c r="C658" s="209" t="s">
        <v>36</v>
      </c>
    </row>
    <row r="659" spans="1:3" ht="15" customHeight="1" x14ac:dyDescent="0.3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3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3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3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3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3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3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3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3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3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3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3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3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3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3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3">
      <c r="A674" s="207" t="s">
        <v>420</v>
      </c>
      <c r="B674" s="208">
        <f>FRACinf.s1C*RAINrate.C/Ks1w.C*SYSTEMAREA.C*AREAFRAC.s1C*CORRleach.s1C</f>
        <v>1.4446293238207524</v>
      </c>
      <c r="C674" s="209" t="s">
        <v>2072</v>
      </c>
    </row>
    <row r="675" spans="1:3" ht="15" customHeight="1" x14ac:dyDescent="0.3">
      <c r="A675" s="207" t="s">
        <v>1220</v>
      </c>
      <c r="B675" s="208">
        <f>FRACinf.s1R*RAINrate.R/Ks1w.R*SYSTEMAREA.R*AREAFRAC.s1R*CORRleach.s1R</f>
        <v>9.4725783325026208E-2</v>
      </c>
      <c r="C675" s="209" t="s">
        <v>2072</v>
      </c>
    </row>
    <row r="676" spans="1:3" ht="15" customHeight="1" x14ac:dyDescent="0.3">
      <c r="A676" s="207" t="s">
        <v>421</v>
      </c>
      <c r="B676" s="208">
        <f>FRACinf.s2C*RAINrate.C/Ks2w.C*SYSTEMAREA.C*AREAFRAC.s2C*CORRleach.s2C</f>
        <v>5.847907561046843</v>
      </c>
      <c r="C676" s="209" t="s">
        <v>2072</v>
      </c>
    </row>
    <row r="677" spans="1:3" ht="15" customHeight="1" x14ac:dyDescent="0.3">
      <c r="A677" s="207" t="s">
        <v>1221</v>
      </c>
      <c r="B677" s="208">
        <f>FRACinf.s2R*RAINrate.R/Ks2w.R*SYSTEMAREA.R*AREAFRAC.s2R*CORRleach.s2R</f>
        <v>0.38345312212507648</v>
      </c>
      <c r="C677" s="209" t="s">
        <v>2072</v>
      </c>
    </row>
    <row r="678" spans="1:3" ht="15" customHeight="1" x14ac:dyDescent="0.3">
      <c r="A678" s="207" t="s">
        <v>422</v>
      </c>
      <c r="B678" s="208">
        <f>FRACinf.s3C*RAINrate.C/Ks3w.C*SYSTEMAREA.C*AREAFRAC.s3C*CORRleach.s3C</f>
        <v>0.53545884617486827</v>
      </c>
      <c r="C678" s="209" t="s">
        <v>2072</v>
      </c>
    </row>
    <row r="679" spans="1:3" ht="15" customHeight="1" x14ac:dyDescent="0.3">
      <c r="A679" s="207" t="s">
        <v>1222</v>
      </c>
      <c r="B679" s="208">
        <f>FRACinf.s3R*RAINrate.R/Ks3w.R*SYSTEMAREA.R*AREAFRAC.s3R*CORRleach.s3R</f>
        <v>3.5110569753686247E-2</v>
      </c>
      <c r="C679" s="209" t="s">
        <v>2072</v>
      </c>
    </row>
    <row r="680" spans="1:3" ht="15" customHeight="1" x14ac:dyDescent="0.3">
      <c r="A680" s="207" t="s">
        <v>876</v>
      </c>
      <c r="B680" s="208">
        <f>FRACinf.sA*RAINrate.A/Kslw.A*SYSTEMAREA.A*AREAFRAC.sA*CORRleach.sA</f>
        <v>9.3191457274194249</v>
      </c>
      <c r="C680" s="209" t="s">
        <v>2072</v>
      </c>
    </row>
    <row r="681" spans="1:3" ht="15" customHeight="1" x14ac:dyDescent="0.3">
      <c r="A681" s="207" t="s">
        <v>783</v>
      </c>
      <c r="B681" s="217">
        <f>FRACinf.sM*RAINrate.M/Kslw.M*SYSTEMAREA.M*AREAFRAC.sM*CORRleach.sM</f>
        <v>59.532704860222779</v>
      </c>
      <c r="C681" s="209" t="s">
        <v>2072</v>
      </c>
    </row>
    <row r="682" spans="1:3" ht="15" customHeight="1" x14ac:dyDescent="0.3">
      <c r="A682" s="207" t="s">
        <v>1392</v>
      </c>
      <c r="B682" s="208">
        <f>FRACinf.sT*RAINrate.T/Kslw.T*SYSTEMAREA.T*AREAFRAC.sT*CORRleach.sT</f>
        <v>109.03400480289831</v>
      </c>
      <c r="C682" s="209" t="s">
        <v>2072</v>
      </c>
    </row>
    <row r="683" spans="1:3" ht="15" customHeight="1" x14ac:dyDescent="0.3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3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3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3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3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3">
      <c r="A688" s="206" t="s">
        <v>2025</v>
      </c>
      <c r="B688" s="208">
        <f>0.1*KDEG.sA</f>
        <v>9.4575531983700746E-10</v>
      </c>
      <c r="C688" s="212" t="s">
        <v>2073</v>
      </c>
    </row>
    <row r="689" spans="1:3" ht="15" customHeight="1" x14ac:dyDescent="0.3">
      <c r="A689" s="206" t="s">
        <v>2033</v>
      </c>
      <c r="B689" s="215">
        <f>0.1*KDEG.s1C</f>
        <v>4.3455503205058606E-9</v>
      </c>
      <c r="C689" s="212" t="s">
        <v>2073</v>
      </c>
    </row>
    <row r="690" spans="1:3" ht="15" customHeight="1" x14ac:dyDescent="0.3">
      <c r="A690" s="206" t="s">
        <v>2041</v>
      </c>
      <c r="B690" s="208">
        <f>0.1*KDEG.sM</f>
        <v>4.3455503205058606E-9</v>
      </c>
      <c r="C690" s="212" t="s">
        <v>2073</v>
      </c>
    </row>
    <row r="691" spans="1:3" ht="15" customHeight="1" x14ac:dyDescent="0.3">
      <c r="A691" s="206" t="s">
        <v>2029</v>
      </c>
      <c r="B691" s="208">
        <f>0.1*KDEG.s1R</f>
        <v>4.3455503205058606E-9</v>
      </c>
      <c r="C691" s="212" t="s">
        <v>2073</v>
      </c>
    </row>
    <row r="692" spans="1:3" ht="15" customHeight="1" x14ac:dyDescent="0.3">
      <c r="A692" s="206" t="s">
        <v>2054</v>
      </c>
      <c r="B692" s="208">
        <f>0.1*KDEG.sT</f>
        <v>1.0700000000000002E-8</v>
      </c>
      <c r="C692" s="212" t="s">
        <v>2073</v>
      </c>
    </row>
    <row r="693" spans="1:3" ht="15" customHeight="1" x14ac:dyDescent="0.3">
      <c r="A693" s="206" t="s">
        <v>2022</v>
      </c>
      <c r="B693" s="208">
        <f>0.01*(0.3+0.2*WINDspeed.A)*((0.018/Molweight)^(0.67*0.5))</f>
        <v>3.8661873187415758E-3</v>
      </c>
      <c r="C693" s="211" t="s">
        <v>2073</v>
      </c>
    </row>
    <row r="694" spans="1:3" ht="15" customHeight="1" x14ac:dyDescent="0.3">
      <c r="A694" s="206" t="s">
        <v>2030</v>
      </c>
      <c r="B694" s="208">
        <f>0.01*(0.3+0.2*WINDspeed.C)*((0.018/Molweight)^(0.67*0.5))</f>
        <v>3.8661873187415758E-3</v>
      </c>
      <c r="C694" s="212" t="s">
        <v>2073</v>
      </c>
    </row>
    <row r="695" spans="1:3" ht="15" customHeight="1" x14ac:dyDescent="0.3">
      <c r="A695" s="206" t="s">
        <v>2038</v>
      </c>
      <c r="B695" s="208">
        <f>0.01*(0.3+0.2*WINDspeed.M)*((0.018/Molweight)^(0.67*0.5))</f>
        <v>3.8661873187415758E-3</v>
      </c>
      <c r="C695" s="211" t="s">
        <v>2073</v>
      </c>
    </row>
    <row r="696" spans="1:3" ht="15" customHeight="1" x14ac:dyDescent="0.3">
      <c r="A696" s="206" t="s">
        <v>2026</v>
      </c>
      <c r="B696" s="208">
        <f>0.01*(0.3+0.2*WINDspeed.R)*((0.018/Molweight)^(0.67*0.5))</f>
        <v>3.8661873187415758E-3</v>
      </c>
      <c r="C696" s="212" t="s">
        <v>2073</v>
      </c>
    </row>
    <row r="697" spans="1:3" ht="15" customHeight="1" x14ac:dyDescent="0.3">
      <c r="A697" s="206" t="s">
        <v>2051</v>
      </c>
      <c r="B697" s="208">
        <f>0.01*(0.3+0.2*WINDspeed.T)*((0.018/Molweight)^(0.67*0.5))</f>
        <v>3.8661873187415758E-3</v>
      </c>
      <c r="C697" s="211" t="s">
        <v>2073</v>
      </c>
    </row>
    <row r="698" spans="1:3" ht="15" customHeight="1" x14ac:dyDescent="0.3">
      <c r="A698" s="206" t="s">
        <v>2023</v>
      </c>
      <c r="B698" s="208">
        <f>0.01*(0.0004+0.00004*WINDspeed.A^2)*((0.032/Molweight)^(0.5*0.5))</f>
        <v>4.6712434275245704E-6</v>
      </c>
      <c r="C698" s="211" t="s">
        <v>2073</v>
      </c>
    </row>
    <row r="699" spans="1:3" ht="15" customHeight="1" x14ac:dyDescent="0.3">
      <c r="A699" s="206" t="s">
        <v>2031</v>
      </c>
      <c r="B699" s="208">
        <f>0.01*(0.0004+0.00004*WINDspeed.C^2)*((0.032/Molweight)^(0.5*0.5))</f>
        <v>4.6712434275245704E-6</v>
      </c>
      <c r="C699" s="212" t="s">
        <v>2073</v>
      </c>
    </row>
    <row r="700" spans="1:3" ht="15" customHeight="1" x14ac:dyDescent="0.3">
      <c r="A700" s="206" t="s">
        <v>2039</v>
      </c>
      <c r="B700" s="208">
        <f>0.01*(0.0004+0.00004*WINDspeed.M^2)*((0.032/Molweight)^(0.5*0.5))</f>
        <v>4.6712434275245704E-6</v>
      </c>
      <c r="C700" s="211" t="s">
        <v>2073</v>
      </c>
    </row>
    <row r="701" spans="1:3" ht="15" customHeight="1" x14ac:dyDescent="0.3">
      <c r="A701" s="206" t="s">
        <v>2027</v>
      </c>
      <c r="B701" s="208">
        <f>0.01*(0.0004+0.00004*WINDspeed.R^2)*((0.032/Molweight)^(0.5*0.5))</f>
        <v>4.6712434275245704E-6</v>
      </c>
      <c r="C701" s="212" t="s">
        <v>2073</v>
      </c>
    </row>
    <row r="702" spans="1:3" ht="15" customHeight="1" x14ac:dyDescent="0.3">
      <c r="A702" s="206" t="s">
        <v>2052</v>
      </c>
      <c r="B702" s="208">
        <f>0.01*(0.0004+0.00004*WINDspeed.T^2)*((0.032/Molweight)^(0.5*0.5))</f>
        <v>4.6712434275245704E-6</v>
      </c>
      <c r="C702" s="211" t="s">
        <v>2073</v>
      </c>
    </row>
    <row r="703" spans="1:3" ht="15" customHeight="1" x14ac:dyDescent="0.3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3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3">
      <c r="A705" s="210" t="s">
        <v>660</v>
      </c>
      <c r="B705" s="208">
        <v>0</v>
      </c>
      <c r="C705" s="212" t="s">
        <v>2073</v>
      </c>
    </row>
    <row r="706" spans="1:3" ht="15" customHeight="1" x14ac:dyDescent="0.3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3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3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3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3">
      <c r="A710" s="207" t="s">
        <v>1277</v>
      </c>
      <c r="B710" s="208">
        <v>150000000</v>
      </c>
      <c r="C710" s="206" t="s">
        <v>2072</v>
      </c>
    </row>
    <row r="711" spans="1:3" ht="15" customHeight="1" x14ac:dyDescent="0.3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3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3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3">
      <c r="A714" s="209" t="s">
        <v>644</v>
      </c>
      <c r="B714" s="208">
        <v>3</v>
      </c>
      <c r="C714" s="209" t="s">
        <v>36</v>
      </c>
    </row>
    <row r="715" spans="1:3" ht="15" customHeight="1" x14ac:dyDescent="0.3">
      <c r="A715" s="209" t="s">
        <v>219</v>
      </c>
      <c r="B715" s="208">
        <v>5</v>
      </c>
      <c r="C715" s="209" t="s">
        <v>36</v>
      </c>
    </row>
    <row r="716" spans="1:3" ht="15" customHeight="1" x14ac:dyDescent="0.3">
      <c r="A716" s="209" t="s">
        <v>220</v>
      </c>
      <c r="B716" s="208">
        <v>7</v>
      </c>
      <c r="C716" s="209" t="s">
        <v>36</v>
      </c>
    </row>
    <row r="717" spans="1:3" ht="15" customHeight="1" x14ac:dyDescent="0.3">
      <c r="A717" s="209" t="s">
        <v>221</v>
      </c>
      <c r="B717" s="208">
        <v>7</v>
      </c>
      <c r="C717" s="209" t="s">
        <v>36</v>
      </c>
    </row>
    <row r="718" spans="1:3" ht="15" customHeight="1" x14ac:dyDescent="0.3">
      <c r="A718" s="209" t="s">
        <v>218</v>
      </c>
      <c r="B718" s="208">
        <v>7</v>
      </c>
      <c r="C718" s="209" t="s">
        <v>36</v>
      </c>
    </row>
    <row r="719" spans="1:3" ht="15" customHeight="1" x14ac:dyDescent="0.3">
      <c r="A719" s="209" t="s">
        <v>222</v>
      </c>
      <c r="B719" s="208">
        <v>8</v>
      </c>
      <c r="C719" s="209" t="s">
        <v>36</v>
      </c>
    </row>
    <row r="720" spans="1:3" ht="15" customHeight="1" x14ac:dyDescent="0.3">
      <c r="A720" s="209" t="s">
        <v>1339</v>
      </c>
      <c r="B720" s="213">
        <v>7</v>
      </c>
      <c r="C720" s="209"/>
    </row>
    <row r="721" spans="1:3" ht="15" customHeight="1" x14ac:dyDescent="0.3">
      <c r="A721" s="206" t="s">
        <v>1348</v>
      </c>
      <c r="B721" s="215">
        <f>IF(Tm&gt;298,EXP(-6.79*(1-Tm/298))*Pvap25*EXP((H0vap/8.314)*(1/298-1/TEMP.A)),Pvap25*EXP((H0vap/8.314)*(1/298-1/TEMP.A)))</f>
        <v>7.542992909637095E-8</v>
      </c>
      <c r="C721" s="206" t="s">
        <v>487</v>
      </c>
    </row>
    <row r="722" spans="1:3" ht="15" customHeight="1" x14ac:dyDescent="0.3">
      <c r="A722" s="209" t="s">
        <v>1346</v>
      </c>
      <c r="B722" s="215">
        <f>IF(Tm&gt;298,EXP(-6.79*(1-Tm/298))*Pvap25*EXP((H0vap/8.314)*(1/298-1/TEMP.C)),Pvap25*EXP((H0vap/8.314)*(1/298-1/TEMP.C)))</f>
        <v>3.6731827661168209E-6</v>
      </c>
      <c r="C722" s="209" t="s">
        <v>487</v>
      </c>
    </row>
    <row r="723" spans="1:3" ht="15" customHeight="1" x14ac:dyDescent="0.3">
      <c r="A723" s="209" t="s">
        <v>1347</v>
      </c>
      <c r="B723" s="208">
        <f>IF(Tm&gt;298,EXP(-6.79*(1-Tm/298))*Pvap25*EXP((H0vap/8.314)*(1/298-1/TEMP.M)),Pvap25*EXP((H0vap/8.314)*(1/298-1/TEMP.M)))</f>
        <v>3.6731827661168209E-6</v>
      </c>
      <c r="C723" s="209" t="s">
        <v>487</v>
      </c>
    </row>
    <row r="724" spans="1:3" ht="15" customHeight="1" x14ac:dyDescent="0.3">
      <c r="A724" s="206" t="s">
        <v>1363</v>
      </c>
      <c r="B724" s="215">
        <f>IF(Tm&gt;298,EXP(-6.79*(1-Tm/298))*Pvap25*EXP((H0vap/8.314)*(1/298-1/TEMP.R)),Pvap25*EXP((H0vap/8.314)*(1/298-1/TEMP.R)))</f>
        <v>3.6731827661168209E-6</v>
      </c>
      <c r="C724" s="206" t="s">
        <v>487</v>
      </c>
    </row>
    <row r="725" spans="1:3" ht="15" customHeight="1" x14ac:dyDescent="0.3">
      <c r="A725" s="209" t="s">
        <v>1349</v>
      </c>
      <c r="B725" s="215">
        <f>IF(Tm&gt;298,EXP(-6.79*(1-Tm/298))*Pvap25*EXP((H0vap/8.314)*(1/298-1/TEMP.T)),Pvap25*EXP((H0vap/8.314)*(1/298-1/TEMP.T)))</f>
        <v>2.7866666659699999E-5</v>
      </c>
      <c r="C725" s="209" t="s">
        <v>487</v>
      </c>
    </row>
    <row r="726" spans="1:3" ht="15" customHeight="1" x14ac:dyDescent="0.3">
      <c r="A726" s="209" t="s">
        <v>267</v>
      </c>
      <c r="B726" s="213">
        <v>2</v>
      </c>
      <c r="C726" s="209" t="s">
        <v>36</v>
      </c>
    </row>
    <row r="727" spans="1:3" ht="15" customHeight="1" x14ac:dyDescent="0.3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3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3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3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3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3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3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3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3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3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3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3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3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3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3">
      <c r="A741" s="210" t="s">
        <v>499</v>
      </c>
      <c r="B741" s="208">
        <f>GROSSSEDrate.w2C-NETsedrate.w2C</f>
        <v>2.6192305460425681E-10</v>
      </c>
      <c r="C741" s="212" t="s">
        <v>2073</v>
      </c>
    </row>
    <row r="742" spans="1:3" ht="15" customHeight="1" x14ac:dyDescent="0.3">
      <c r="A742" s="210" t="s">
        <v>416</v>
      </c>
      <c r="B742" s="208">
        <f>GROSSSEDrate.w2R-NETsedrate.w2R</f>
        <v>2.2595185185185189E-10</v>
      </c>
      <c r="C742" s="212" t="s">
        <v>2073</v>
      </c>
    </row>
    <row r="743" spans="1:3" ht="15" customHeight="1" x14ac:dyDescent="0.3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3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3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3">
      <c r="A746" s="206" t="s">
        <v>1544</v>
      </c>
      <c r="B746" s="208">
        <v>2000</v>
      </c>
      <c r="C746" s="209" t="s">
        <v>2086</v>
      </c>
    </row>
    <row r="747" spans="1:3" ht="15" customHeight="1" x14ac:dyDescent="0.3">
      <c r="A747" s="210" t="s">
        <v>985</v>
      </c>
      <c r="B747" s="213">
        <v>2500</v>
      </c>
      <c r="C747" s="209" t="s">
        <v>2086</v>
      </c>
    </row>
    <row r="748" spans="1:3" ht="15" customHeight="1" x14ac:dyDescent="0.3">
      <c r="A748" s="207" t="s">
        <v>568</v>
      </c>
      <c r="B748" s="208">
        <f>(RAINrate.C*FRACrun.s1C/Ks1w.C+EROSION.s1C)*SYSTEMAREA.C*AREAFRAC.s1C*CORRrunoff.s1C</f>
        <v>215.53974676598821</v>
      </c>
      <c r="C748" s="209" t="s">
        <v>2072</v>
      </c>
    </row>
    <row r="749" spans="1:3" ht="15" customHeight="1" x14ac:dyDescent="0.3">
      <c r="A749" s="207" t="s">
        <v>977</v>
      </c>
      <c r="B749" s="208">
        <f>(RAINrate.R*FRACrun.s1R/Ks1w.R+EROSION.s1R)*SYSTEMAREA.R*AREAFRAC.s1R*CORRrunoff.s1R</f>
        <v>14.133155829958323</v>
      </c>
      <c r="C749" s="209" t="s">
        <v>2072</v>
      </c>
    </row>
    <row r="750" spans="1:3" ht="15" customHeight="1" x14ac:dyDescent="0.3">
      <c r="A750" s="207" t="s">
        <v>569</v>
      </c>
      <c r="B750" s="208">
        <f>(RAINrate.C*FRACrun.s2C/Ks2w.C+EROSION.s2C)*SYSTEMAREA.C*AREAFRAC.s2C*CORRrunoff.s2C</f>
        <v>872.50853054855304</v>
      </c>
      <c r="C750" s="209" t="s">
        <v>2072</v>
      </c>
    </row>
    <row r="751" spans="1:3" ht="15" customHeight="1" x14ac:dyDescent="0.3">
      <c r="A751" s="207" t="s">
        <v>978</v>
      </c>
      <c r="B751" s="208">
        <f>(RAINrate.R*FRACrun.s2R/Ks2w.R+EROSION.s2R)*SYSTEMAREA.R*AREAFRAC.s2R*CORRrunoff.s2R</f>
        <v>57.211253192195478</v>
      </c>
      <c r="C751" s="209" t="s">
        <v>2072</v>
      </c>
    </row>
    <row r="752" spans="1:3" ht="15" customHeight="1" x14ac:dyDescent="0.3">
      <c r="A752" s="207" t="s">
        <v>1096</v>
      </c>
      <c r="B752" s="208">
        <f>(RAINrate.C*FRACrun.s3C/Ks3w.C+EROSION.s3C)*SYSTEMAREA.C*AREAFRAC.s3C*CORRrunoff.s3C</f>
        <v>79.890525998948107</v>
      </c>
      <c r="C752" s="209" t="s">
        <v>2072</v>
      </c>
    </row>
    <row r="753" spans="1:3" ht="15" customHeight="1" x14ac:dyDescent="0.3">
      <c r="A753" s="207" t="s">
        <v>1095</v>
      </c>
      <c r="B753" s="208">
        <f>(RAINrate.R*FRACrun.s3R/Ks3w.R+EROSION.s3R)*SYSTEMAREA.R*AREAFRAC.s3R*CORRrunoff.s3R</f>
        <v>5.2385013447489186</v>
      </c>
      <c r="C753" s="209" t="s">
        <v>2072</v>
      </c>
    </row>
    <row r="754" spans="1:3" ht="15" customHeight="1" x14ac:dyDescent="0.3">
      <c r="A754" s="207" t="s">
        <v>921</v>
      </c>
      <c r="B754" s="208">
        <f>(RAINrate.A*FRACrun.sA/Kslw.A+EROSION.sA)*SYSTEMAREA.A*AREAFRAC.sA*CORRrunoff.sA</f>
        <v>1403.6343709583243</v>
      </c>
      <c r="C754" s="206" t="s">
        <v>2072</v>
      </c>
    </row>
    <row r="755" spans="1:3" ht="15" customHeight="1" x14ac:dyDescent="0.3">
      <c r="A755" s="207" t="s">
        <v>920</v>
      </c>
      <c r="B755" s="208">
        <f>(RAINrate.M*FRACrun.sM/Kslw.M+EROSION.sM)*SYSTEMAREA.M*AREAFRAC.sM*CORRrunoff.sM</f>
        <v>8882.3229033795178</v>
      </c>
      <c r="C755" s="206" t="s">
        <v>2072</v>
      </c>
    </row>
    <row r="756" spans="1:3" ht="15" customHeight="1" x14ac:dyDescent="0.3">
      <c r="A756" s="207" t="s">
        <v>922</v>
      </c>
      <c r="B756" s="208">
        <f>(RAINrate.T*FRACrun.sT/Kslw.T+EROSION.sT)*SYSTEMAREA.T*AREAFRAC.sT*CORRrunoff.sT</f>
        <v>16228.319757586783</v>
      </c>
      <c r="C756" s="206" t="s">
        <v>2072</v>
      </c>
    </row>
    <row r="757" spans="1:3" ht="15" customHeight="1" x14ac:dyDescent="0.3">
      <c r="A757" s="207" t="s">
        <v>14</v>
      </c>
      <c r="B757" s="208">
        <f>(GROSSSEDrate.w1C*FRACs.sdC*RHOsolid/SUSP.w1C)*((Kp.susp1C*SUSP.w1C/1000)*FRw.w1C)*(SYSTEMAREA.C*AREAFRAC.w1C)</f>
        <v>4244.5359296785937</v>
      </c>
      <c r="C757" s="209" t="s">
        <v>2072</v>
      </c>
    </row>
    <row r="758" spans="1:3" ht="15" customHeight="1" x14ac:dyDescent="0.3">
      <c r="A758" s="207" t="s">
        <v>884</v>
      </c>
      <c r="B758" s="208">
        <f>(GROSSSEDrate.w1R*FRACs.sdR*RHOsolid/SUSP.w1R)*((Kp.susp1R*SUSP.w1R/1000)*FRw.w1R)*(SYSTEMAREA.R*AREAFRAC.w1R)</f>
        <v>278.31844761854711</v>
      </c>
      <c r="C758" s="209" t="s">
        <v>2072</v>
      </c>
    </row>
    <row r="759" spans="1:3" ht="15" customHeight="1" x14ac:dyDescent="0.3">
      <c r="A759" s="207" t="s">
        <v>1060</v>
      </c>
      <c r="B759" s="208">
        <f>(GROSSSEDrate.w2C*FRACs.sdC*RHOsolid/SUSP.w2C)*((Kp.susp2C*SUSP.w2C/1000)*FRw.w2C)*(SYSTEMAREA.C*AREAFRAC.w2C)</f>
        <v>53380.045704505661</v>
      </c>
      <c r="C759" s="209" t="s">
        <v>2072</v>
      </c>
    </row>
    <row r="760" spans="1:3" ht="15" customHeight="1" x14ac:dyDescent="0.3">
      <c r="A760" s="207" t="s">
        <v>505</v>
      </c>
      <c r="B760" s="208">
        <f>(GROSSSEDrate.w2R*FRACs.sdR*RHOsolid/SUSP.w2R)*((Kp.susp2R*SUSP.w2R/1000)*FRw.w2R)*(SYSTEMAREA.R*AREAFRAC.w2R)</f>
        <v>14.374939935128554</v>
      </c>
      <c r="C760" s="209" t="s">
        <v>2072</v>
      </c>
    </row>
    <row r="761" spans="1:3" ht="15" customHeight="1" x14ac:dyDescent="0.3">
      <c r="A761" s="207" t="s">
        <v>160</v>
      </c>
      <c r="B761" s="208">
        <f>(GROSSSEDrate.w3A*FRACs.sdA*RHOsolid/SUSP.w3A)*((Kp.susp3A*SUSP.w3A/1000)*FRw.w3A)*(SYSTEMAREA.A*AREAFRAC.wA)</f>
        <v>366560.96834577771</v>
      </c>
      <c r="C761" s="206" t="s">
        <v>2072</v>
      </c>
    </row>
    <row r="762" spans="1:3" ht="15" customHeight="1" x14ac:dyDescent="0.3">
      <c r="A762" s="207" t="s">
        <v>152</v>
      </c>
      <c r="B762" s="208">
        <f>(GROSSSEDrate.w3M*FRACs.sdM*RHOsolid/SUSP.w3M)*((Kp.susp3M*SUSP.w3M/1000)*FRw.w3M)*(SYSTEMAREA.M*AREAFRAC.wM)</f>
        <v>557540.52659852209</v>
      </c>
      <c r="C762" s="206" t="s">
        <v>2072</v>
      </c>
    </row>
    <row r="763" spans="1:3" ht="15" customHeight="1" x14ac:dyDescent="0.3">
      <c r="A763" s="207" t="s">
        <v>155</v>
      </c>
      <c r="B763" s="208">
        <f>(GROSSSEDrate.w3T*FRACs.sdT*RHOsolid/SUSP.w3T)*((Kp.susp3T*SUSP.w3T/1000)*FRw.w3T)*(SYSTEMAREA.T*AREAFRAC.wT)</f>
        <v>1282963.3892102221</v>
      </c>
      <c r="C763" s="206" t="s">
        <v>2072</v>
      </c>
    </row>
    <row r="764" spans="1:3" ht="15" customHeight="1" x14ac:dyDescent="0.3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3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3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3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3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3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3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3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3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3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3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3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3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3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3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3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3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3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3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3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3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3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3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3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3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3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3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3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3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3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3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3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3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3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3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3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3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3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3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3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3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3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3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3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3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3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3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3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3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3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3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3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3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3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3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3">
      <c r="A819" s="207" t="s">
        <v>1385</v>
      </c>
      <c r="B819" s="208">
        <f>(MTCas.air.aC*MTCas.soil.sC)/(MTCas.air.aC+MTCas.soil.sC/((Kaw.C*FRorig.s1w)/Ks1w.C))*SYSTEMAREA.C*AREAFRAC.s1C*CORRvolat.s1C</f>
        <v>1.9891961693890194</v>
      </c>
      <c r="C819" s="209" t="s">
        <v>2072</v>
      </c>
    </row>
    <row r="820" spans="1:3" ht="15" customHeight="1" x14ac:dyDescent="0.3">
      <c r="A820" s="207" t="s">
        <v>739</v>
      </c>
      <c r="B820" s="208">
        <f>(MTCas.air.aR*MTCas.soil.sR)/(MTCas.air.aR+MTCas.soil.sR/((Kaw.R*FRorig.s1w)/Ks1w.R))*SYSTEMAREA.R*AREAFRAC.s1R*CORRvolat.s1R</f>
        <v>0.13043357366868477</v>
      </c>
      <c r="C820" s="209" t="s">
        <v>2072</v>
      </c>
    </row>
    <row r="821" spans="1:3" ht="15" customHeight="1" x14ac:dyDescent="0.3">
      <c r="A821" s="207" t="s">
        <v>1238</v>
      </c>
      <c r="B821" s="208">
        <f>(MTCas.air.aC*MTCas.soil.sC)/(MTCas.air.aC+MTCas.soil.sC/((Kaw.C*FRorig.s2w)/Ks2w.C))*SYSTEMAREA.C*AREAFRAC.s2C*CORRvolat.s2C</f>
        <v>8.025419396564871</v>
      </c>
      <c r="C821" s="209" t="s">
        <v>2072</v>
      </c>
    </row>
    <row r="822" spans="1:3" ht="15" customHeight="1" x14ac:dyDescent="0.3">
      <c r="A822" s="207" t="s">
        <v>741</v>
      </c>
      <c r="B822" s="208">
        <f>(MTCas.air.aR*MTCas.soil.sR)/(MTCas.air.aR+MTCas.soil.sR/((Kaw.R*FRorig.s2w)/Ks2w.R))*SYSTEMAREA.R*AREAFRAC.s2R*CORRvolat.s2R</f>
        <v>0.52623474154660921</v>
      </c>
      <c r="C822" s="209" t="s">
        <v>2072</v>
      </c>
    </row>
    <row r="823" spans="1:3" ht="15" customHeight="1" x14ac:dyDescent="0.3">
      <c r="A823" s="207" t="s">
        <v>473</v>
      </c>
      <c r="B823" s="208">
        <f>(MTCas.air.aC*MTCas.soil.sC)/(MTCas.air.aC+MTCas.soil.sC/((Kaw.C*FRorig.s3w)/Ks3w.C))*SYSTEMAREA.C*AREAFRAC.s3C*CORRvolat.s3C</f>
        <v>0.73484092648427068</v>
      </c>
      <c r="C823" s="209" t="s">
        <v>2072</v>
      </c>
    </row>
    <row r="824" spans="1:3" ht="15" customHeight="1" x14ac:dyDescent="0.3">
      <c r="A824" s="207" t="s">
        <v>1172</v>
      </c>
      <c r="B824" s="208">
        <f>(MTCas.air.aR*MTCas.soil.sR)/(MTCas.air.aR+MTCas.soil.sR/((Kaw.R*FRorig.s3w)/Ks3w.R))*SYSTEMAREA.R*AREAFRAC.s3R*CORRvolat.s3R</f>
        <v>4.818425130427953E-2</v>
      </c>
      <c r="C824" s="209" t="s">
        <v>2072</v>
      </c>
    </row>
    <row r="825" spans="1:3" ht="15" customHeight="1" x14ac:dyDescent="0.3">
      <c r="A825" s="207" t="s">
        <v>1232</v>
      </c>
      <c r="B825" s="208">
        <f>((MTCas.air.aA*MTCas.soil.sA)/(MTCas.air.aA+MTCas.soil.sA/((Kaw.A*FRorig.s1w)/Kslw.A))*(SYSTEMAREA.A*AREAFRAC.sA*CORRvolat.sA))</f>
        <v>1.1384311871011166</v>
      </c>
      <c r="C825" s="206" t="s">
        <v>2072</v>
      </c>
    </row>
    <row r="826" spans="1:3" ht="15" customHeight="1" x14ac:dyDescent="0.3">
      <c r="A826" s="207" t="s">
        <v>1331</v>
      </c>
      <c r="B826" s="208">
        <f>((MTCas.air.aM*MTCas.soil.sM/(MTCas.air.aM+MTCas.soil.sM/((Kaw.M*FRorig.s1w)/Kslw.M))*(SYSTEMAREA.M*AREAFRAC.sM*CORRvolat.sM)))</f>
        <v>81.974127555516702</v>
      </c>
      <c r="C826" s="206" t="s">
        <v>2072</v>
      </c>
    </row>
    <row r="827" spans="1:3" ht="15" customHeight="1" x14ac:dyDescent="0.3">
      <c r="A827" s="207" t="s">
        <v>1380</v>
      </c>
      <c r="B827" s="208">
        <f>((MTCas.air.aT*MTCas.soil.sT/(MTCas.air.aT+MTCas.soil.sT/((Kaw.T*FRorig.s1w)/Kslw.T))*(SYSTEMAREA.T*AREAFRAC.sT*CORRvolat.sT)))</f>
        <v>487.65284809121971</v>
      </c>
      <c r="C827" s="206" t="s">
        <v>2072</v>
      </c>
    </row>
    <row r="828" spans="1:3" ht="15" customHeight="1" x14ac:dyDescent="0.3">
      <c r="A828" s="207" t="s">
        <v>352</v>
      </c>
      <c r="B828" s="208">
        <f>(MTCaw.air.aC*MTCaw.water.wC/(FRorig.w1*MTCaw.air.aC*Kaw.C+MTCaw.water.wC))*Kaw.C*(FRw.w0C*FRorig.w1)*(SYSTEMAREA.C*AREAFRAC.w0C)</f>
        <v>1.6500872260248691</v>
      </c>
      <c r="C828" s="209" t="s">
        <v>2072</v>
      </c>
    </row>
    <row r="829" spans="1:3" ht="15" customHeight="1" x14ac:dyDescent="0.3">
      <c r="A829" s="207" t="s">
        <v>303</v>
      </c>
      <c r="B829" s="208">
        <f>(MTCaw.air.aR*MTCaw.water.wR/(MTCaw.air.aR*(Kaw.R*FRorig.w1)+MTCaw.water.wR))*(Kaw.R*FRorig.w1)*FRw.w0R*(SYSTEMAREA.R*AREAFRAC.w0R)</f>
        <v>0.10819786256756028</v>
      </c>
      <c r="C829" s="209" t="s">
        <v>2072</v>
      </c>
    </row>
    <row r="830" spans="1:3" ht="15" customHeight="1" x14ac:dyDescent="0.3">
      <c r="A830" s="207" t="s">
        <v>1381</v>
      </c>
      <c r="B830" s="208">
        <f>(MTCaw.air.aC*MTCaw.water.wC/(FRorig.w1*MTCaw.air.aC*Kaw.C+MTCaw.water.wC))*Kaw.C*(FRw.w1C*FRorig.w1)*(SYSTEMAREA.C*AREAFRAC.w1C)</f>
        <v>18.124109743114239</v>
      </c>
      <c r="C830" s="209" t="s">
        <v>2072</v>
      </c>
    </row>
    <row r="831" spans="1:3" ht="15" customHeight="1" x14ac:dyDescent="0.3">
      <c r="A831" s="207" t="s">
        <v>771</v>
      </c>
      <c r="B831" s="208">
        <f>(MTCaw.air.aR*MTCaw.water.wR/(MTCaw.air.aR*(Kaw.R*FRorig.w1)+MTCaw.water.wR))*(Kaw.R*FRorig.w1)*FRw.w1R*(SYSTEMAREA.R*AREAFRAC.w1R)</f>
        <v>1.1884159238472281</v>
      </c>
      <c r="C831" s="209" t="s">
        <v>2072</v>
      </c>
    </row>
    <row r="832" spans="1:3" ht="15" customHeight="1" x14ac:dyDescent="0.3">
      <c r="A832" s="207" t="s">
        <v>1163</v>
      </c>
      <c r="B832" s="208">
        <f>(MTCaw.air.aA*MTCaw.water.wA/(FRorig.w1*MTCaw.air.aA*Kaw.A+MTCaw.water.wA))*Kaw.A*(FRw.w2A*FRorig.w1)*(SYSTEMAREA.A*AREAFRAC.wA)</f>
        <v>152.87358912988151</v>
      </c>
      <c r="C832" s="206" t="s">
        <v>2072</v>
      </c>
    </row>
    <row r="833" spans="1:3" ht="15" customHeight="1" x14ac:dyDescent="0.3">
      <c r="A833" s="207" t="s">
        <v>1383</v>
      </c>
      <c r="B833" s="208">
        <f>(MTCaw.air.aC*MTCaw.water.wC/(FRorig.w2*MTCaw.air.aC*Kaw.C+MTCaw.water.wC))*Kaw.C*(FRw.w2C*FRorig.w2)*(SYSTEMAREA.C*AREAFRAC.w2C)</f>
        <v>682.08162081106207</v>
      </c>
      <c r="C833" s="209" t="s">
        <v>2072</v>
      </c>
    </row>
    <row r="834" spans="1:3" ht="15" customHeight="1" x14ac:dyDescent="0.3">
      <c r="A834" s="207" t="s">
        <v>146</v>
      </c>
      <c r="B834" s="208">
        <f>(MTCaw.air.aM*MTCaw.water.wM/(FRorig.w1*MTCaw.air.aM*Kaw.M+MTCaw.water.wM))*Kaw.M*(FRw.w2M*FRorig.w1)*(SYSTEMAREA.M*AREAFRAC.wM)</f>
        <v>7340.6788199067605</v>
      </c>
      <c r="C834" s="206" t="s">
        <v>2072</v>
      </c>
    </row>
    <row r="835" spans="1:3" ht="15" customHeight="1" x14ac:dyDescent="0.3">
      <c r="A835" s="207" t="s">
        <v>737</v>
      </c>
      <c r="B835" s="208">
        <f>(MTCaw.air.aR*MTCaw.water.wR/(MTCaw.air.aR*(Kaw.R*FRorig.w2)+MTCaw.water.wR))*(Kaw.R*FRorig.w2)*FRw.w2R*(SYSTEMAREA.R*AREAFRAC.w2R)</f>
        <v>0.1836806656983912</v>
      </c>
      <c r="C835" s="209" t="s">
        <v>2072</v>
      </c>
    </row>
    <row r="836" spans="1:3" ht="15" customHeight="1" x14ac:dyDescent="0.3">
      <c r="A836" s="207" t="s">
        <v>1134</v>
      </c>
      <c r="B836" s="208">
        <f>(MTCaw.air.aT*MTCaw.water.wT/(FRorig.w1*MTCaw.air.aT*Kaw.T+MTCaw.water.wT))*Kaw.T*(FRw.w2T*FRorig.w1)*(SYSTEMAREA.T*AREAFRAC.wT)</f>
        <v>101929.39733640624</v>
      </c>
      <c r="C836" s="206" t="s">
        <v>2072</v>
      </c>
    </row>
    <row r="837" spans="1:3" ht="15" customHeight="1" x14ac:dyDescent="0.3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3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3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3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3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3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3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3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3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3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3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3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3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3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3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3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3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3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3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3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3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3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3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3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3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3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3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3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3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3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3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3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3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3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3">
      <c r="A871" s="210" t="s">
        <v>334</v>
      </c>
      <c r="B871" s="208">
        <v>0</v>
      </c>
      <c r="C871" s="209" t="s">
        <v>2072</v>
      </c>
    </row>
    <row r="872" spans="1:3" ht="15" customHeight="1" x14ac:dyDescent="0.3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3">
      <c r="A873" s="210" t="s">
        <v>315</v>
      </c>
      <c r="B873" s="208">
        <v>0</v>
      </c>
      <c r="C873" s="209" t="s">
        <v>2072</v>
      </c>
    </row>
    <row r="874" spans="1:3" ht="15" customHeight="1" x14ac:dyDescent="0.3">
      <c r="A874" s="210" t="s">
        <v>335</v>
      </c>
      <c r="B874" s="208">
        <v>0</v>
      </c>
      <c r="C874" s="209" t="s">
        <v>2072</v>
      </c>
    </row>
    <row r="875" spans="1:3" ht="15" customHeight="1" x14ac:dyDescent="0.3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3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3">
      <c r="A877" s="210" t="s">
        <v>322</v>
      </c>
      <c r="B877" s="208">
        <v>0</v>
      </c>
      <c r="C877" s="209" t="s">
        <v>2072</v>
      </c>
    </row>
    <row r="878" spans="1:3" ht="15" customHeight="1" x14ac:dyDescent="0.3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3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3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3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3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3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3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3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3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3">
      <c r="A887" s="207" t="s">
        <v>407</v>
      </c>
      <c r="B887" s="208">
        <v>3</v>
      </c>
      <c r="C887" s="211" t="s">
        <v>2073</v>
      </c>
    </row>
    <row r="888" spans="1:3" ht="15" customHeight="1" x14ac:dyDescent="0.3">
      <c r="A888" s="206" t="s">
        <v>787</v>
      </c>
      <c r="B888" s="213">
        <v>3</v>
      </c>
      <c r="C888" s="206" t="s">
        <v>1490</v>
      </c>
    </row>
    <row r="889" spans="1:3" ht="15" customHeight="1" x14ac:dyDescent="0.3">
      <c r="A889" s="207" t="s">
        <v>567</v>
      </c>
      <c r="B889" s="208">
        <v>3</v>
      </c>
      <c r="C889" s="211" t="s">
        <v>2073</v>
      </c>
    </row>
    <row r="890" spans="1:3" ht="15" customHeight="1" x14ac:dyDescent="0.3">
      <c r="A890" s="206" t="s">
        <v>109</v>
      </c>
      <c r="B890" s="213">
        <v>3</v>
      </c>
      <c r="C890" s="206" t="s">
        <v>1490</v>
      </c>
    </row>
    <row r="891" spans="1:3" ht="15" customHeight="1" x14ac:dyDescent="0.3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3.xml><?xml version="1.0" encoding="utf-8"?>
<ds:datastoreItem xmlns:ds="http://schemas.openxmlformats.org/officeDocument/2006/customXml" ds:itemID="{B16A17EE-70D6-4FF5-8E81-F467C2A6AF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Joris Quik</cp:lastModifiedBy>
  <cp:lastPrinted>2014-04-07T07:45:23Z</cp:lastPrinted>
  <dcterms:created xsi:type="dcterms:W3CDTF">2000-08-28T11:36:35Z</dcterms:created>
  <dcterms:modified xsi:type="dcterms:W3CDTF">2025-03-27T15:42:23Z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