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N:\Documents\GitHub\SimpleBox\SBooScripts\vignettes\Development\Quality control\SBExcel\"/>
    </mc:Choice>
  </mc:AlternateContent>
  <xr:revisionPtr revIDLastSave="0" documentId="13_ncr:1_{CEBCD4BA-D2D3-4381-9022-70ECD0A88412}" xr6:coauthVersionLast="47" xr6:coauthVersionMax="47" xr10:uidLastSave="{00000000-0000-0000-0000-000000000000}"/>
  <bookViews>
    <workbookView xWindow="-120" yWindow="-120" windowWidth="29040" windowHeight="15840" tabRatio="704" firstSheet="3" activeTab="7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charts (charts)" guid="{E10D53DE-7CBD-11D4-9F98-0000E22085C7}" maximized="1" xWindow="2" windowWidth="814" windowHeight="473" activeSheetId="7"/>
    <customWorkbookView name="distribution and risk (arctic)" guid="{E10D53DF-7CBD-11D4-9F98-0000E22085C7}" maximized="1" xWindow="2" windowWidth="814" windowHeight="473" activeSheetId="4"/>
    <customWorkbookView name="distribution and risk (continental)" guid="{E10D53E0-7CBD-11D4-9F98-0000E22085C7}" maximized="1" xWindow="2" windowWidth="814" windowHeight="473" activeSheetId="2"/>
    <customWorkbookView name="distribution and risk (moderate)" guid="{E10D53E1-7CBD-11D4-9F98-0000E22085C7}" maximized="1" xWindow="2" windowWidth="814" windowHeight="473" activeSheetId="3"/>
    <customWorkbookView name="distribution and risk (regional)" guid="{E10D53E2-7CBD-11D4-9F98-0000E22085C7}" maximized="1" xWindow="2" windowWidth="814" windowHeight="473" activeSheetId="1"/>
    <customWorkbookView name="distribution and risk (tropic)" guid="{E10D53E3-7CBD-11D4-9F98-0000E22085C7}" maximized="1" xWindow="2" windowWidth="814" windowHeight="473" activeSheetId="5"/>
    <customWorkbookView name="input file dynamic comp. b1_16_1 (engine)" guid="{E10D53E4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mass balance coeff box 17_32 (engine)" guid="{E10D53E9-7CBD-11D4-9F98-0000E22085C7}" maximized="1" xWindow="2" windowWidth="814" windowHeight="473" activeSheetId="6"/>
    <customWorkbookView name="model definition (arctic)" guid="{E10D53EA-7CBD-11D4-9F98-0000E22085C7}" maximized="1" xWindow="2" windowWidth="814" windowHeight="473" activeSheetId="4"/>
    <customWorkbookView name="model definition (continental)" guid="{E10D53EB-7CBD-11D4-9F98-0000E22085C7}" maximized="1" xWindow="2" windowWidth="814" windowHeight="473" activeSheetId="2"/>
    <customWorkbookView name="model definition (engine)" guid="{E10D53EC-7CBD-11D4-9F98-0000E22085C7}" maximized="1" xWindow="2" windowWidth="814" windowHeight="473" activeSheetId="6"/>
    <customWorkbookView name="model definition (moderate)" guid="{E10D53ED-7CBD-11D4-9F98-0000E22085C7}" maximized="1" xWindow="2" windowWidth="814" windowHeight="473" activeSheetId="3"/>
    <customWorkbookView name="model definition (regional)" guid="{E10D53EE-7CBD-11D4-9F98-0000E22085C7}" maximized="1" xWindow="2" windowWidth="814" windowHeight="473" activeSheetId="1"/>
    <customWorkbookView name="model definition (tropic)" guid="{E10D53EF-7CBD-11D4-9F98-0000E22085C7}" maximized="1" xWindow="2" windowWidth="814" windowHeight="473" activeSheetId="5"/>
    <customWorkbookView name="model picture (arctic)" guid="{E10D53F0-7CBD-11D4-9F98-0000E22085C7}" maximized="1" xWindow="2" windowWidth="814" windowHeight="473" activeSheetId="4"/>
    <customWorkbookView name="model picture (continental)" guid="{E10D53F1-7CBD-11D4-9F98-0000E22085C7}" maximized="1" xWindow="2" windowWidth="814" windowHeight="473" activeSheetId="2"/>
    <customWorkbookView name="model picture (moderate)" guid="{E10D53F2-7CBD-11D4-9F98-0000E22085C7}" maximized="1" xWindow="2" windowWidth="814" windowHeight="473" activeSheetId="3"/>
    <customWorkbookView name="model picture (regional)" guid="{E10D53F3-7CBD-11D4-9F98-0000E22085C7}" maximized="1" xWindow="2" windowWidth="814" windowHeight="443" activeSheetId="1"/>
    <customWorkbookView name="model picture (tropic)" guid="{E10D53F4-7CBD-11D4-9F98-0000E22085C7}" maximized="1" xWindow="2" windowWidth="814" windowHeight="473" activeSheetId="5"/>
    <customWorkbookView name="output analysis report (arctic)" guid="{E10D53F5-7CBD-11D4-9F98-0000E22085C7}" maximized="1" xWindow="2" windowWidth="814" windowHeight="473" activeSheetId="4"/>
    <customWorkbookView name="output analysis report (continental)" guid="{E10D53F6-7CBD-11D4-9F98-0000E22085C7}" maximized="1" xWindow="2" windowWidth="814" windowHeight="473" activeSheetId="2"/>
    <customWorkbookView name="output analysis report (moderate)" guid="{E10D53F7-7CBD-11D4-9F98-0000E22085C7}" maximized="1" xWindow="2" windowWidth="814" windowHeight="473" activeSheetId="3"/>
    <customWorkbookView name="output analysis report (regional)" guid="{E10D53F8-7CBD-11D4-9F98-0000E22085C7}" maximized="1" xWindow="2" windowWidth="814" windowHeight="443" activeSheetId="1"/>
    <customWorkbookView name="output analysis report (tropic)" guid="{E10D53F9-7CBD-11D4-9F98-0000E22085C7}" maximized="1" xWindow="2" windowWidth="814" windowHeight="473" activeSheetId="5"/>
    <customWorkbookView name="proces half life (arctic)" guid="{E10D53FA-7CBD-11D4-9F98-0000E22085C7}" maximized="1" xWindow="2" windowWidth="814" windowHeight="473" activeSheetId="4"/>
    <customWorkbookView name="proces half life (continental)" guid="{E10D53FB-7CBD-11D4-9F98-0000E22085C7}" maximized="1" xWindow="2" windowWidth="814" windowHeight="473" activeSheetId="2"/>
    <customWorkbookView name="proces half life (moderate)" guid="{E10D53FC-7CBD-11D4-9F98-0000E22085C7}" maximized="1" xWindow="2" windowWidth="814" windowHeight="473" activeSheetId="3"/>
    <customWorkbookView name="proces half life (regional)" guid="{E10D53FD-7CBD-11D4-9F98-0000E22085C7}" maximized="1" xWindow="2" windowWidth="814" windowHeight="473" activeSheetId="1"/>
    <customWorkbookView name="proces half life (tropic)" guid="{E10D53FE-7CBD-11D4-9F98-0000E22085C7}" maximized="1" xWindow="2" windowWidth="814" windowHeight="473" activeSheetId="5"/>
    <customWorkbookView name="quasi dynamic comp. forcings (engine)" guid="{E10D53FF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steady state comp. box 17_32 (engine)" guid="{E10D5405-7CBD-11D4-9F98-0000E22085C7}" maximized="1" xWindow="2" windowWidth="814" windowHeight="473" activeSheetId="6"/>
    <customWorkbookView name="steady state mass flows (arctic)" guid="{E10D5406-7CBD-11D4-9F98-0000E22085C7}" maximized="1" xWindow="2" windowWidth="814" windowHeight="473" activeSheetId="4"/>
    <customWorkbookView name="steady state mass flows (continental)" guid="{E10D5407-7CBD-11D4-9F98-0000E22085C7}" maximized="1" xWindow="2" windowWidth="814" windowHeight="473" activeSheetId="2"/>
    <customWorkbookView name="steady state mass flows (moderate)" guid="{E10D5408-7CBD-11D4-9F98-0000E22085C7}" maximized="1" xWindow="2" windowWidth="814" windowHeight="473" activeSheetId="3"/>
    <customWorkbookView name="steady state mass flows (regional)" guid="{E10D5409-7CBD-11D4-9F98-0000E22085C7}" maximized="1" xWindow="2" windowWidth="814" windowHeight="473" activeSheetId="1"/>
    <customWorkbookView name="steady state mass flows (tropic)" guid="{E10D540A-7CBD-11D4-9F98-0000E22085C7}" maximized="1" xWindow="2" windowWidth="814" windowHeight="473" activeSheetId="5"/>
    <customWorkbookView name="steady state mass flows b1_16 (engine)" guid="{E10D540B-7CBD-11D4-9F98-0000E22085C7}" maximized="1" xWindow="2" windowWidth="814" windowHeight="473" activeSheetId="6"/>
    <customWorkbookView name="steady state mass flows b17_32 (engine)" guid="{E10D540C-7CBD-11D4-9F98-0000E22085C7}" maximized="1" xWindow="2" windowWidth="814" windowHeight="473" activeSheetId="6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K50" i="6" s="1"/>
  <c r="L50" i="6" s="1"/>
  <c r="K52" i="6"/>
  <c r="B497" i="22"/>
  <c r="K60" i="7"/>
  <c r="L60" i="7" s="1"/>
  <c r="B881" i="22"/>
  <c r="L203" i="8"/>
  <c r="F12" i="11" l="1"/>
  <c r="K58" i="7"/>
  <c r="L58" i="7" s="1"/>
  <c r="P12" i="11" s="1"/>
  <c r="B885" i="22"/>
  <c r="B506" i="22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880" i="22" l="1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/>
  <c r="L5" i="3"/>
  <c r="J15" i="3"/>
  <c r="L15" i="3" s="1"/>
  <c r="K143" i="7" s="1"/>
  <c r="L143" i="7" s="1"/>
  <c r="J19" i="3"/>
  <c r="J14" i="3"/>
  <c r="L14" i="3" s="1"/>
  <c r="K30" i="3" s="1"/>
  <c r="L30" i="3" s="1"/>
  <c r="J35" i="3"/>
  <c r="L35" i="3" s="1"/>
  <c r="J37" i="3"/>
  <c r="J39" i="3"/>
  <c r="L39" i="3" s="1"/>
  <c r="J66" i="6"/>
  <c r="J17" i="3"/>
  <c r="J20" i="3"/>
  <c r="L20" i="3" s="1"/>
  <c r="J60" i="6"/>
  <c r="J66" i="3"/>
  <c r="L66" i="3" s="1"/>
  <c r="J108" i="6"/>
  <c r="J126" i="6"/>
  <c r="J62" i="6"/>
  <c r="J75" i="3"/>
  <c r="J127" i="6"/>
  <c r="J128" i="6"/>
  <c r="J109" i="6"/>
  <c r="J110" i="6"/>
  <c r="J111" i="6"/>
  <c r="J112" i="6"/>
  <c r="J113" i="6"/>
  <c r="J72" i="6"/>
  <c r="J78" i="6"/>
  <c r="J70" i="3"/>
  <c r="L70" i="3" s="1"/>
  <c r="J74" i="3"/>
  <c r="J66" i="7"/>
  <c r="J114" i="7"/>
  <c r="J132" i="7"/>
  <c r="J68" i="7"/>
  <c r="K142" i="7"/>
  <c r="L142" i="7" s="1"/>
  <c r="J133" i="7"/>
  <c r="J134" i="7"/>
  <c r="J115" i="7"/>
  <c r="J116" i="7"/>
  <c r="J117" i="7"/>
  <c r="J118" i="7"/>
  <c r="J119" i="7"/>
  <c r="J72" i="7"/>
  <c r="J78" i="7"/>
  <c r="J84" i="7"/>
  <c r="J46" i="8"/>
  <c r="J76" i="8"/>
  <c r="J86" i="8"/>
  <c r="J48" i="8"/>
  <c r="K97" i="8"/>
  <c r="L97" i="8" s="1"/>
  <c r="J87" i="8"/>
  <c r="J88" i="8"/>
  <c r="J77" i="8"/>
  <c r="J53" i="8"/>
  <c r="J54" i="8"/>
  <c r="J182" i="8"/>
  <c r="J212" i="8"/>
  <c r="J222" i="8"/>
  <c r="J184" i="8"/>
  <c r="K232" i="8"/>
  <c r="L232" i="8" s="1"/>
  <c r="K233" i="8"/>
  <c r="L233" i="8" s="1"/>
  <c r="J223" i="8"/>
  <c r="J224" i="8"/>
  <c r="J213" i="8"/>
  <c r="J189" i="8"/>
  <c r="J190" i="8"/>
  <c r="J318" i="8"/>
  <c r="J348" i="8"/>
  <c r="J358" i="8"/>
  <c r="J320" i="8"/>
  <c r="K368" i="8"/>
  <c r="L368" i="8" s="1"/>
  <c r="K369" i="8"/>
  <c r="L369" i="8" s="1"/>
  <c r="J359" i="8"/>
  <c r="J360" i="8"/>
  <c r="J349" i="8"/>
  <c r="J325" i="8"/>
  <c r="J326" i="8"/>
  <c r="L81" i="3"/>
  <c r="I8" i="16" s="1"/>
  <c r="AC13" i="23"/>
  <c r="AS28" i="23" s="1"/>
  <c r="L89" i="3"/>
  <c r="AC23" i="23" s="1"/>
  <c r="AS92" i="23" s="1"/>
  <c r="A6" i="2"/>
  <c r="L6" i="2"/>
  <c r="R6" i="2"/>
  <c r="I6" i="2"/>
  <c r="K6" i="2"/>
  <c r="N6" i="2"/>
  <c r="E6" i="2"/>
  <c r="BQ12" i="23"/>
  <c r="G6" i="2"/>
  <c r="Y6" i="2"/>
  <c r="D6" i="2"/>
  <c r="BP12" i="23"/>
  <c r="Z6" i="2"/>
  <c r="Q6" i="2"/>
  <c r="J6" i="2"/>
  <c r="C6" i="2"/>
  <c r="U6" i="2"/>
  <c r="W6" i="2"/>
  <c r="F6" i="2"/>
  <c r="T6" i="2"/>
  <c r="O6" i="2"/>
  <c r="X6" i="2"/>
  <c r="S6" i="2"/>
  <c r="B6" i="2"/>
  <c r="P6" i="2"/>
  <c r="V6" i="2"/>
  <c r="M6" i="2"/>
  <c r="H6" i="2"/>
  <c r="J22" i="3"/>
  <c r="L22" i="3" s="1"/>
  <c r="B700" i="22"/>
  <c r="B696" i="22"/>
  <c r="B209" i="22"/>
  <c r="B698" i="22"/>
  <c r="B694" i="22"/>
  <c r="K156" i="3"/>
  <c r="L156" i="3" s="1"/>
  <c r="B208" i="22"/>
  <c r="B702" i="22"/>
  <c r="B701" i="22"/>
  <c r="B695" i="22"/>
  <c r="B693" i="22"/>
  <c r="B699" i="22"/>
  <c r="B697" i="22"/>
  <c r="K155" i="3"/>
  <c r="L155" i="3" s="1"/>
  <c r="C5" i="23"/>
  <c r="BO12" i="23"/>
  <c r="F5" i="20"/>
  <c r="K6" i="3"/>
  <c r="I17" i="18"/>
  <c r="AB5" i="23"/>
  <c r="BO5" i="23"/>
  <c r="AY132" i="23"/>
  <c r="P17" i="3"/>
  <c r="AY3" i="23"/>
  <c r="AY67" i="23"/>
  <c r="BN12" i="23"/>
  <c r="B329" i="22" l="1"/>
  <c r="B333" i="22"/>
  <c r="I44" i="3"/>
  <c r="K37" i="3"/>
  <c r="I59" i="3"/>
  <c r="J60" i="3"/>
  <c r="I58" i="3"/>
  <c r="I48" i="3"/>
  <c r="J48" i="3"/>
  <c r="I54" i="3"/>
  <c r="I56" i="3"/>
  <c r="J49" i="3"/>
  <c r="J50" i="3"/>
  <c r="I46" i="3"/>
  <c r="J47" i="3"/>
  <c r="I61" i="3"/>
  <c r="I47" i="3"/>
  <c r="I63" i="3"/>
  <c r="J63" i="3"/>
  <c r="J61" i="3"/>
  <c r="I51" i="3"/>
  <c r="I50" i="3"/>
  <c r="K21" i="3"/>
  <c r="L21" i="3" s="1"/>
  <c r="J44" i="3"/>
  <c r="K96" i="8"/>
  <c r="L96" i="8" s="1"/>
  <c r="K27" i="3"/>
  <c r="L27" i="3" s="1"/>
  <c r="K23" i="3"/>
  <c r="L23" i="3" s="1"/>
  <c r="K82" i="6" s="1"/>
  <c r="L82" i="6" s="1"/>
  <c r="B332" i="22"/>
  <c r="I42" i="3"/>
  <c r="J42" i="3"/>
  <c r="J59" i="3"/>
  <c r="J46" i="3"/>
  <c r="J43" i="3"/>
  <c r="I53" i="3"/>
  <c r="J55" i="3"/>
  <c r="I43" i="3"/>
  <c r="J51" i="3"/>
  <c r="I60" i="3"/>
  <c r="J62" i="3"/>
  <c r="I57" i="3"/>
  <c r="J56" i="3"/>
  <c r="I52" i="3"/>
  <c r="J53" i="3"/>
  <c r="J57" i="3"/>
  <c r="J52" i="3"/>
  <c r="J54" i="3"/>
  <c r="J64" i="3"/>
  <c r="I49" i="3"/>
  <c r="I55" i="3"/>
  <c r="I62" i="3"/>
  <c r="I64" i="3"/>
  <c r="J58" i="3"/>
  <c r="K36" i="3"/>
  <c r="L36" i="3" s="1"/>
  <c r="L447" i="18" s="1"/>
  <c r="B401" i="22"/>
  <c r="O220" i="18"/>
  <c r="K17" i="3"/>
  <c r="L17" i="3" s="1"/>
  <c r="K29" i="3"/>
  <c r="L29" i="3" s="1"/>
  <c r="K24" i="3"/>
  <c r="L24" i="3" s="1"/>
  <c r="K32" i="3"/>
  <c r="L32" i="3" s="1"/>
  <c r="K34" i="3"/>
  <c r="L34" i="3" s="1"/>
  <c r="K26" i="3"/>
  <c r="L26" i="3" s="1"/>
  <c r="B328" i="22"/>
  <c r="B336" i="22"/>
  <c r="B337" i="22"/>
  <c r="K18" i="3"/>
  <c r="L18" i="3" s="1"/>
  <c r="K31" i="3"/>
  <c r="L31" i="3" s="1"/>
  <c r="K33" i="3"/>
  <c r="L33" i="3" s="1"/>
  <c r="K28" i="3"/>
  <c r="L28" i="3" s="1"/>
  <c r="B331" i="22"/>
  <c r="B338" i="22"/>
  <c r="B335" i="22"/>
  <c r="B330" i="22"/>
  <c r="B334" i="22"/>
  <c r="B339" i="22"/>
  <c r="K70" i="6"/>
  <c r="L70" i="6" s="1"/>
  <c r="L84" i="3"/>
  <c r="L90" i="3"/>
  <c r="L94" i="3"/>
  <c r="L100" i="3"/>
  <c r="L105" i="3"/>
  <c r="L83" i="3"/>
  <c r="L88" i="3"/>
  <c r="L93" i="3"/>
  <c r="L98" i="3"/>
  <c r="L104" i="3"/>
  <c r="K137" i="6"/>
  <c r="L137" i="6" s="1"/>
  <c r="L37" i="3"/>
  <c r="L82" i="3"/>
  <c r="L86" i="3"/>
  <c r="L92" i="3"/>
  <c r="L97" i="3"/>
  <c r="L102" i="3"/>
  <c r="L80" i="3"/>
  <c r="L85" i="3"/>
  <c r="L91" i="3"/>
  <c r="L96" i="3"/>
  <c r="L101" i="3"/>
  <c r="L106" i="3"/>
  <c r="K136" i="6"/>
  <c r="L136" i="6" s="1"/>
  <c r="K25" i="3"/>
  <c r="L25" i="3" s="1"/>
  <c r="K75" i="3" l="1"/>
  <c r="K74" i="3"/>
  <c r="L74" i="3" s="1"/>
  <c r="P788" i="18"/>
  <c r="L75" i="3"/>
  <c r="L652" i="18"/>
  <c r="P445" i="18"/>
  <c r="K103" i="6"/>
  <c r="L103" i="6" s="1"/>
  <c r="K109" i="7"/>
  <c r="L109" i="7" s="1"/>
  <c r="B620" i="22"/>
  <c r="N445" i="18"/>
  <c r="L924" i="18"/>
  <c r="L922" i="18"/>
  <c r="M220" i="18"/>
  <c r="P652" i="18"/>
  <c r="B722" i="22"/>
  <c r="P650" i="18"/>
  <c r="M922" i="18"/>
  <c r="L222" i="18"/>
  <c r="L445" i="18"/>
  <c r="N788" i="18"/>
  <c r="O788" i="18"/>
  <c r="O652" i="18"/>
  <c r="M650" i="18"/>
  <c r="O922" i="18"/>
  <c r="M924" i="18"/>
  <c r="M786" i="18"/>
  <c r="L650" i="18"/>
  <c r="L788" i="18"/>
  <c r="L220" i="18"/>
  <c r="N924" i="18"/>
  <c r="O447" i="18"/>
  <c r="B725" i="22"/>
  <c r="O650" i="18"/>
  <c r="P924" i="18"/>
  <c r="O222" i="18"/>
  <c r="B724" i="22"/>
  <c r="B723" i="22"/>
  <c r="O445" i="18"/>
  <c r="N786" i="18"/>
  <c r="B721" i="22"/>
  <c r="M447" i="18"/>
  <c r="O924" i="18"/>
  <c r="O786" i="18"/>
  <c r="P786" i="18"/>
  <c r="N922" i="18"/>
  <c r="M788" i="18"/>
  <c r="P220" i="18"/>
  <c r="K98" i="6"/>
  <c r="L98" i="6" s="1"/>
  <c r="B619" i="22"/>
  <c r="B617" i="22"/>
  <c r="B618" i="22"/>
  <c r="K104" i="7"/>
  <c r="L104" i="7" s="1"/>
  <c r="M222" i="18"/>
  <c r="N650" i="18"/>
  <c r="M652" i="18"/>
  <c r="M445" i="18"/>
  <c r="P222" i="18"/>
  <c r="K62" i="8"/>
  <c r="L62" i="8" s="1"/>
  <c r="B603" i="22"/>
  <c r="K76" i="7"/>
  <c r="L76" i="7" s="1"/>
  <c r="K334" i="8"/>
  <c r="L334" i="8" s="1"/>
  <c r="B608" i="22"/>
  <c r="B610" i="22"/>
  <c r="K76" i="6"/>
  <c r="L76" i="6" s="1"/>
  <c r="K88" i="7"/>
  <c r="L88" i="7" s="1"/>
  <c r="K61" i="8"/>
  <c r="L61" i="8" s="1"/>
  <c r="B606" i="22"/>
  <c r="B604" i="22"/>
  <c r="K197" i="8"/>
  <c r="L197" i="8" s="1"/>
  <c r="K82" i="7"/>
  <c r="L82" i="7" s="1"/>
  <c r="K198" i="8"/>
  <c r="L198" i="8" s="1"/>
  <c r="K333" i="8"/>
  <c r="L333" i="8" s="1"/>
  <c r="B605" i="22"/>
  <c r="K94" i="7"/>
  <c r="L94" i="7" s="1"/>
  <c r="K202" i="8"/>
  <c r="L202" i="8" s="1"/>
  <c r="B627" i="22"/>
  <c r="B624" i="22"/>
  <c r="K66" i="8"/>
  <c r="L66" i="8" s="1"/>
  <c r="B626" i="22"/>
  <c r="K88" i="6"/>
  <c r="L88" i="6" s="1"/>
  <c r="K338" i="8"/>
  <c r="L338" i="8" s="1"/>
  <c r="B625" i="22"/>
  <c r="B628" i="22"/>
  <c r="P447" i="18"/>
  <c r="K85" i="6"/>
  <c r="L85" i="6" s="1"/>
  <c r="K91" i="7"/>
  <c r="L91" i="7" s="1"/>
  <c r="B623" i="22"/>
  <c r="B622" i="22"/>
  <c r="K93" i="6"/>
  <c r="L93" i="6" s="1"/>
  <c r="K99" i="7"/>
  <c r="L99" i="7" s="1"/>
  <c r="K71" i="8"/>
  <c r="L71" i="8" s="1"/>
  <c r="K207" i="8"/>
  <c r="L207" i="8" s="1"/>
  <c r="K343" i="8"/>
  <c r="L343" i="8" s="1"/>
  <c r="B629" i="22"/>
  <c r="B616" i="22"/>
  <c r="B621" i="22"/>
  <c r="B630" i="22"/>
  <c r="B615" i="22"/>
  <c r="N220" i="18"/>
  <c r="P922" i="18"/>
  <c r="N222" i="18"/>
  <c r="L786" i="18"/>
  <c r="N652" i="18"/>
  <c r="N447" i="18"/>
  <c r="K79" i="6"/>
  <c r="L79" i="6" s="1"/>
  <c r="K78" i="6" s="1"/>
  <c r="L78" i="6" s="1"/>
  <c r="B639" i="22"/>
  <c r="B640" i="22"/>
  <c r="K85" i="7"/>
  <c r="L85" i="7" s="1"/>
  <c r="K55" i="8"/>
  <c r="L55" i="8" s="1"/>
  <c r="K191" i="8"/>
  <c r="L191" i="8" s="1"/>
  <c r="K192" i="8"/>
  <c r="L192" i="8" s="1"/>
  <c r="B642" i="22"/>
  <c r="B635" i="22"/>
  <c r="B638" i="22"/>
  <c r="K56" i="8"/>
  <c r="L56" i="8" s="1"/>
  <c r="K327" i="8"/>
  <c r="L327" i="8" s="1"/>
  <c r="B641" i="22"/>
  <c r="K328" i="8"/>
  <c r="L328" i="8" s="1"/>
  <c r="B637" i="22"/>
  <c r="B636" i="22"/>
  <c r="AJ5" i="11"/>
  <c r="AC48" i="23"/>
  <c r="BJ161" i="23" s="1"/>
  <c r="I33" i="16"/>
  <c r="K5" i="11"/>
  <c r="AC19" i="23"/>
  <c r="BJ35" i="23" s="1"/>
  <c r="I12" i="16"/>
  <c r="S5" i="11"/>
  <c r="AC28" i="23"/>
  <c r="BJ100" i="23" s="1"/>
  <c r="I19" i="16"/>
  <c r="M5" i="11"/>
  <c r="AC22" i="23"/>
  <c r="AS75" i="23" s="1"/>
  <c r="I16" i="16"/>
  <c r="I15" i="16"/>
  <c r="U5" i="11"/>
  <c r="AC30" i="23"/>
  <c r="BJ99" i="23" s="1"/>
  <c r="I21" i="16"/>
  <c r="D5" i="11"/>
  <c r="AC12" i="23"/>
  <c r="I7" i="16"/>
  <c r="L5" i="11"/>
  <c r="AC20" i="23"/>
  <c r="BJ34" i="23" s="1"/>
  <c r="I13" i="16"/>
  <c r="G5" i="11"/>
  <c r="AC15" i="23"/>
  <c r="AS30" i="23" s="1"/>
  <c r="I10" i="16"/>
  <c r="O5" i="11"/>
  <c r="AC24" i="23"/>
  <c r="AS93" i="23" s="1"/>
  <c r="I17" i="16"/>
  <c r="AB5" i="11"/>
  <c r="AC39" i="23"/>
  <c r="AZ149" i="23" s="1"/>
  <c r="I28" i="16"/>
  <c r="AF5" i="11"/>
  <c r="AC44" i="23"/>
  <c r="BF138" i="23" s="1"/>
  <c r="I31" i="16"/>
  <c r="K67" i="6"/>
  <c r="L67" i="6" s="1"/>
  <c r="K73" i="6"/>
  <c r="L73" i="6" s="1"/>
  <c r="K73" i="7"/>
  <c r="L73" i="7" s="1"/>
  <c r="K79" i="7"/>
  <c r="L79" i="7" s="1"/>
  <c r="B634" i="22"/>
  <c r="B632" i="22"/>
  <c r="B631" i="22"/>
  <c r="B633" i="22"/>
  <c r="V5" i="11"/>
  <c r="AC32" i="23"/>
  <c r="AT138" i="23" s="1"/>
  <c r="I23" i="16"/>
  <c r="AE5" i="11"/>
  <c r="AC42" i="23"/>
  <c r="BD161" i="23" s="1"/>
  <c r="I29" i="16"/>
  <c r="F5" i="11"/>
  <c r="AC14" i="23"/>
  <c r="AS29" i="23" s="1"/>
  <c r="I9" i="16"/>
  <c r="Z5" i="11"/>
  <c r="AC36" i="23"/>
  <c r="AX161" i="23" s="1"/>
  <c r="I25" i="16"/>
  <c r="AG5" i="11"/>
  <c r="AC45" i="23"/>
  <c r="BF149" i="23" s="1"/>
  <c r="I32" i="16"/>
  <c r="J5" i="11"/>
  <c r="AC18" i="23"/>
  <c r="BJ36" i="23" s="1"/>
  <c r="I11" i="16"/>
  <c r="K209" i="6"/>
  <c r="L209" i="6" s="1"/>
  <c r="K211" i="6"/>
  <c r="L211" i="6" s="1"/>
  <c r="K215" i="7"/>
  <c r="L215" i="7" s="1"/>
  <c r="K216" i="7"/>
  <c r="L216" i="7" s="1"/>
  <c r="K210" i="6"/>
  <c r="L210" i="6" s="1"/>
  <c r="K138" i="8"/>
  <c r="L138" i="8" s="1"/>
  <c r="K410" i="8"/>
  <c r="L410" i="8" s="1"/>
  <c r="K217" i="7"/>
  <c r="L217" i="7" s="1"/>
  <c r="K274" i="8"/>
  <c r="L274" i="8" s="1"/>
  <c r="B556" i="22"/>
  <c r="B569" i="22"/>
  <c r="B558" i="22"/>
  <c r="B561" i="22"/>
  <c r="B555" i="22"/>
  <c r="B560" i="22"/>
  <c r="B570" i="22"/>
  <c r="B557" i="22"/>
  <c r="B559" i="22"/>
  <c r="P5" i="11"/>
  <c r="AC25" i="23"/>
  <c r="AS94" i="23" s="1"/>
  <c r="I18" i="16"/>
  <c r="W5" i="11"/>
  <c r="AC33" i="23"/>
  <c r="AT149" i="23" s="1"/>
  <c r="I24" i="16"/>
  <c r="L63" i="3"/>
  <c r="L51" i="3"/>
  <c r="L61" i="3"/>
  <c r="K64" i="3"/>
  <c r="K46" i="3"/>
  <c r="K53" i="3"/>
  <c r="L64" i="3"/>
  <c r="K50" i="3"/>
  <c r="L57" i="3"/>
  <c r="K57" i="3"/>
  <c r="L54" i="3"/>
  <c r="K61" i="3"/>
  <c r="K55" i="3"/>
  <c r="K59" i="3"/>
  <c r="L62" i="3"/>
  <c r="K52" i="3"/>
  <c r="L42" i="3"/>
  <c r="K60" i="3"/>
  <c r="L50" i="3"/>
  <c r="K48" i="3"/>
  <c r="L49" i="3"/>
  <c r="K62" i="3"/>
  <c r="K44" i="3"/>
  <c r="K56" i="3"/>
  <c r="K51" i="3"/>
  <c r="L48" i="3"/>
  <c r="L60" i="3"/>
  <c r="K58" i="3"/>
  <c r="L59" i="3"/>
  <c r="L55" i="3"/>
  <c r="L47" i="3"/>
  <c r="K49" i="3"/>
  <c r="K63" i="3"/>
  <c r="L53" i="3"/>
  <c r="L52" i="3"/>
  <c r="K54" i="3"/>
  <c r="K47" i="3"/>
  <c r="L46" i="3"/>
  <c r="K43" i="3"/>
  <c r="L58" i="3"/>
  <c r="L56" i="3"/>
  <c r="T5" i="11"/>
  <c r="AC29" i="23"/>
  <c r="BJ98" i="23" s="1"/>
  <c r="I20" i="16"/>
  <c r="AA5" i="11"/>
  <c r="AC38" i="23"/>
  <c r="AZ138" i="23" s="1"/>
  <c r="I27" i="16"/>
  <c r="K42" i="3"/>
  <c r="K19" i="3" s="1"/>
  <c r="L19" i="3" s="1"/>
  <c r="K213" i="7" l="1"/>
  <c r="L213" i="7" s="1"/>
  <c r="K197" i="7" s="1"/>
  <c r="L197" i="7" s="1"/>
  <c r="B471" i="22"/>
  <c r="K214" i="7"/>
  <c r="L214" i="7" s="1"/>
  <c r="K198" i="7" s="1"/>
  <c r="L198" i="7" s="1"/>
  <c r="B568" i="22"/>
  <c r="K409" i="8"/>
  <c r="L409" i="8" s="1"/>
  <c r="K398" i="8" s="1"/>
  <c r="L398" i="8" s="1"/>
  <c r="B562" i="22"/>
  <c r="B567" i="22"/>
  <c r="B467" i="22"/>
  <c r="B461" i="22"/>
  <c r="B465" i="22"/>
  <c r="K137" i="8"/>
  <c r="L137" i="8" s="1"/>
  <c r="K126" i="8" s="1"/>
  <c r="L126" i="8" s="1"/>
  <c r="K208" i="6"/>
  <c r="L208" i="6" s="1"/>
  <c r="K192" i="6" s="1"/>
  <c r="L192" i="6" s="1"/>
  <c r="B469" i="22"/>
  <c r="B463" i="22"/>
  <c r="B566" i="22"/>
  <c r="K273" i="8"/>
  <c r="L273" i="8" s="1"/>
  <c r="K262" i="8" s="1"/>
  <c r="L262" i="8" s="1"/>
  <c r="K207" i="6"/>
  <c r="L207" i="6" s="1"/>
  <c r="K191" i="6" s="1"/>
  <c r="L191" i="6" s="1"/>
  <c r="B459" i="22"/>
  <c r="B563" i="22"/>
  <c r="B565" i="22"/>
  <c r="B564" i="22"/>
  <c r="B365" i="22"/>
  <c r="O658" i="18"/>
  <c r="M658" i="18"/>
  <c r="N658" i="18"/>
  <c r="P658" i="18"/>
  <c r="L658" i="18"/>
  <c r="B368" i="22"/>
  <c r="K54" i="8"/>
  <c r="L54" i="8" s="1"/>
  <c r="L794" i="18"/>
  <c r="N794" i="18"/>
  <c r="P794" i="18"/>
  <c r="O794" i="18"/>
  <c r="M794" i="18"/>
  <c r="B367" i="22"/>
  <c r="K190" i="8"/>
  <c r="L190" i="8" s="1"/>
  <c r="K87" i="6"/>
  <c r="L87" i="6" s="1"/>
  <c r="B655" i="22"/>
  <c r="M929" i="18"/>
  <c r="P929" i="18"/>
  <c r="K325" i="8"/>
  <c r="L325" i="8" s="1"/>
  <c r="L929" i="18"/>
  <c r="B366" i="22"/>
  <c r="O929" i="18"/>
  <c r="N929" i="18"/>
  <c r="K337" i="8"/>
  <c r="L337" i="8" s="1"/>
  <c r="B651" i="22"/>
  <c r="P930" i="18"/>
  <c r="B369" i="22"/>
  <c r="M930" i="18"/>
  <c r="O930" i="18"/>
  <c r="N930" i="18"/>
  <c r="L930" i="18"/>
  <c r="K326" i="8"/>
  <c r="L326" i="8" s="1"/>
  <c r="N793" i="18"/>
  <c r="L793" i="18"/>
  <c r="M793" i="18"/>
  <c r="P793" i="18"/>
  <c r="B362" i="22"/>
  <c r="O793" i="18"/>
  <c r="K189" i="8"/>
  <c r="L189" i="8" s="1"/>
  <c r="B652" i="22"/>
  <c r="K90" i="7"/>
  <c r="L90" i="7" s="1"/>
  <c r="K201" i="8"/>
  <c r="L201" i="8" s="1"/>
  <c r="B649" i="22"/>
  <c r="L463" i="18"/>
  <c r="N463" i="18"/>
  <c r="B363" i="22"/>
  <c r="P463" i="18"/>
  <c r="M463" i="18"/>
  <c r="O463" i="18"/>
  <c r="K84" i="7"/>
  <c r="L84" i="7" s="1"/>
  <c r="K53" i="8"/>
  <c r="L53" i="8" s="1"/>
  <c r="P657" i="18"/>
  <c r="M657" i="18"/>
  <c r="O657" i="18"/>
  <c r="N657" i="18"/>
  <c r="B364" i="22"/>
  <c r="L657" i="18"/>
  <c r="L238" i="18"/>
  <c r="N238" i="18"/>
  <c r="M238" i="18"/>
  <c r="O238" i="18"/>
  <c r="P238" i="18"/>
  <c r="K84" i="6"/>
  <c r="L84" i="6" s="1"/>
  <c r="B653" i="22"/>
  <c r="K65" i="8"/>
  <c r="L65" i="8" s="1"/>
  <c r="B650" i="22"/>
  <c r="K93" i="7"/>
  <c r="L93" i="7" s="1"/>
  <c r="B654" i="22"/>
  <c r="T91" i="11"/>
  <c r="W15" i="20"/>
  <c r="AA91" i="11"/>
  <c r="AD15" i="20"/>
  <c r="P91" i="11"/>
  <c r="S15" i="20"/>
  <c r="K100" i="8"/>
  <c r="L100" i="8" s="1"/>
  <c r="B690" i="22"/>
  <c r="F91" i="11"/>
  <c r="I15" i="20"/>
  <c r="K72" i="6"/>
  <c r="L72" i="6" s="1"/>
  <c r="B758" i="22" s="1"/>
  <c r="N232" i="18"/>
  <c r="P232" i="18"/>
  <c r="O232" i="18"/>
  <c r="L232" i="18"/>
  <c r="M232" i="18"/>
  <c r="B361" i="22"/>
  <c r="AF91" i="11"/>
  <c r="AI15" i="20"/>
  <c r="G91" i="11"/>
  <c r="J15" i="20"/>
  <c r="AJ91" i="11"/>
  <c r="AM15" i="20"/>
  <c r="W91" i="11"/>
  <c r="Z15" i="20"/>
  <c r="K236" i="8"/>
  <c r="L236" i="8" s="1"/>
  <c r="B688" i="22"/>
  <c r="K142" i="6"/>
  <c r="L142" i="6" s="1"/>
  <c r="B691" i="22"/>
  <c r="Z91" i="11"/>
  <c r="AC15" i="20"/>
  <c r="K66" i="6"/>
  <c r="L66" i="6" s="1"/>
  <c r="P226" i="18"/>
  <c r="N226" i="18"/>
  <c r="M226" i="18"/>
  <c r="L226" i="18"/>
  <c r="B359" i="22"/>
  <c r="O226" i="18"/>
  <c r="O91" i="11"/>
  <c r="R15" i="20"/>
  <c r="AC49" i="23"/>
  <c r="AS11" i="23"/>
  <c r="K91" i="11"/>
  <c r="N15" i="20"/>
  <c r="AG91" i="11"/>
  <c r="AJ15" i="20"/>
  <c r="V91" i="11"/>
  <c r="Y15" i="20"/>
  <c r="K78" i="7"/>
  <c r="L78" i="7" s="1"/>
  <c r="P457" i="18"/>
  <c r="B360" i="22"/>
  <c r="O457" i="18"/>
  <c r="B757" i="22"/>
  <c r="N457" i="18"/>
  <c r="M457" i="18"/>
  <c r="L457" i="18"/>
  <c r="D91" i="11"/>
  <c r="G15" i="20"/>
  <c r="K153" i="6"/>
  <c r="L153" i="6" s="1"/>
  <c r="K164" i="6"/>
  <c r="L164" i="6" s="1"/>
  <c r="B5" i="22"/>
  <c r="B513" i="22"/>
  <c r="B578" i="22"/>
  <c r="B760" i="22"/>
  <c r="K202" i="6"/>
  <c r="L202" i="6" s="1"/>
  <c r="K190" i="6" s="1"/>
  <c r="L190" i="6" s="1"/>
  <c r="S91" i="11"/>
  <c r="V15" i="20"/>
  <c r="K69" i="7"/>
  <c r="L69" i="7" s="1"/>
  <c r="K71" i="7"/>
  <c r="L71" i="7" s="1"/>
  <c r="K63" i="6"/>
  <c r="L63" i="6" s="1"/>
  <c r="K65" i="6"/>
  <c r="L65" i="6" s="1"/>
  <c r="K49" i="8"/>
  <c r="L49" i="8" s="1"/>
  <c r="K52" i="8"/>
  <c r="L52" i="8" s="1"/>
  <c r="K321" i="8"/>
  <c r="L321" i="8" s="1"/>
  <c r="K324" i="8"/>
  <c r="L324" i="8" s="1"/>
  <c r="K185" i="8"/>
  <c r="L185" i="8" s="1"/>
  <c r="K188" i="8"/>
  <c r="L188" i="8" s="1"/>
  <c r="B545" i="22"/>
  <c r="B539" i="22"/>
  <c r="B549" i="22"/>
  <c r="B535" i="22"/>
  <c r="B538" i="22"/>
  <c r="B548" i="22"/>
  <c r="B546" i="22"/>
  <c r="B536" i="22"/>
  <c r="B547" i="22"/>
  <c r="B537" i="22"/>
  <c r="K372" i="8"/>
  <c r="L372" i="8" s="1"/>
  <c r="B692" i="22"/>
  <c r="K148" i="7"/>
  <c r="L148" i="7" s="1"/>
  <c r="B689" i="22"/>
  <c r="J91" i="11"/>
  <c r="M15" i="20"/>
  <c r="AE91" i="11"/>
  <c r="AH15" i="20"/>
  <c r="K72" i="7"/>
  <c r="L72" i="7" s="1"/>
  <c r="N451" i="18"/>
  <c r="L451" i="18"/>
  <c r="P451" i="18"/>
  <c r="O451" i="18"/>
  <c r="M451" i="18"/>
  <c r="B358" i="22"/>
  <c r="AB91" i="11"/>
  <c r="AE15" i="20"/>
  <c r="L91" i="11"/>
  <c r="O15" i="20"/>
  <c r="U91" i="11"/>
  <c r="X15" i="20"/>
  <c r="M91" i="11"/>
  <c r="P15" i="20"/>
  <c r="K170" i="7" l="1"/>
  <c r="L170" i="7" s="1"/>
  <c r="B4" i="22"/>
  <c r="B502" i="22"/>
  <c r="K159" i="7"/>
  <c r="L159" i="7" s="1"/>
  <c r="K154" i="7" s="1"/>
  <c r="L154" i="7" s="1"/>
  <c r="P23" i="11" s="1"/>
  <c r="B576" i="22"/>
  <c r="K208" i="7"/>
  <c r="L208" i="7" s="1"/>
  <c r="K196" i="7" s="1"/>
  <c r="L196" i="7" s="1"/>
  <c r="K171" i="7"/>
  <c r="L171" i="7" s="1"/>
  <c r="K156" i="7" s="1"/>
  <c r="L156" i="7" s="1"/>
  <c r="R21" i="11" s="1"/>
  <c r="R23" i="11" s="1"/>
  <c r="B203" i="22"/>
  <c r="K163" i="6"/>
  <c r="L163" i="6" s="1"/>
  <c r="K149" i="6" s="1"/>
  <c r="L149" i="6" s="1"/>
  <c r="H11" i="11" s="1"/>
  <c r="H13" i="11" s="1"/>
  <c r="B202" i="22"/>
  <c r="B577" i="22"/>
  <c r="K111" i="8"/>
  <c r="L111" i="8" s="1"/>
  <c r="B507" i="22"/>
  <c r="K132" i="8"/>
  <c r="L132" i="8" s="1"/>
  <c r="K124" i="8" s="1"/>
  <c r="L124" i="8" s="1"/>
  <c r="K169" i="7"/>
  <c r="L169" i="7" s="1"/>
  <c r="K155" i="7" s="1"/>
  <c r="L155" i="7" s="1"/>
  <c r="Q20" i="11" s="1"/>
  <c r="Q22" i="11" s="1"/>
  <c r="B201" i="22"/>
  <c r="B579" i="22"/>
  <c r="K383" i="8"/>
  <c r="L383" i="8" s="1"/>
  <c r="K404" i="8"/>
  <c r="L404" i="8" s="1"/>
  <c r="K396" i="8" s="1"/>
  <c r="L396" i="8" s="1"/>
  <c r="B517" i="22"/>
  <c r="K165" i="6"/>
  <c r="L165" i="6" s="1"/>
  <c r="K150" i="6" s="1"/>
  <c r="L150" i="6" s="1"/>
  <c r="I12" i="11" s="1"/>
  <c r="I14" i="11" s="1"/>
  <c r="B204" i="22"/>
  <c r="K133" i="8"/>
  <c r="L133" i="8" s="1"/>
  <c r="K125" i="8" s="1"/>
  <c r="L125" i="8" s="1"/>
  <c r="B762" i="22"/>
  <c r="B525" i="22"/>
  <c r="B581" i="22"/>
  <c r="B7" i="22"/>
  <c r="K105" i="8"/>
  <c r="L105" i="8" s="1"/>
  <c r="K103" i="8" s="1"/>
  <c r="L103" i="8" s="1"/>
  <c r="X30" i="11" s="1"/>
  <c r="B582" i="22"/>
  <c r="B530" i="22"/>
  <c r="K405" i="8"/>
  <c r="L405" i="8" s="1"/>
  <c r="K397" i="8" s="1"/>
  <c r="L397" i="8" s="1"/>
  <c r="B8" i="22"/>
  <c r="K377" i="8"/>
  <c r="L377" i="8" s="1"/>
  <c r="K375" i="8" s="1"/>
  <c r="L375" i="8" s="1"/>
  <c r="AH40" i="11" s="1"/>
  <c r="B763" i="22"/>
  <c r="B521" i="22"/>
  <c r="K269" i="8"/>
  <c r="L269" i="8" s="1"/>
  <c r="K261" i="8" s="1"/>
  <c r="L261" i="8" s="1"/>
  <c r="B6" i="22"/>
  <c r="B580" i="22"/>
  <c r="K241" i="8"/>
  <c r="L241" i="8" s="1"/>
  <c r="B761" i="22"/>
  <c r="K247" i="8"/>
  <c r="L247" i="8" s="1"/>
  <c r="K248" i="8"/>
  <c r="L248" i="8" s="1"/>
  <c r="K240" i="8" s="1"/>
  <c r="L240" i="8" s="1"/>
  <c r="AD34" i="11" s="1"/>
  <c r="AD35" i="11" s="1"/>
  <c r="B205" i="22"/>
  <c r="K384" i="8"/>
  <c r="L384" i="8" s="1"/>
  <c r="K376" i="8" s="1"/>
  <c r="L376" i="8" s="1"/>
  <c r="AI39" i="11" s="1"/>
  <c r="AI40" i="11" s="1"/>
  <c r="B207" i="22"/>
  <c r="K112" i="8"/>
  <c r="L112" i="8" s="1"/>
  <c r="K104" i="8" s="1"/>
  <c r="L104" i="8" s="1"/>
  <c r="Y29" i="11" s="1"/>
  <c r="Y30" i="11" s="1"/>
  <c r="B206" i="22"/>
  <c r="B498" i="22"/>
  <c r="B575" i="22"/>
  <c r="K268" i="8"/>
  <c r="L268" i="8" s="1"/>
  <c r="K260" i="8" s="1"/>
  <c r="L260" i="8" s="1"/>
  <c r="B759" i="22"/>
  <c r="K187" i="8"/>
  <c r="L187" i="8" s="1"/>
  <c r="K184" i="8" s="1"/>
  <c r="L184" i="8" s="1"/>
  <c r="K204" i="8"/>
  <c r="L204" i="8" s="1"/>
  <c r="K231" i="8" s="1"/>
  <c r="L231" i="8" s="1"/>
  <c r="K215" i="8" s="1"/>
  <c r="L215" i="8" s="1"/>
  <c r="AE32" i="11" s="1"/>
  <c r="B540" i="22"/>
  <c r="K206" i="8"/>
  <c r="L206" i="8" s="1"/>
  <c r="B346" i="22"/>
  <c r="K205" i="8"/>
  <c r="L205" i="8" s="1"/>
  <c r="B656" i="22"/>
  <c r="B355" i="22"/>
  <c r="K230" i="8"/>
  <c r="L230" i="8" s="1"/>
  <c r="K214" i="8" s="1"/>
  <c r="L214" i="8" s="1"/>
  <c r="AB32" i="11" s="1"/>
  <c r="AB33" i="11" s="1"/>
  <c r="B832" i="22"/>
  <c r="K68" i="8"/>
  <c r="L68" i="8" s="1"/>
  <c r="K51" i="8"/>
  <c r="L51" i="8" s="1"/>
  <c r="K70" i="8"/>
  <c r="L70" i="8" s="1"/>
  <c r="B347" i="22"/>
  <c r="B356" i="22"/>
  <c r="K69" i="8"/>
  <c r="L69" i="8" s="1"/>
  <c r="B542" i="22"/>
  <c r="B657" i="22"/>
  <c r="K94" i="8"/>
  <c r="L94" i="8" s="1"/>
  <c r="K78" i="8" s="1"/>
  <c r="L78" i="8" s="1"/>
  <c r="W27" i="11" s="1"/>
  <c r="W28" i="11" s="1"/>
  <c r="B834" i="22"/>
  <c r="K70" i="7"/>
  <c r="L70" i="7" s="1"/>
  <c r="K68" i="7" s="1"/>
  <c r="L68" i="7" s="1"/>
  <c r="K96" i="7"/>
  <c r="L96" i="7" s="1"/>
  <c r="K144" i="7" s="1"/>
  <c r="L144" i="7" s="1"/>
  <c r="K123" i="7" s="1"/>
  <c r="L123" i="7" s="1"/>
  <c r="S18" i="11" s="1"/>
  <c r="K101" i="7"/>
  <c r="L101" i="7" s="1"/>
  <c r="K141" i="7"/>
  <c r="L141" i="7" s="1"/>
  <c r="K122" i="7" s="1"/>
  <c r="L122" i="7" s="1"/>
  <c r="P18" i="11" s="1"/>
  <c r="K106" i="7"/>
  <c r="L106" i="7" s="1"/>
  <c r="B823" i="22" s="1"/>
  <c r="K97" i="7"/>
  <c r="L97" i="7" s="1"/>
  <c r="K98" i="7"/>
  <c r="L98" i="7" s="1"/>
  <c r="K103" i="7"/>
  <c r="L103" i="7" s="1"/>
  <c r="K102" i="7"/>
  <c r="L102" i="7" s="1"/>
  <c r="K107" i="7"/>
  <c r="L107" i="7" s="1"/>
  <c r="B833" i="22"/>
  <c r="B645" i="22"/>
  <c r="B643" i="22"/>
  <c r="K108" i="7"/>
  <c r="L108" i="7" s="1"/>
  <c r="B349" i="22"/>
  <c r="B340" i="22"/>
  <c r="B351" i="22"/>
  <c r="B342" i="22"/>
  <c r="B541" i="22"/>
  <c r="B353" i="22"/>
  <c r="B344" i="22"/>
  <c r="B647" i="22"/>
  <c r="B830" i="22"/>
  <c r="K139" i="7"/>
  <c r="L139" i="7" s="1"/>
  <c r="K120" i="7" s="1"/>
  <c r="L120" i="7" s="1"/>
  <c r="N18" i="11" s="1"/>
  <c r="K140" i="7"/>
  <c r="L140" i="7" s="1"/>
  <c r="K121" i="7" s="1"/>
  <c r="L121" i="7" s="1"/>
  <c r="O18" i="11" s="1"/>
  <c r="B828" i="22"/>
  <c r="C91" i="11"/>
  <c r="B572" i="22"/>
  <c r="B483" i="22"/>
  <c r="K200" i="6"/>
  <c r="L200" i="6" s="1"/>
  <c r="K188" i="6" s="1"/>
  <c r="L188" i="6" s="1"/>
  <c r="K207" i="7"/>
  <c r="L207" i="7" s="1"/>
  <c r="K195" i="7" s="1"/>
  <c r="L195" i="7" s="1"/>
  <c r="K157" i="7"/>
  <c r="L157" i="7" s="1"/>
  <c r="K168" i="7"/>
  <c r="L168" i="7" s="1"/>
  <c r="B487" i="22"/>
  <c r="B2" i="22"/>
  <c r="B573" i="22"/>
  <c r="K95" i="8"/>
  <c r="L95" i="8" s="1"/>
  <c r="K79" i="8" s="1"/>
  <c r="L79" i="8" s="1"/>
  <c r="Z27" i="11" s="1"/>
  <c r="B826" i="22"/>
  <c r="B571" i="22"/>
  <c r="K206" i="7"/>
  <c r="L206" i="7" s="1"/>
  <c r="K194" i="7" s="1"/>
  <c r="L194" i="7" s="1"/>
  <c r="B479" i="22"/>
  <c r="K340" i="8"/>
  <c r="L340" i="8" s="1"/>
  <c r="K323" i="8"/>
  <c r="L323" i="8" s="1"/>
  <c r="K341" i="8"/>
  <c r="L341" i="8" s="1"/>
  <c r="B357" i="22"/>
  <c r="K342" i="8"/>
  <c r="L342" i="8" s="1"/>
  <c r="B348" i="22"/>
  <c r="B544" i="22"/>
  <c r="B658" i="22"/>
  <c r="K366" i="8"/>
  <c r="L366" i="8" s="1"/>
  <c r="K350" i="8" s="1"/>
  <c r="L350" i="8" s="1"/>
  <c r="AG37" i="11" s="1"/>
  <c r="AG38" i="11" s="1"/>
  <c r="B836" i="22"/>
  <c r="K90" i="6"/>
  <c r="L90" i="6" s="1"/>
  <c r="K138" i="6" s="1"/>
  <c r="L138" i="6" s="1"/>
  <c r="K117" i="6" s="1"/>
  <c r="L117" i="6" s="1"/>
  <c r="J9" i="11" s="1"/>
  <c r="K100" i="6"/>
  <c r="L100" i="6" s="1"/>
  <c r="B824" i="22" s="1"/>
  <c r="K64" i="6"/>
  <c r="L64" i="6" s="1"/>
  <c r="K95" i="6"/>
  <c r="L95" i="6" s="1"/>
  <c r="K139" i="6" s="1"/>
  <c r="L139" i="6" s="1"/>
  <c r="K118" i="6" s="1"/>
  <c r="L118" i="6" s="1"/>
  <c r="K9" i="11" s="1"/>
  <c r="K91" i="6"/>
  <c r="L91" i="6" s="1"/>
  <c r="K92" i="6"/>
  <c r="L92" i="6" s="1"/>
  <c r="K101" i="6"/>
  <c r="L101" i="6" s="1"/>
  <c r="K102" i="6"/>
  <c r="L102" i="6" s="1"/>
  <c r="K97" i="6"/>
  <c r="L97" i="6" s="1"/>
  <c r="K96" i="6"/>
  <c r="L96" i="6" s="1"/>
  <c r="B543" i="22"/>
  <c r="B341" i="22"/>
  <c r="B648" i="22"/>
  <c r="B644" i="22"/>
  <c r="B354" i="22"/>
  <c r="B350" i="22"/>
  <c r="B345" i="22"/>
  <c r="B646" i="22"/>
  <c r="B343" i="22"/>
  <c r="B352" i="22"/>
  <c r="B829" i="22"/>
  <c r="K133" i="6"/>
  <c r="L133" i="6" s="1"/>
  <c r="K114" i="6" s="1"/>
  <c r="L114" i="6" s="1"/>
  <c r="E9" i="11" s="1"/>
  <c r="B831" i="22"/>
  <c r="K135" i="6"/>
  <c r="L135" i="6" s="1"/>
  <c r="K116" i="6" s="1"/>
  <c r="L116" i="6" s="1"/>
  <c r="G9" i="11" s="1"/>
  <c r="B835" i="22"/>
  <c r="K134" i="6"/>
  <c r="L134" i="6" s="1"/>
  <c r="K115" i="6" s="1"/>
  <c r="L115" i="6" s="1"/>
  <c r="F9" i="11" s="1"/>
  <c r="K148" i="6"/>
  <c r="L148" i="6" s="1"/>
  <c r="G14" i="11" s="1"/>
  <c r="K145" i="7"/>
  <c r="L145" i="7" s="1"/>
  <c r="K124" i="7" s="1"/>
  <c r="L124" i="7" s="1"/>
  <c r="T18" i="11" s="1"/>
  <c r="B821" i="22"/>
  <c r="K48" i="8"/>
  <c r="L48" i="8" s="1"/>
  <c r="K151" i="6"/>
  <c r="L151" i="6" s="1"/>
  <c r="K162" i="6"/>
  <c r="L162" i="6" s="1"/>
  <c r="B3" i="22"/>
  <c r="B493" i="22"/>
  <c r="B574" i="22"/>
  <c r="K201" i="6"/>
  <c r="L201" i="6" s="1"/>
  <c r="K189" i="6" s="1"/>
  <c r="L189" i="6" s="1"/>
  <c r="B819" i="22" l="1"/>
  <c r="B825" i="22"/>
  <c r="K239" i="8"/>
  <c r="L239" i="8" s="1"/>
  <c r="AC35" i="11" s="1"/>
  <c r="AC34" i="11" s="1"/>
  <c r="AH39" i="11"/>
  <c r="K146" i="7"/>
  <c r="L146" i="7" s="1"/>
  <c r="K125" i="7" s="1"/>
  <c r="L125" i="7" s="1"/>
  <c r="U18" i="11" s="1"/>
  <c r="P21" i="11"/>
  <c r="X29" i="11"/>
  <c r="N19" i="11"/>
  <c r="G12" i="11"/>
  <c r="K153" i="7"/>
  <c r="L153" i="7" s="1"/>
  <c r="O22" i="11" s="1"/>
  <c r="K133" i="7"/>
  <c r="L133" i="7" s="1"/>
  <c r="P511" i="18"/>
  <c r="O511" i="18"/>
  <c r="N511" i="18"/>
  <c r="L511" i="18"/>
  <c r="M511" i="18"/>
  <c r="K173" i="6"/>
  <c r="L173" i="6" s="1"/>
  <c r="K10" i="11" s="1"/>
  <c r="K170" i="6"/>
  <c r="L170" i="6" s="1"/>
  <c r="B677" i="22"/>
  <c r="B751" i="22"/>
  <c r="B449" i="22"/>
  <c r="B447" i="22"/>
  <c r="K194" i="6"/>
  <c r="L194" i="6" s="1"/>
  <c r="K318" i="8"/>
  <c r="L318" i="8" s="1"/>
  <c r="K319" i="8"/>
  <c r="L319" i="8" s="1"/>
  <c r="B317" i="22"/>
  <c r="B322" i="22"/>
  <c r="B820" i="22"/>
  <c r="K320" i="8"/>
  <c r="L320" i="8" s="1"/>
  <c r="K175" i="7"/>
  <c r="L175" i="7" s="1"/>
  <c r="K178" i="7"/>
  <c r="L178" i="7" s="1"/>
  <c r="S19" i="11" s="1"/>
  <c r="B440" i="22"/>
  <c r="B748" i="22"/>
  <c r="B674" i="22"/>
  <c r="B438" i="22"/>
  <c r="K199" i="7"/>
  <c r="L199" i="7" s="1"/>
  <c r="K252" i="8"/>
  <c r="L252" i="8" s="1"/>
  <c r="B754" i="22"/>
  <c r="B458" i="22"/>
  <c r="B680" i="22"/>
  <c r="B456" i="22"/>
  <c r="K263" i="8"/>
  <c r="L263" i="8" s="1"/>
  <c r="K87" i="8"/>
  <c r="L87" i="8" s="1"/>
  <c r="L690" i="18"/>
  <c r="O690" i="18"/>
  <c r="P690" i="18"/>
  <c r="N690" i="18"/>
  <c r="M690" i="18"/>
  <c r="K60" i="6"/>
  <c r="L60" i="6" s="1"/>
  <c r="K61" i="6"/>
  <c r="L61" i="6" s="1"/>
  <c r="B321" i="22"/>
  <c r="B316" i="22"/>
  <c r="K388" i="8"/>
  <c r="L388" i="8" s="1"/>
  <c r="B478" i="22"/>
  <c r="B682" i="22"/>
  <c r="B756" i="22"/>
  <c r="B476" i="22"/>
  <c r="K399" i="8"/>
  <c r="L399" i="8" s="1"/>
  <c r="K180" i="7"/>
  <c r="L180" i="7" s="1"/>
  <c r="U19" i="11" s="1"/>
  <c r="K177" i="7"/>
  <c r="L177" i="7" s="1"/>
  <c r="B752" i="22"/>
  <c r="B678" i="22"/>
  <c r="B452" i="22"/>
  <c r="B450" i="22"/>
  <c r="K201" i="7"/>
  <c r="L201" i="7" s="1"/>
  <c r="K66" i="7"/>
  <c r="L66" i="7" s="1"/>
  <c r="K67" i="7"/>
  <c r="L67" i="7" s="1"/>
  <c r="B319" i="22"/>
  <c r="B314" i="22"/>
  <c r="K182" i="8"/>
  <c r="L182" i="8" s="1"/>
  <c r="K183" i="8"/>
  <c r="L183" i="8" s="1"/>
  <c r="B318" i="22"/>
  <c r="B313" i="22"/>
  <c r="K223" i="8"/>
  <c r="L223" i="8" s="1"/>
  <c r="P826" i="18"/>
  <c r="M826" i="18"/>
  <c r="O826" i="18"/>
  <c r="L826" i="18"/>
  <c r="N826" i="18"/>
  <c r="K174" i="6"/>
  <c r="L174" i="6" s="1"/>
  <c r="L10" i="11" s="1"/>
  <c r="K171" i="6"/>
  <c r="L171" i="6" s="1"/>
  <c r="B455" i="22"/>
  <c r="B753" i="22"/>
  <c r="B679" i="22"/>
  <c r="B453" i="22"/>
  <c r="K195" i="6"/>
  <c r="L195" i="6" s="1"/>
  <c r="O20" i="11"/>
  <c r="K47" i="8"/>
  <c r="L47" i="8" s="1"/>
  <c r="K46" i="8"/>
  <c r="L46" i="8" s="1"/>
  <c r="B315" i="22"/>
  <c r="B320" i="22"/>
  <c r="B827" i="22"/>
  <c r="K147" i="6"/>
  <c r="L147" i="6" s="1"/>
  <c r="K172" i="6"/>
  <c r="L172" i="6" s="1"/>
  <c r="J10" i="11" s="1"/>
  <c r="K169" i="6"/>
  <c r="L169" i="6" s="1"/>
  <c r="B675" i="22"/>
  <c r="B749" i="22"/>
  <c r="B443" i="22"/>
  <c r="B441" i="22"/>
  <c r="K193" i="6"/>
  <c r="L193" i="6" s="1"/>
  <c r="B822" i="22"/>
  <c r="K140" i="6"/>
  <c r="L140" i="6" s="1"/>
  <c r="K119" i="6" s="1"/>
  <c r="L119" i="6" s="1"/>
  <c r="K62" i="6"/>
  <c r="L62" i="6" s="1"/>
  <c r="E10" i="11"/>
  <c r="K176" i="7"/>
  <c r="L176" i="7" s="1"/>
  <c r="K179" i="7"/>
  <c r="L179" i="7" s="1"/>
  <c r="T19" i="11" s="1"/>
  <c r="B446" i="22"/>
  <c r="B676" i="22"/>
  <c r="B750" i="22"/>
  <c r="B444" i="22"/>
  <c r="K200" i="7"/>
  <c r="L200" i="7" s="1"/>
  <c r="K116" i="8"/>
  <c r="L116" i="8" s="1"/>
  <c r="B681" i="22"/>
  <c r="B755" i="22"/>
  <c r="B475" i="22"/>
  <c r="B473" i="22"/>
  <c r="K127" i="8"/>
  <c r="L127" i="8" s="1"/>
  <c r="K367" i="8"/>
  <c r="L367" i="8" s="1"/>
  <c r="K351" i="8" s="1"/>
  <c r="L351" i="8" s="1"/>
  <c r="Z28" i="11" l="1"/>
  <c r="K86" i="8"/>
  <c r="L86" i="8" s="1"/>
  <c r="B16" i="22"/>
  <c r="B325" i="22"/>
  <c r="B212" i="22"/>
  <c r="AJ38" i="11"/>
  <c r="K197" i="6"/>
  <c r="L197" i="6" s="1"/>
  <c r="K131" i="6"/>
  <c r="L131" i="6" s="1"/>
  <c r="K132" i="6"/>
  <c r="L132" i="6" s="1"/>
  <c r="K128" i="6"/>
  <c r="L128" i="6" s="1"/>
  <c r="O287" i="18"/>
  <c r="M287" i="18"/>
  <c r="B383" i="22"/>
  <c r="B380" i="22"/>
  <c r="N288" i="18"/>
  <c r="B381" i="22"/>
  <c r="B426" i="22"/>
  <c r="M288" i="18"/>
  <c r="P288" i="18"/>
  <c r="B385" i="22"/>
  <c r="B391" i="22"/>
  <c r="L287" i="18"/>
  <c r="P287" i="18"/>
  <c r="O288" i="18"/>
  <c r="N287" i="18"/>
  <c r="L288" i="18"/>
  <c r="B384" i="22"/>
  <c r="B382" i="22"/>
  <c r="B553" i="22"/>
  <c r="AE33" i="11"/>
  <c r="K359" i="8"/>
  <c r="L359" i="8" s="1"/>
  <c r="O962" i="18"/>
  <c r="L962" i="18"/>
  <c r="M962" i="18"/>
  <c r="N962" i="18"/>
  <c r="P962" i="18"/>
  <c r="K358" i="8"/>
  <c r="L358" i="8" s="1"/>
  <c r="B18" i="22"/>
  <c r="B327" i="22"/>
  <c r="B214" i="22"/>
  <c r="K127" i="6"/>
  <c r="L127" i="6" s="1"/>
  <c r="M286" i="18"/>
  <c r="P286" i="18"/>
  <c r="N286" i="18"/>
  <c r="L286" i="18"/>
  <c r="O286" i="18"/>
  <c r="J11" i="11"/>
  <c r="J15" i="11" s="1"/>
  <c r="U20" i="11"/>
  <c r="K365" i="8"/>
  <c r="L365" i="8" s="1"/>
  <c r="K401" i="8"/>
  <c r="L401" i="8" s="1"/>
  <c r="K364" i="8"/>
  <c r="L364" i="8" s="1"/>
  <c r="K360" i="8"/>
  <c r="L360" i="8" s="1"/>
  <c r="N964" i="18"/>
  <c r="M964" i="18"/>
  <c r="O963" i="18"/>
  <c r="B392" i="22"/>
  <c r="B434" i="22"/>
  <c r="O964" i="18"/>
  <c r="P963" i="18"/>
  <c r="B554" i="22"/>
  <c r="L963" i="18"/>
  <c r="N963" i="18"/>
  <c r="P964" i="18"/>
  <c r="B386" i="22"/>
  <c r="L964" i="18"/>
  <c r="B387" i="22"/>
  <c r="M963" i="18"/>
  <c r="AJ37" i="11"/>
  <c r="AJ41" i="11" s="1"/>
  <c r="L9" i="11"/>
  <c r="K222" i="8"/>
  <c r="L222" i="8" s="1"/>
  <c r="B14" i="22"/>
  <c r="B323" i="22"/>
  <c r="B210" i="22"/>
  <c r="K132" i="7"/>
  <c r="L132" i="7" s="1"/>
  <c r="B211" i="22"/>
  <c r="B324" i="22"/>
  <c r="B15" i="22"/>
  <c r="Z31" i="11"/>
  <c r="T20" i="11"/>
  <c r="F13" i="11"/>
  <c r="K92" i="8"/>
  <c r="L92" i="8" s="1"/>
  <c r="K129" i="8"/>
  <c r="L129" i="8" s="1"/>
  <c r="K88" i="8"/>
  <c r="L88" i="8" s="1"/>
  <c r="K93" i="8"/>
  <c r="L93" i="8" s="1"/>
  <c r="M692" i="18"/>
  <c r="N691" i="18"/>
  <c r="B420" i="22"/>
  <c r="B390" i="22"/>
  <c r="P692" i="18"/>
  <c r="L691" i="18"/>
  <c r="B552" i="22"/>
  <c r="L692" i="18"/>
  <c r="B379" i="22"/>
  <c r="O692" i="18"/>
  <c r="M691" i="18"/>
  <c r="B378" i="22"/>
  <c r="N692" i="18"/>
  <c r="O691" i="18"/>
  <c r="P691" i="18"/>
  <c r="L11" i="11"/>
  <c r="K229" i="8"/>
  <c r="L229" i="8" s="1"/>
  <c r="K224" i="8"/>
  <c r="L224" i="8" s="1"/>
  <c r="K265" i="8"/>
  <c r="L265" i="8" s="1"/>
  <c r="K228" i="8"/>
  <c r="L228" i="8" s="1"/>
  <c r="O827" i="18"/>
  <c r="B371" i="22"/>
  <c r="L828" i="18"/>
  <c r="M828" i="18"/>
  <c r="P827" i="18"/>
  <c r="M827" i="18"/>
  <c r="B407" i="22"/>
  <c r="N828" i="18"/>
  <c r="N827" i="18"/>
  <c r="B370" i="22"/>
  <c r="L827" i="18"/>
  <c r="B550" i="22"/>
  <c r="P828" i="18"/>
  <c r="B388" i="22"/>
  <c r="O828" i="18"/>
  <c r="K203" i="7"/>
  <c r="L203" i="7" s="1"/>
  <c r="K138" i="7"/>
  <c r="L138" i="7" s="1"/>
  <c r="K134" i="7"/>
  <c r="L134" i="7" s="1"/>
  <c r="K137" i="7"/>
  <c r="L137" i="7" s="1"/>
  <c r="O513" i="18"/>
  <c r="O512" i="18"/>
  <c r="M512" i="18"/>
  <c r="B377" i="22"/>
  <c r="M513" i="18"/>
  <c r="L512" i="18"/>
  <c r="B389" i="22"/>
  <c r="B374" i="22"/>
  <c r="B411" i="22"/>
  <c r="P512" i="18"/>
  <c r="N512" i="18"/>
  <c r="N513" i="18"/>
  <c r="L513" i="18"/>
  <c r="P513" i="18"/>
  <c r="B551" i="22"/>
  <c r="B376" i="22"/>
  <c r="B375" i="22"/>
  <c r="B372" i="22"/>
  <c r="B373" i="22"/>
  <c r="K126" i="6"/>
  <c r="L126" i="6" s="1"/>
  <c r="B326" i="22"/>
  <c r="B17" i="22"/>
  <c r="B213" i="22"/>
  <c r="AE36" i="11"/>
  <c r="S20" i="11"/>
  <c r="K11" i="11"/>
  <c r="K83" i="8" l="1"/>
  <c r="L83" i="8" s="1"/>
  <c r="B660" i="22"/>
  <c r="B659" i="22"/>
  <c r="K259" i="8"/>
  <c r="L259" i="8" s="1"/>
  <c r="B588" i="22"/>
  <c r="K129" i="7"/>
  <c r="L129" i="7" s="1"/>
  <c r="B661" i="22"/>
  <c r="K219" i="8"/>
  <c r="L219" i="8" s="1"/>
  <c r="K123" i="6"/>
  <c r="L123" i="6" s="1"/>
  <c r="B662" i="22"/>
  <c r="K355" i="8"/>
  <c r="L355" i="8" s="1"/>
  <c r="B663" i="22"/>
  <c r="K122" i="6"/>
  <c r="L122" i="6" s="1"/>
  <c r="K121" i="6" s="1"/>
  <c r="L121" i="6" s="1"/>
  <c r="K120" i="6" s="1"/>
  <c r="L120" i="6" s="1"/>
  <c r="O268" i="18"/>
  <c r="P271" i="18"/>
  <c r="L272" i="18"/>
  <c r="N270" i="18"/>
  <c r="P272" i="18"/>
  <c r="L269" i="18"/>
  <c r="M272" i="18"/>
  <c r="L273" i="18"/>
  <c r="O269" i="18"/>
  <c r="M268" i="18"/>
  <c r="N273" i="18"/>
  <c r="P269" i="18"/>
  <c r="L271" i="18"/>
  <c r="N269" i="18"/>
  <c r="P268" i="18"/>
  <c r="L270" i="18"/>
  <c r="M273" i="18"/>
  <c r="L268" i="18"/>
  <c r="B596" i="22"/>
  <c r="O272" i="18"/>
  <c r="N272" i="18"/>
  <c r="O273" i="18"/>
  <c r="M271" i="18"/>
  <c r="O271" i="18"/>
  <c r="N268" i="18"/>
  <c r="O270" i="18"/>
  <c r="P273" i="18"/>
  <c r="M270" i="18"/>
  <c r="N271" i="18"/>
  <c r="M269" i="18"/>
  <c r="P270" i="18"/>
  <c r="K123" i="8"/>
  <c r="L123" i="8" s="1"/>
  <c r="B590" i="22"/>
  <c r="F11" i="11"/>
  <c r="K16" i="11"/>
  <c r="K128" i="7"/>
  <c r="L128" i="7" s="1"/>
  <c r="K127" i="7" s="1"/>
  <c r="L127" i="7" s="1"/>
  <c r="K126" i="7" s="1"/>
  <c r="L126" i="7" s="1"/>
  <c r="P498" i="18"/>
  <c r="O498" i="18"/>
  <c r="O493" i="18"/>
  <c r="N494" i="18"/>
  <c r="L495" i="18"/>
  <c r="O496" i="18"/>
  <c r="O495" i="18"/>
  <c r="M496" i="18"/>
  <c r="P493" i="18"/>
  <c r="O497" i="18"/>
  <c r="N497" i="18"/>
  <c r="L493" i="18"/>
  <c r="N495" i="18"/>
  <c r="N498" i="18"/>
  <c r="P494" i="18"/>
  <c r="P497" i="18"/>
  <c r="M498" i="18"/>
  <c r="M495" i="18"/>
  <c r="L496" i="18"/>
  <c r="N496" i="18"/>
  <c r="L498" i="18"/>
  <c r="L494" i="18"/>
  <c r="B594" i="22"/>
  <c r="N493" i="18"/>
  <c r="L497" i="18"/>
  <c r="M493" i="18"/>
  <c r="O494" i="18"/>
  <c r="P495" i="18"/>
  <c r="M494" i="18"/>
  <c r="M497" i="18"/>
  <c r="P496" i="18"/>
  <c r="O816" i="18"/>
  <c r="L817" i="18"/>
  <c r="B593" i="22"/>
  <c r="K218" i="8"/>
  <c r="L218" i="8" s="1"/>
  <c r="K217" i="8" s="1"/>
  <c r="L217" i="8" s="1"/>
  <c r="K216" i="8" s="1"/>
  <c r="L216" i="8" s="1"/>
  <c r="O817" i="18"/>
  <c r="M816" i="18"/>
  <c r="P816" i="18"/>
  <c r="N817" i="18"/>
  <c r="N816" i="18"/>
  <c r="P817" i="18"/>
  <c r="L816" i="18"/>
  <c r="M817" i="18"/>
  <c r="L17" i="11"/>
  <c r="S24" i="11"/>
  <c r="T25" i="11"/>
  <c r="K187" i="6"/>
  <c r="L187" i="6" s="1"/>
  <c r="B591" i="22"/>
  <c r="U26" i="11"/>
  <c r="K193" i="7"/>
  <c r="L193" i="7" s="1"/>
  <c r="B589" i="22"/>
  <c r="K395" i="8"/>
  <c r="L395" i="8" s="1"/>
  <c r="B592" i="22"/>
  <c r="K354" i="8"/>
  <c r="L354" i="8" s="1"/>
  <c r="K353" i="8" s="1"/>
  <c r="L353" i="8" s="1"/>
  <c r="K352" i="8" s="1"/>
  <c r="L352" i="8" s="1"/>
  <c r="P952" i="18"/>
  <c r="M952" i="18"/>
  <c r="B597" i="22"/>
  <c r="P953" i="18"/>
  <c r="L953" i="18"/>
  <c r="M953" i="18"/>
  <c r="N953" i="18"/>
  <c r="N952" i="18"/>
  <c r="O952" i="18"/>
  <c r="L952" i="18"/>
  <c r="O953" i="18"/>
  <c r="K82" i="8"/>
  <c r="L82" i="8" s="1"/>
  <c r="K81" i="8" s="1"/>
  <c r="L81" i="8" s="1"/>
  <c r="K80" i="8" s="1"/>
  <c r="L80" i="8" s="1"/>
  <c r="L681" i="18"/>
  <c r="N680" i="18"/>
  <c r="N681" i="18"/>
  <c r="L680" i="18"/>
  <c r="M681" i="18"/>
  <c r="O680" i="18"/>
  <c r="B595" i="22"/>
  <c r="M680" i="18"/>
  <c r="O681" i="18"/>
  <c r="P681" i="18"/>
  <c r="P680" i="18"/>
  <c r="K77" i="8" l="1"/>
  <c r="L77" i="8" s="1"/>
  <c r="K76" i="8"/>
  <c r="L76" i="8" s="1"/>
  <c r="K212" i="8"/>
  <c r="L212" i="8" s="1"/>
  <c r="K213" i="8"/>
  <c r="L213" i="8" s="1"/>
  <c r="K348" i="8"/>
  <c r="L348" i="8" s="1"/>
  <c r="K349" i="8"/>
  <c r="L349" i="8" s="1"/>
  <c r="K108" i="6"/>
  <c r="L108" i="6" s="1"/>
  <c r="K109" i="6"/>
  <c r="L109" i="6" s="1"/>
  <c r="K110" i="6"/>
  <c r="L110" i="6" s="1"/>
  <c r="K111" i="6"/>
  <c r="L111" i="6" s="1"/>
  <c r="K112" i="6"/>
  <c r="L112" i="6" s="1"/>
  <c r="K113" i="6"/>
  <c r="L113" i="6" s="1"/>
  <c r="K114" i="7"/>
  <c r="L114" i="7" s="1"/>
  <c r="K115" i="7"/>
  <c r="L115" i="7" s="1"/>
  <c r="K116" i="7"/>
  <c r="L116" i="7" s="1"/>
  <c r="K117" i="7"/>
  <c r="L117" i="7" s="1"/>
  <c r="K118" i="7"/>
  <c r="L118" i="7" s="1"/>
  <c r="K119" i="7"/>
  <c r="L119" i="7" s="1"/>
  <c r="M26" i="11" l="1"/>
  <c r="M20" i="11"/>
  <c r="D17" i="11"/>
  <c r="D11" i="11"/>
  <c r="AF41" i="11"/>
  <c r="M19" i="11"/>
  <c r="D10" i="11"/>
  <c r="AF38" i="11"/>
  <c r="D15" i="11"/>
  <c r="AA36" i="11"/>
  <c r="V28" i="11"/>
  <c r="M25" i="11"/>
  <c r="D16" i="11"/>
  <c r="M24" i="11"/>
  <c r="M21" i="11"/>
  <c r="D12" i="11"/>
  <c r="AA33" i="11"/>
  <c r="V31" i="11"/>
  <c r="M18" i="11" l="1"/>
  <c r="AF37" i="11"/>
  <c r="AA32" i="11"/>
  <c r="V27" i="11"/>
  <c r="D9" i="11"/>
  <c r="D45" i="11" s="1" a="1"/>
  <c r="L45" i="11" l="1"/>
  <c r="T45" i="11"/>
  <c r="AB45" i="11"/>
  <c r="AJ45" i="11"/>
  <c r="S45" i="11"/>
  <c r="AI45" i="11"/>
  <c r="AG45" i="11"/>
  <c r="M45" i="11"/>
  <c r="F45" i="11"/>
  <c r="V45" i="11"/>
  <c r="AD45" i="11"/>
  <c r="G45" i="11"/>
  <c r="W45" i="11"/>
  <c r="I45" i="11"/>
  <c r="E45" i="11"/>
  <c r="H45" i="11"/>
  <c r="K45" i="11"/>
  <c r="Q45" i="11"/>
  <c r="O45" i="11"/>
  <c r="Y45" i="11"/>
  <c r="N45" i="11"/>
  <c r="AC45" i="11"/>
  <c r="P45" i="11"/>
  <c r="X45" i="11"/>
  <c r="AF45" i="11"/>
  <c r="AA45" i="11"/>
  <c r="U45" i="11"/>
  <c r="J45" i="11"/>
  <c r="Z45" i="11"/>
  <c r="AH45" i="11"/>
  <c r="AE45" i="11"/>
  <c r="D45" i="11"/>
  <c r="R45" i="11"/>
  <c r="D72" i="11" l="1"/>
  <c r="D73" i="11"/>
  <c r="D79" i="11"/>
  <c r="D75" i="11"/>
  <c r="D78" i="11"/>
  <c r="D83" i="11"/>
  <c r="BR12" i="23"/>
  <c r="D60" i="11"/>
  <c r="D76" i="11"/>
  <c r="D85" i="11"/>
  <c r="D81" i="11"/>
  <c r="D70" i="11"/>
  <c r="C11" i="23"/>
  <c r="D49" i="11"/>
  <c r="D64" i="11"/>
  <c r="D80" i="11"/>
  <c r="D65" i="11"/>
  <c r="D66" i="11"/>
  <c r="D59" i="11"/>
  <c r="D86" i="11"/>
  <c r="D82" i="11"/>
  <c r="D87" i="11"/>
  <c r="AD22" i="23"/>
  <c r="D50" i="11"/>
  <c r="D46" i="11"/>
  <c r="D68" i="11"/>
  <c r="D84" i="11"/>
  <c r="D69" i="11"/>
  <c r="D74" i="11"/>
  <c r="D67" i="11"/>
  <c r="D77" i="11"/>
  <c r="AE12" i="23"/>
  <c r="AU10" i="23" s="1"/>
  <c r="AF12" i="23"/>
  <c r="D71" i="11"/>
  <c r="C45" i="11"/>
  <c r="AG12" i="23"/>
  <c r="D94" i="11"/>
  <c r="AJ19" i="23"/>
  <c r="AJ20" i="23"/>
  <c r="BF22" i="23" s="1"/>
  <c r="AH13" i="23"/>
  <c r="AJ18" i="23"/>
  <c r="AH14" i="23"/>
  <c r="AX23" i="23" s="1"/>
  <c r="AH15" i="23"/>
  <c r="AU23" i="23" s="1"/>
  <c r="D61" i="11"/>
  <c r="D63" i="11"/>
  <c r="D62" i="11"/>
  <c r="D56" i="11"/>
  <c r="D58" i="11"/>
  <c r="D57" i="11"/>
  <c r="J59" i="11"/>
  <c r="J70" i="11"/>
  <c r="J58" i="11"/>
  <c r="J74" i="11"/>
  <c r="J62" i="11"/>
  <c r="J66" i="11"/>
  <c r="J63" i="11"/>
  <c r="J69" i="11"/>
  <c r="J68" i="11"/>
  <c r="J80" i="11"/>
  <c r="J81" i="11"/>
  <c r="J84" i="11"/>
  <c r="J60" i="11"/>
  <c r="J49" i="11"/>
  <c r="J78" i="11"/>
  <c r="J67" i="11"/>
  <c r="J77" i="11"/>
  <c r="J79" i="11"/>
  <c r="J87" i="11"/>
  <c r="BX12" i="23"/>
  <c r="J82" i="11"/>
  <c r="J71" i="11"/>
  <c r="J83" i="11"/>
  <c r="J85" i="11"/>
  <c r="J64" i="11"/>
  <c r="J76" i="11"/>
  <c r="J50" i="11"/>
  <c r="C39" i="23"/>
  <c r="J46" i="11"/>
  <c r="J86" i="11"/>
  <c r="J75" i="11"/>
  <c r="J72" i="11"/>
  <c r="J73" i="11"/>
  <c r="AK18" i="23"/>
  <c r="AG18" i="23"/>
  <c r="BD27" i="23" s="1"/>
  <c r="J65" i="11"/>
  <c r="J55" i="11"/>
  <c r="J56" i="11"/>
  <c r="AL18" i="23"/>
  <c r="J94" i="11"/>
  <c r="J57" i="11"/>
  <c r="X56" i="11"/>
  <c r="X57" i="11"/>
  <c r="X72" i="11"/>
  <c r="X61" i="11"/>
  <c r="X78" i="11"/>
  <c r="X69" i="11"/>
  <c r="AG34" i="23"/>
  <c r="AV158" i="23" s="1"/>
  <c r="X73" i="11"/>
  <c r="AE34" i="23"/>
  <c r="AS157" i="23" s="1"/>
  <c r="X58" i="11"/>
  <c r="AT153" i="23"/>
  <c r="X60" i="11"/>
  <c r="X66" i="11"/>
  <c r="X74" i="11"/>
  <c r="X65" i="11"/>
  <c r="X82" i="11"/>
  <c r="X79" i="11"/>
  <c r="X80" i="11"/>
  <c r="X94" i="11"/>
  <c r="X81" i="11"/>
  <c r="X49" i="11"/>
  <c r="X62" i="11"/>
  <c r="X68" i="11"/>
  <c r="X76" i="11"/>
  <c r="X55" i="11"/>
  <c r="X86" i="11"/>
  <c r="X83" i="11"/>
  <c r="X84" i="11"/>
  <c r="AM35" i="23"/>
  <c r="AM34" i="23"/>
  <c r="X85" i="11"/>
  <c r="X64" i="11"/>
  <c r="X70" i="11"/>
  <c r="X59" i="11"/>
  <c r="X63" i="11"/>
  <c r="X67" i="11"/>
  <c r="X87" i="11"/>
  <c r="X71" i="11"/>
  <c r="X77" i="11"/>
  <c r="G31" i="23"/>
  <c r="X50" i="11"/>
  <c r="Y61" i="11"/>
  <c r="Y65" i="11"/>
  <c r="Y73" i="11"/>
  <c r="Y64" i="11"/>
  <c r="Y82" i="11"/>
  <c r="Y79" i="11"/>
  <c r="Y66" i="11"/>
  <c r="AN34" i="23"/>
  <c r="Y77" i="11"/>
  <c r="Y49" i="11"/>
  <c r="Y48" i="11" s="1"/>
  <c r="Y55" i="11"/>
  <c r="Y63" i="11"/>
  <c r="Y67" i="11"/>
  <c r="Y75" i="11"/>
  <c r="Y68" i="11"/>
  <c r="Y86" i="11"/>
  <c r="Y83" i="11"/>
  <c r="Y80" i="11"/>
  <c r="Y85" i="11"/>
  <c r="AN35" i="23"/>
  <c r="Y46" i="11"/>
  <c r="Y57" i="11"/>
  <c r="Y60" i="11"/>
  <c r="Y69" i="11"/>
  <c r="Y56" i="11"/>
  <c r="Y72" i="11"/>
  <c r="Y70" i="11"/>
  <c r="Y87" i="11"/>
  <c r="Y84" i="11"/>
  <c r="AG35" i="23"/>
  <c r="AU164" i="23" s="1"/>
  <c r="AT159" i="23"/>
  <c r="Y94" i="11"/>
  <c r="Y58" i="11"/>
  <c r="Y59" i="11"/>
  <c r="Y71" i="11"/>
  <c r="Y62" i="11"/>
  <c r="Y78" i="11"/>
  <c r="Y74" i="11"/>
  <c r="Y50" i="11"/>
  <c r="Y81" i="11"/>
  <c r="G35" i="23"/>
  <c r="CM12" i="23"/>
  <c r="H64" i="11"/>
  <c r="H80" i="11"/>
  <c r="H65" i="11"/>
  <c r="H81" i="11"/>
  <c r="H83" i="11"/>
  <c r="H63" i="11"/>
  <c r="H66" i="11"/>
  <c r="H70" i="11"/>
  <c r="AG16" i="23"/>
  <c r="AX35" i="23" s="1"/>
  <c r="BV12" i="23"/>
  <c r="H56" i="11"/>
  <c r="H68" i="11"/>
  <c r="H84" i="11"/>
  <c r="H69" i="11"/>
  <c r="H85" i="11"/>
  <c r="H62" i="11"/>
  <c r="H74" i="11"/>
  <c r="H78" i="11"/>
  <c r="H50" i="11"/>
  <c r="H49" i="11"/>
  <c r="H48" i="11" s="1"/>
  <c r="H94" i="11"/>
  <c r="H58" i="11"/>
  <c r="H72" i="11"/>
  <c r="H57" i="11"/>
  <c r="H73" i="11"/>
  <c r="H67" i="11"/>
  <c r="H71" i="11"/>
  <c r="H86" i="11"/>
  <c r="H87" i="11"/>
  <c r="H79" i="11"/>
  <c r="C23" i="23"/>
  <c r="H60" i="11"/>
  <c r="H76" i="11"/>
  <c r="H61" i="11"/>
  <c r="H77" i="11"/>
  <c r="H75" i="11"/>
  <c r="H82" i="11"/>
  <c r="H55" i="11"/>
  <c r="AN16" i="23"/>
  <c r="AY32" i="23" s="1"/>
  <c r="AN14" i="23"/>
  <c r="H46" i="11"/>
  <c r="G59" i="11"/>
  <c r="G75" i="11"/>
  <c r="G57" i="11"/>
  <c r="G76" i="11"/>
  <c r="G61" i="11"/>
  <c r="G82" i="11"/>
  <c r="G62" i="11"/>
  <c r="G69" i="11"/>
  <c r="AG15" i="23"/>
  <c r="AU33" i="23" s="1"/>
  <c r="AM17" i="23"/>
  <c r="BU12" i="23"/>
  <c r="G63" i="11"/>
  <c r="G79" i="11"/>
  <c r="G60" i="11"/>
  <c r="G81" i="11"/>
  <c r="G66" i="11"/>
  <c r="G64" i="11"/>
  <c r="G78" i="11"/>
  <c r="G84" i="11"/>
  <c r="C27" i="23"/>
  <c r="G50" i="11"/>
  <c r="G46" i="11"/>
  <c r="G67" i="11"/>
  <c r="G83" i="11"/>
  <c r="G65" i="11"/>
  <c r="G86" i="11"/>
  <c r="G72" i="11"/>
  <c r="G74" i="11"/>
  <c r="G68" i="11"/>
  <c r="AE15" i="23"/>
  <c r="AS26" i="23" s="1"/>
  <c r="AI15" i="23"/>
  <c r="AU21" i="23" s="1"/>
  <c r="G94" i="11"/>
  <c r="G55" i="11"/>
  <c r="G71" i="11"/>
  <c r="G87" i="11"/>
  <c r="G70" i="11"/>
  <c r="G56" i="11"/>
  <c r="G77" i="11"/>
  <c r="G85" i="11"/>
  <c r="G80" i="11"/>
  <c r="G73" i="11"/>
  <c r="AM15" i="23"/>
  <c r="G49" i="11"/>
  <c r="M61" i="11"/>
  <c r="M56" i="11"/>
  <c r="M76" i="11"/>
  <c r="M59" i="11"/>
  <c r="M83" i="11"/>
  <c r="M85" i="11"/>
  <c r="AF22" i="23"/>
  <c r="AZ72" i="23" s="1"/>
  <c r="E11" i="23"/>
  <c r="M63" i="11"/>
  <c r="M60" i="11"/>
  <c r="M80" i="11"/>
  <c r="M77" i="11"/>
  <c r="M69" i="11"/>
  <c r="M75" i="11"/>
  <c r="M62" i="11"/>
  <c r="M46" i="11"/>
  <c r="M55" i="11"/>
  <c r="M68" i="11"/>
  <c r="M84" i="11"/>
  <c r="M82" i="11"/>
  <c r="M73" i="11"/>
  <c r="M74" i="11"/>
  <c r="AE22" i="23"/>
  <c r="AU74" i="23" s="1"/>
  <c r="M81" i="11"/>
  <c r="M50" i="11"/>
  <c r="AD32" i="23"/>
  <c r="CA12" i="23"/>
  <c r="M57" i="11"/>
  <c r="M58" i="11"/>
  <c r="M87" i="11"/>
  <c r="M78" i="11"/>
  <c r="M79" i="11"/>
  <c r="AD12" i="23"/>
  <c r="AS9" i="23" s="1"/>
  <c r="M86" i="11"/>
  <c r="M49" i="11"/>
  <c r="M48" i="11" s="1"/>
  <c r="AG22" i="23"/>
  <c r="AX72" i="23" s="1"/>
  <c r="M94" i="11"/>
  <c r="AJ28" i="23"/>
  <c r="AJ30" i="23"/>
  <c r="BF86" i="23" s="1"/>
  <c r="AH25" i="23"/>
  <c r="AU87" i="23" s="1"/>
  <c r="AJ29" i="23"/>
  <c r="BH86" i="23" s="1"/>
  <c r="AH24" i="23"/>
  <c r="AX87" i="23" s="1"/>
  <c r="AH23" i="23"/>
  <c r="M71" i="11"/>
  <c r="M66" i="11"/>
  <c r="M70" i="11"/>
  <c r="M67" i="11"/>
  <c r="M65" i="11"/>
  <c r="M72" i="11"/>
  <c r="AJ60" i="11"/>
  <c r="AJ61" i="11"/>
  <c r="AJ72" i="11"/>
  <c r="AJ63" i="11"/>
  <c r="AJ73" i="11"/>
  <c r="AJ76" i="11"/>
  <c r="AJ86" i="11"/>
  <c r="AG48" i="23"/>
  <c r="BJ151" i="23" s="1"/>
  <c r="AJ62" i="11"/>
  <c r="AJ66" i="11"/>
  <c r="AJ74" i="11"/>
  <c r="AJ65" i="11"/>
  <c r="AJ77" i="11"/>
  <c r="AJ85" i="11"/>
  <c r="AJ78" i="11"/>
  <c r="AJ50" i="11"/>
  <c r="AJ49" i="11"/>
  <c r="AJ48" i="11" s="1"/>
  <c r="K47" i="23"/>
  <c r="AJ64" i="11"/>
  <c r="AJ68" i="11"/>
  <c r="AJ55" i="11"/>
  <c r="AJ58" i="11"/>
  <c r="AJ79" i="11"/>
  <c r="AJ69" i="11"/>
  <c r="AJ67" i="11"/>
  <c r="CX12" i="23"/>
  <c r="AJ56" i="11"/>
  <c r="AJ59" i="11"/>
  <c r="AJ70" i="11"/>
  <c r="AJ57" i="11"/>
  <c r="AJ71" i="11"/>
  <c r="AJ81" i="11"/>
  <c r="AJ75" i="11"/>
  <c r="AJ82" i="11"/>
  <c r="AJ80" i="11"/>
  <c r="AJ46" i="11"/>
  <c r="AL48" i="23"/>
  <c r="AL45" i="23" s="1"/>
  <c r="BH147" i="23" s="1"/>
  <c r="AK48" i="23"/>
  <c r="AK44" i="23" s="1"/>
  <c r="AJ94" i="11"/>
  <c r="BJ144" i="23"/>
  <c r="AJ84" i="11"/>
  <c r="AJ83" i="11"/>
  <c r="AE58" i="11"/>
  <c r="AE63" i="11"/>
  <c r="AE67" i="11"/>
  <c r="AE60" i="11"/>
  <c r="AE80" i="11"/>
  <c r="AE70" i="11"/>
  <c r="I47" i="23"/>
  <c r="AE68" i="11"/>
  <c r="AE50" i="11"/>
  <c r="BD144" i="23"/>
  <c r="AE62" i="11"/>
  <c r="AE64" i="11"/>
  <c r="AE71" i="11"/>
  <c r="AE81" i="11"/>
  <c r="AE72" i="11"/>
  <c r="AE85" i="11"/>
  <c r="AE74" i="11"/>
  <c r="AK42" i="23"/>
  <c r="AK38" i="23" s="1"/>
  <c r="AE83" i="11"/>
  <c r="AE49" i="11"/>
  <c r="AE48" i="11" s="1"/>
  <c r="AE57" i="11"/>
  <c r="AE65" i="11"/>
  <c r="AE73" i="11"/>
  <c r="AE84" i="11"/>
  <c r="AE76" i="11"/>
  <c r="AE61" i="11"/>
  <c r="AE75" i="11"/>
  <c r="AE86" i="11"/>
  <c r="AE46" i="11"/>
  <c r="AE55" i="11"/>
  <c r="AE59" i="11"/>
  <c r="AE66" i="11"/>
  <c r="AE77" i="11"/>
  <c r="AE56" i="11"/>
  <c r="AE78" i="11"/>
  <c r="AE69" i="11"/>
  <c r="AE87" i="11"/>
  <c r="AG42" i="23"/>
  <c r="CS12" i="23"/>
  <c r="AL42" i="23"/>
  <c r="AL39" i="23" s="1"/>
  <c r="BB147" i="23" s="1"/>
  <c r="AE94" i="11"/>
  <c r="AE79" i="11"/>
  <c r="U57" i="11"/>
  <c r="U63" i="11"/>
  <c r="U67" i="11"/>
  <c r="U80" i="11"/>
  <c r="U56" i="11"/>
  <c r="U83" i="11"/>
  <c r="U79" i="11"/>
  <c r="AG30" i="23"/>
  <c r="BF91" i="23" s="1"/>
  <c r="U86" i="11"/>
  <c r="U58" i="11"/>
  <c r="U60" i="11"/>
  <c r="U69" i="11"/>
  <c r="U84" i="11"/>
  <c r="U77" i="11"/>
  <c r="U68" i="11"/>
  <c r="U50" i="11"/>
  <c r="U85" i="11"/>
  <c r="U81" i="11"/>
  <c r="AK30" i="23"/>
  <c r="BF84" i="23" s="1"/>
  <c r="U59" i="11"/>
  <c r="U62" i="11"/>
  <c r="U71" i="11"/>
  <c r="U64" i="11"/>
  <c r="U82" i="11"/>
  <c r="U73" i="11"/>
  <c r="U70" i="11"/>
  <c r="U75" i="11"/>
  <c r="E47" i="23"/>
  <c r="U46" i="11"/>
  <c r="U55" i="11"/>
  <c r="U61" i="11"/>
  <c r="U76" i="11"/>
  <c r="U87" i="11"/>
  <c r="U78" i="11"/>
  <c r="U74" i="11"/>
  <c r="U49" i="11"/>
  <c r="U48" i="11" s="1"/>
  <c r="CI12" i="23"/>
  <c r="AL30" i="23"/>
  <c r="U65" i="11"/>
  <c r="U94" i="11"/>
  <c r="U66" i="11"/>
  <c r="P60" i="11"/>
  <c r="P66" i="11"/>
  <c r="P80" i="11"/>
  <c r="P63" i="11"/>
  <c r="P86" i="11"/>
  <c r="P83" i="11"/>
  <c r="P78" i="11"/>
  <c r="P87" i="11"/>
  <c r="P74" i="11"/>
  <c r="AD33" i="23"/>
  <c r="CD12" i="23"/>
  <c r="P56" i="11"/>
  <c r="P62" i="11"/>
  <c r="P68" i="11"/>
  <c r="P84" i="11"/>
  <c r="P70" i="11"/>
  <c r="P65" i="11"/>
  <c r="AM25" i="23"/>
  <c r="P85" i="11"/>
  <c r="P94" i="11"/>
  <c r="AG25" i="23"/>
  <c r="AU97" i="23" s="1"/>
  <c r="P82" i="11"/>
  <c r="P58" i="11"/>
  <c r="P64" i="11"/>
  <c r="P72" i="11"/>
  <c r="P55" i="11"/>
  <c r="P75" i="11"/>
  <c r="P69" i="11"/>
  <c r="AM27" i="23"/>
  <c r="P73" i="11"/>
  <c r="AI25" i="23"/>
  <c r="AU85" i="23" s="1"/>
  <c r="E27" i="23"/>
  <c r="P49" i="11"/>
  <c r="P59" i="11"/>
  <c r="P57" i="11"/>
  <c r="P76" i="11"/>
  <c r="P61" i="11"/>
  <c r="P81" i="11"/>
  <c r="P77" i="11"/>
  <c r="P71" i="11"/>
  <c r="P79" i="11"/>
  <c r="AE25" i="23"/>
  <c r="AS90" i="23" s="1"/>
  <c r="P50" i="11"/>
  <c r="P46" i="11"/>
  <c r="O62" i="11"/>
  <c r="O82" i="11"/>
  <c r="O61" i="11"/>
  <c r="O73" i="11"/>
  <c r="O69" i="11"/>
  <c r="O72" i="11"/>
  <c r="O76" i="11"/>
  <c r="O77" i="11"/>
  <c r="O71" i="11"/>
  <c r="AM26" i="23"/>
  <c r="O55" i="11"/>
  <c r="O70" i="11"/>
  <c r="O86" i="11"/>
  <c r="O63" i="11"/>
  <c r="O79" i="11"/>
  <c r="O75" i="11"/>
  <c r="O83" i="11"/>
  <c r="O87" i="11"/>
  <c r="AI24" i="23"/>
  <c r="O81" i="11"/>
  <c r="O49" i="11"/>
  <c r="O56" i="11"/>
  <c r="O74" i="11"/>
  <c r="O57" i="11"/>
  <c r="O64" i="11"/>
  <c r="O84" i="11"/>
  <c r="O80" i="11"/>
  <c r="O50" i="11"/>
  <c r="AM24" i="23"/>
  <c r="AD23" i="23"/>
  <c r="AE24" i="23"/>
  <c r="AS89" i="23" s="1"/>
  <c r="O46" i="11"/>
  <c r="O59" i="11"/>
  <c r="O78" i="11"/>
  <c r="O60" i="11"/>
  <c r="O68" i="11"/>
  <c r="O65" i="11"/>
  <c r="O85" i="11"/>
  <c r="AG24" i="23"/>
  <c r="AX95" i="23" s="1"/>
  <c r="O67" i="11"/>
  <c r="E19" i="23"/>
  <c r="O94" i="11"/>
  <c r="CC12" i="23"/>
  <c r="E60" i="11"/>
  <c r="E76" i="11"/>
  <c r="E63" i="11"/>
  <c r="E85" i="11"/>
  <c r="E75" i="11"/>
  <c r="E67" i="11"/>
  <c r="E82" i="11"/>
  <c r="E66" i="11"/>
  <c r="AG13" i="23"/>
  <c r="BA27" i="23" s="1"/>
  <c r="C15" i="23"/>
  <c r="E64" i="11"/>
  <c r="E80" i="11"/>
  <c r="E69" i="11"/>
  <c r="E59" i="11"/>
  <c r="E81" i="11"/>
  <c r="E78" i="11"/>
  <c r="E77" i="11"/>
  <c r="E87" i="11"/>
  <c r="E73" i="11"/>
  <c r="E49" i="11"/>
  <c r="E48" i="11" s="1"/>
  <c r="E68" i="11"/>
  <c r="E84" i="11"/>
  <c r="E74" i="11"/>
  <c r="E65" i="11"/>
  <c r="E86" i="11"/>
  <c r="E61" i="11"/>
  <c r="E62" i="11"/>
  <c r="E94" i="11"/>
  <c r="AE13" i="23"/>
  <c r="AS24" i="23" s="1"/>
  <c r="E55" i="11"/>
  <c r="E72" i="11"/>
  <c r="E58" i="11"/>
  <c r="E79" i="11"/>
  <c r="E70" i="11"/>
  <c r="E57" i="11"/>
  <c r="E71" i="11"/>
  <c r="E83" i="11"/>
  <c r="AI13" i="23"/>
  <c r="E50" i="11"/>
  <c r="AD57" i="11"/>
  <c r="AD62" i="11"/>
  <c r="AD60" i="11"/>
  <c r="AD78" i="11"/>
  <c r="AD70" i="11"/>
  <c r="AD94" i="11"/>
  <c r="AN41" i="23"/>
  <c r="AD86" i="11"/>
  <c r="AN40" i="23"/>
  <c r="CR12" i="23"/>
  <c r="AD61" i="11"/>
  <c r="AD63" i="11"/>
  <c r="AD68" i="11"/>
  <c r="AD80" i="11"/>
  <c r="AD74" i="11"/>
  <c r="AD66" i="11"/>
  <c r="AD71" i="11"/>
  <c r="AD50" i="11"/>
  <c r="I35" i="23"/>
  <c r="AD49" i="11"/>
  <c r="AD48" i="11" s="1"/>
  <c r="AD59" i="11"/>
  <c r="AD56" i="11"/>
  <c r="AD64" i="11"/>
  <c r="AD72" i="11"/>
  <c r="AD84" i="11"/>
  <c r="AD75" i="11"/>
  <c r="AD67" i="11"/>
  <c r="AD73" i="11"/>
  <c r="AD87" i="11"/>
  <c r="AD82" i="11"/>
  <c r="AD46" i="11"/>
  <c r="AD55" i="11"/>
  <c r="AD58" i="11"/>
  <c r="AD65" i="11"/>
  <c r="AD76" i="11"/>
  <c r="AD69" i="11"/>
  <c r="AD85" i="11"/>
  <c r="AD83" i="11"/>
  <c r="AD79" i="11"/>
  <c r="AD77" i="11"/>
  <c r="AG41" i="23"/>
  <c r="BA164" i="23" s="1"/>
  <c r="AZ159" i="23"/>
  <c r="AG57" i="11"/>
  <c r="AG63" i="11"/>
  <c r="AG65" i="11"/>
  <c r="AG73" i="11"/>
  <c r="AG68" i="11"/>
  <c r="AG72" i="11"/>
  <c r="AG85" i="11"/>
  <c r="AG83" i="11"/>
  <c r="AG50" i="11"/>
  <c r="AG74" i="11"/>
  <c r="BG145" i="23"/>
  <c r="AG58" i="11"/>
  <c r="AG59" i="11"/>
  <c r="AG67" i="11"/>
  <c r="AG75" i="11"/>
  <c r="AG86" i="11"/>
  <c r="AG77" i="11"/>
  <c r="AD46" i="23"/>
  <c r="AI45" i="23"/>
  <c r="AI44" i="23" s="1"/>
  <c r="AG76" i="11"/>
  <c r="AG70" i="11"/>
  <c r="CU12" i="23"/>
  <c r="AG56" i="11"/>
  <c r="AG60" i="11"/>
  <c r="AG69" i="11"/>
  <c r="AG66" i="11"/>
  <c r="AG94" i="11"/>
  <c r="AG79" i="11"/>
  <c r="AG78" i="11"/>
  <c r="AE45" i="23"/>
  <c r="BE147" i="23" s="1"/>
  <c r="AG80" i="11"/>
  <c r="AG49" i="11"/>
  <c r="AG46" i="11"/>
  <c r="AG55" i="11"/>
  <c r="AG61" i="11"/>
  <c r="AG64" i="11"/>
  <c r="AG71" i="11"/>
  <c r="AG62" i="11"/>
  <c r="AG87" i="11"/>
  <c r="AG82" i="11"/>
  <c r="AG81" i="11"/>
  <c r="K27" i="23"/>
  <c r="AG45" i="23"/>
  <c r="BH152" i="23" s="1"/>
  <c r="BF155" i="23"/>
  <c r="AH46" i="11"/>
  <c r="AB62" i="11"/>
  <c r="AB61" i="11"/>
  <c r="AB70" i="11"/>
  <c r="AB65" i="11"/>
  <c r="AB82" i="11"/>
  <c r="AB87" i="11"/>
  <c r="AB78" i="11"/>
  <c r="AG39" i="23"/>
  <c r="BB152" i="23" s="1"/>
  <c r="AB50" i="11"/>
  <c r="AE39" i="23"/>
  <c r="AY147" i="23" s="1"/>
  <c r="AB46" i="11"/>
  <c r="AB56" i="11"/>
  <c r="AB64" i="11"/>
  <c r="AB63" i="11"/>
  <c r="AB72" i="11"/>
  <c r="AB67" i="11"/>
  <c r="AB86" i="11"/>
  <c r="AB71" i="11"/>
  <c r="AB80" i="11"/>
  <c r="AB94" i="11"/>
  <c r="AC46" i="11"/>
  <c r="AB49" i="11"/>
  <c r="CP12" i="23"/>
  <c r="AB57" i="11"/>
  <c r="AB58" i="11"/>
  <c r="AB66" i="11"/>
  <c r="AB74" i="11"/>
  <c r="AB69" i="11"/>
  <c r="AB77" i="11"/>
  <c r="AB73" i="11"/>
  <c r="AB84" i="11"/>
  <c r="AD40" i="23"/>
  <c r="AB81" i="11"/>
  <c r="BA145" i="23"/>
  <c r="AB60" i="11"/>
  <c r="AB59" i="11"/>
  <c r="AB68" i="11"/>
  <c r="AB55" i="11"/>
  <c r="AB75" i="11"/>
  <c r="AB83" i="11"/>
  <c r="AB76" i="11"/>
  <c r="AB85" i="11"/>
  <c r="I27" i="23"/>
  <c r="AI39" i="23"/>
  <c r="AI38" i="23" s="1"/>
  <c r="AZ155" i="23"/>
  <c r="AH59" i="11"/>
  <c r="AH58" i="11"/>
  <c r="AH65" i="11"/>
  <c r="AH70" i="11"/>
  <c r="AH78" i="11"/>
  <c r="AH62" i="11"/>
  <c r="AH73" i="11"/>
  <c r="AH87" i="11"/>
  <c r="AH83" i="11"/>
  <c r="AH50" i="11"/>
  <c r="BF153" i="23"/>
  <c r="AH55" i="11"/>
  <c r="AH61" i="11"/>
  <c r="AH66" i="11"/>
  <c r="AH74" i="11"/>
  <c r="AH80" i="11"/>
  <c r="AH68" i="11"/>
  <c r="AH64" i="11"/>
  <c r="AM46" i="23"/>
  <c r="AE46" i="23"/>
  <c r="BE157" i="23" s="1"/>
  <c r="AG46" i="23"/>
  <c r="BH158" i="23" s="1"/>
  <c r="AH57" i="11"/>
  <c r="AH63" i="11"/>
  <c r="AH67" i="11"/>
  <c r="AH75" i="11"/>
  <c r="AH82" i="11"/>
  <c r="AH94" i="11"/>
  <c r="AH72" i="11"/>
  <c r="AH79" i="11"/>
  <c r="AM47" i="23"/>
  <c r="AH86" i="11"/>
  <c r="AH56" i="11"/>
  <c r="AH60" i="11"/>
  <c r="AH69" i="11"/>
  <c r="AH76" i="11"/>
  <c r="AH84" i="11"/>
  <c r="AH71" i="11"/>
  <c r="AH77" i="11"/>
  <c r="AH81" i="11"/>
  <c r="K31" i="23"/>
  <c r="AH49" i="11"/>
  <c r="AA59" i="11"/>
  <c r="AA63" i="11"/>
  <c r="AA62" i="11"/>
  <c r="AA68" i="11"/>
  <c r="AA81" i="11"/>
  <c r="AA70" i="11"/>
  <c r="AA69" i="11"/>
  <c r="AA83" i="11"/>
  <c r="AA55" i="11"/>
  <c r="AA57" i="11"/>
  <c r="AA66" i="11"/>
  <c r="AA77" i="11"/>
  <c r="AA71" i="11"/>
  <c r="AA85" i="11"/>
  <c r="AA86" i="11"/>
  <c r="AA74" i="11"/>
  <c r="AE38" i="23"/>
  <c r="AY136" i="23" s="1"/>
  <c r="AA49" i="11"/>
  <c r="AA48" i="11" s="1"/>
  <c r="AA56" i="11"/>
  <c r="AA60" i="11"/>
  <c r="AA67" i="11"/>
  <c r="AA80" i="11"/>
  <c r="AA73" i="11"/>
  <c r="AA65" i="11"/>
  <c r="AA87" i="11"/>
  <c r="AA50" i="11"/>
  <c r="AA46" i="11"/>
  <c r="AA58" i="11"/>
  <c r="AA64" i="11"/>
  <c r="AA61" i="11"/>
  <c r="AA84" i="11"/>
  <c r="AA76" i="11"/>
  <c r="AA72" i="11"/>
  <c r="AF38" i="23"/>
  <c r="BA136" i="23" s="1"/>
  <c r="I11" i="23"/>
  <c r="AA75" i="11"/>
  <c r="CO12" i="23"/>
  <c r="AG38" i="23"/>
  <c r="BA141" i="23" s="1"/>
  <c r="AA94" i="11"/>
  <c r="AH39" i="23"/>
  <c r="AJ42" i="23"/>
  <c r="AA82" i="11"/>
  <c r="AA79" i="11"/>
  <c r="AC58" i="11"/>
  <c r="AC60" i="11"/>
  <c r="AC71" i="11"/>
  <c r="AC64" i="11"/>
  <c r="AC74" i="11"/>
  <c r="AC83" i="11"/>
  <c r="AC79" i="11"/>
  <c r="AM41" i="23"/>
  <c r="AC85" i="11"/>
  <c r="AC72" i="11"/>
  <c r="AC61" i="11"/>
  <c r="AC65" i="11"/>
  <c r="AC73" i="11"/>
  <c r="AC59" i="11"/>
  <c r="AC82" i="11"/>
  <c r="AC87" i="11"/>
  <c r="AC78" i="11"/>
  <c r="AC76" i="11"/>
  <c r="AM40" i="23"/>
  <c r="AC49" i="11"/>
  <c r="AC48" i="11" s="1"/>
  <c r="AC55" i="11"/>
  <c r="AC63" i="11"/>
  <c r="AC67" i="11"/>
  <c r="AC75" i="11"/>
  <c r="AC66" i="11"/>
  <c r="AC86" i="11"/>
  <c r="AC68" i="11"/>
  <c r="AC81" i="11"/>
  <c r="AC84" i="11"/>
  <c r="I31" i="23"/>
  <c r="AZ153" i="23"/>
  <c r="AC57" i="11"/>
  <c r="AC56" i="11"/>
  <c r="AC69" i="11"/>
  <c r="AC62" i="11"/>
  <c r="AC70" i="11"/>
  <c r="AC94" i="11"/>
  <c r="AC77" i="11"/>
  <c r="AE40" i="23"/>
  <c r="AY157" i="23" s="1"/>
  <c r="AG40" i="23"/>
  <c r="BB158" i="23" s="1"/>
  <c r="AC50" i="11"/>
  <c r="Q55" i="11"/>
  <c r="Q61" i="11"/>
  <c r="Q64" i="11"/>
  <c r="Q76" i="11"/>
  <c r="Q66" i="11"/>
  <c r="Q71" i="11"/>
  <c r="Q81" i="11"/>
  <c r="Q75" i="11"/>
  <c r="Q85" i="11"/>
  <c r="Q49" i="11"/>
  <c r="Q48" i="11" s="1"/>
  <c r="Q94" i="11"/>
  <c r="Q57" i="11"/>
  <c r="Q63" i="11"/>
  <c r="Q65" i="11"/>
  <c r="Q80" i="11"/>
  <c r="Q73" i="11"/>
  <c r="Q79" i="11"/>
  <c r="Q87" i="11"/>
  <c r="Q82" i="11"/>
  <c r="AN24" i="23"/>
  <c r="Q70" i="11"/>
  <c r="Q58" i="11"/>
  <c r="Q59" i="11"/>
  <c r="Q67" i="11"/>
  <c r="Q84" i="11"/>
  <c r="Q78" i="11"/>
  <c r="Q86" i="11"/>
  <c r="AG26" i="23"/>
  <c r="AX99" i="23" s="1"/>
  <c r="Q77" i="11"/>
  <c r="AN26" i="23"/>
  <c r="AY96" i="23" s="1"/>
  <c r="CE12" i="23"/>
  <c r="Q56" i="11"/>
  <c r="Q60" i="11"/>
  <c r="Q72" i="11"/>
  <c r="Q62" i="11"/>
  <c r="Q83" i="11"/>
  <c r="Q74" i="11"/>
  <c r="Q69" i="11"/>
  <c r="Q50" i="11"/>
  <c r="E23" i="23"/>
  <c r="Q46" i="11"/>
  <c r="I64" i="11"/>
  <c r="I80" i="11"/>
  <c r="I69" i="11"/>
  <c r="I85" i="11"/>
  <c r="I83" i="11"/>
  <c r="I79" i="11"/>
  <c r="I63" i="11"/>
  <c r="I94" i="11"/>
  <c r="AN15" i="23"/>
  <c r="I50" i="11"/>
  <c r="I68" i="11"/>
  <c r="I84" i="11"/>
  <c r="I73" i="11"/>
  <c r="I58" i="11"/>
  <c r="I56" i="11"/>
  <c r="I62" i="11"/>
  <c r="I74" i="11"/>
  <c r="AG17" i="23"/>
  <c r="AU44" i="23" s="1"/>
  <c r="C35" i="23"/>
  <c r="I46" i="11"/>
  <c r="I55" i="11"/>
  <c r="I72" i="11"/>
  <c r="I61" i="11"/>
  <c r="I77" i="11"/>
  <c r="I67" i="11"/>
  <c r="I59" i="11"/>
  <c r="I71" i="11"/>
  <c r="I86" i="11"/>
  <c r="I66" i="11"/>
  <c r="I78" i="11"/>
  <c r="BW12" i="23"/>
  <c r="I57" i="11"/>
  <c r="I76" i="11"/>
  <c r="I65" i="11"/>
  <c r="I81" i="11"/>
  <c r="I75" i="11"/>
  <c r="I70" i="11"/>
  <c r="I82" i="11"/>
  <c r="I87" i="11"/>
  <c r="AN17" i="23"/>
  <c r="AU40" i="23" s="1"/>
  <c r="I49" i="11"/>
  <c r="I48" i="11" s="1"/>
  <c r="V59" i="11"/>
  <c r="V61" i="11"/>
  <c r="V82" i="11"/>
  <c r="V63" i="11"/>
  <c r="V69" i="11"/>
  <c r="V80" i="11"/>
  <c r="V55" i="11"/>
  <c r="V64" i="11"/>
  <c r="V86" i="11"/>
  <c r="V66" i="11"/>
  <c r="V79" i="11"/>
  <c r="V65" i="11"/>
  <c r="V85" i="11"/>
  <c r="V72" i="11"/>
  <c r="V83" i="11"/>
  <c r="V50" i="11"/>
  <c r="V49" i="11"/>
  <c r="V48" i="11" s="1"/>
  <c r="V56" i="11"/>
  <c r="V62" i="11"/>
  <c r="V67" i="11"/>
  <c r="V84" i="11"/>
  <c r="V71" i="11"/>
  <c r="V76" i="11"/>
  <c r="AD44" i="23"/>
  <c r="BF136" i="23" s="1"/>
  <c r="AE32" i="23"/>
  <c r="AS136" i="23" s="1"/>
  <c r="V58" i="11"/>
  <c r="V78" i="11"/>
  <c r="V57" i="11"/>
  <c r="V60" i="11"/>
  <c r="AF32" i="23"/>
  <c r="AU136" i="23" s="1"/>
  <c r="V75" i="11"/>
  <c r="V81" i="11"/>
  <c r="G11" i="23"/>
  <c r="AD38" i="23"/>
  <c r="AZ136" i="23" s="1"/>
  <c r="V68" i="11"/>
  <c r="V87" i="11"/>
  <c r="V46" i="11"/>
  <c r="V70" i="11"/>
  <c r="CJ12" i="23"/>
  <c r="AG32" i="23"/>
  <c r="AU141" i="23" s="1"/>
  <c r="V94" i="11"/>
  <c r="AH33" i="23"/>
  <c r="AJ36" i="23"/>
  <c r="V74" i="11"/>
  <c r="V77" i="11"/>
  <c r="AI55" i="11"/>
  <c r="AI62" i="11"/>
  <c r="AI65" i="11"/>
  <c r="AI72" i="11"/>
  <c r="AI83" i="11"/>
  <c r="AI70" i="11"/>
  <c r="AI78" i="11"/>
  <c r="AI67" i="11"/>
  <c r="AI71" i="11"/>
  <c r="K35" i="23"/>
  <c r="BF159" i="23"/>
  <c r="AI57" i="11"/>
  <c r="AI63" i="11"/>
  <c r="AI58" i="11"/>
  <c r="AI77" i="11"/>
  <c r="AI85" i="11"/>
  <c r="AI74" i="11"/>
  <c r="AI80" i="11"/>
  <c r="AI94" i="11"/>
  <c r="AI73" i="11"/>
  <c r="AI50" i="11"/>
  <c r="CW12" i="23"/>
  <c r="AI60" i="11"/>
  <c r="AI64" i="11"/>
  <c r="AI68" i="11"/>
  <c r="AI79" i="11"/>
  <c r="AI66" i="11"/>
  <c r="AI75" i="11"/>
  <c r="AI82" i="11"/>
  <c r="AN46" i="23"/>
  <c r="AI87" i="11"/>
  <c r="AI49" i="11"/>
  <c r="AI48" i="11" s="1"/>
  <c r="AI56" i="11"/>
  <c r="AI61" i="11"/>
  <c r="AI59" i="11"/>
  <c r="AI81" i="11"/>
  <c r="AI69" i="11"/>
  <c r="AI76" i="11"/>
  <c r="AI84" i="11"/>
  <c r="AG47" i="23"/>
  <c r="BG164" i="23" s="1"/>
  <c r="AN47" i="23"/>
  <c r="AI46" i="11"/>
  <c r="T62" i="11"/>
  <c r="T76" i="11"/>
  <c r="T57" i="11"/>
  <c r="T77" i="11"/>
  <c r="T73" i="11"/>
  <c r="T74" i="11"/>
  <c r="T81" i="11"/>
  <c r="T69" i="11"/>
  <c r="T49" i="11"/>
  <c r="T64" i="11"/>
  <c r="T68" i="11"/>
  <c r="T80" i="11"/>
  <c r="T63" i="11"/>
  <c r="T82" i="11"/>
  <c r="T78" i="11"/>
  <c r="T79" i="11"/>
  <c r="T86" i="11"/>
  <c r="CH12" i="23"/>
  <c r="T56" i="11"/>
  <c r="T58" i="11"/>
  <c r="T70" i="11"/>
  <c r="T84" i="11"/>
  <c r="T87" i="11"/>
  <c r="T83" i="11"/>
  <c r="T85" i="11"/>
  <c r="AG29" i="23"/>
  <c r="BH91" i="23" s="1"/>
  <c r="AK29" i="23"/>
  <c r="BH84" i="23" s="1"/>
  <c r="T46" i="11"/>
  <c r="T60" i="11"/>
  <c r="T61" i="11"/>
  <c r="T72" i="11"/>
  <c r="T55" i="11"/>
  <c r="T67" i="11"/>
  <c r="T50" i="11"/>
  <c r="T59" i="11"/>
  <c r="E43" i="23"/>
  <c r="T75" i="11"/>
  <c r="AL29" i="23"/>
  <c r="T65" i="11"/>
  <c r="T94" i="11"/>
  <c r="T66" i="11"/>
  <c r="R55" i="11"/>
  <c r="R61" i="11"/>
  <c r="R78" i="11"/>
  <c r="R60" i="11"/>
  <c r="R67" i="11"/>
  <c r="R83" i="11"/>
  <c r="R84" i="11"/>
  <c r="R75" i="11"/>
  <c r="AG27" i="23"/>
  <c r="AU108" i="23" s="1"/>
  <c r="R49" i="11"/>
  <c r="R48" i="11" s="1"/>
  <c r="R57" i="11"/>
  <c r="R63" i="11"/>
  <c r="R82" i="11"/>
  <c r="R62" i="11"/>
  <c r="R68" i="11"/>
  <c r="AN27" i="23"/>
  <c r="AU104" i="23" s="1"/>
  <c r="R94" i="11"/>
  <c r="R80" i="11"/>
  <c r="R71" i="11"/>
  <c r="E35" i="23"/>
  <c r="R56" i="11"/>
  <c r="R70" i="11"/>
  <c r="R86" i="11"/>
  <c r="R64" i="11"/>
  <c r="R72" i="11"/>
  <c r="R73" i="11"/>
  <c r="AN25" i="23"/>
  <c r="R85" i="11"/>
  <c r="R76" i="11"/>
  <c r="CF12" i="23"/>
  <c r="R59" i="11"/>
  <c r="R58" i="11"/>
  <c r="R74" i="11"/>
  <c r="R65" i="11"/>
  <c r="R66" i="11"/>
  <c r="R77" i="11"/>
  <c r="R79" i="11"/>
  <c r="R50" i="11"/>
  <c r="R87" i="11"/>
  <c r="R81" i="11"/>
  <c r="R46" i="11"/>
  <c r="Z56" i="11"/>
  <c r="Z60" i="11"/>
  <c r="Z71" i="11"/>
  <c r="Z84" i="11"/>
  <c r="Z67" i="11"/>
  <c r="Z75" i="11"/>
  <c r="Z79" i="11"/>
  <c r="G47" i="23"/>
  <c r="Z46" i="11"/>
  <c r="Z59" i="11"/>
  <c r="Z62" i="11"/>
  <c r="Z57" i="11"/>
  <c r="Z73" i="11"/>
  <c r="Z72" i="11"/>
  <c r="AK36" i="23"/>
  <c r="AK32" i="23" s="1"/>
  <c r="Z69" i="11"/>
  <c r="Z78" i="11"/>
  <c r="Z50" i="11"/>
  <c r="Z87" i="11"/>
  <c r="AX144" i="23"/>
  <c r="Z55" i="11"/>
  <c r="Z58" i="11"/>
  <c r="Z65" i="11"/>
  <c r="Z76" i="11"/>
  <c r="Z81" i="11"/>
  <c r="Z70" i="11"/>
  <c r="Z82" i="11"/>
  <c r="Z63" i="11"/>
  <c r="AG36" i="23"/>
  <c r="AX151" i="23" s="1"/>
  <c r="CN12" i="23"/>
  <c r="Z61" i="11"/>
  <c r="Z66" i="11"/>
  <c r="Z68" i="11"/>
  <c r="Z80" i="11"/>
  <c r="Z85" i="11"/>
  <c r="Z64" i="11"/>
  <c r="Z86" i="11"/>
  <c r="Z83" i="11"/>
  <c r="Z49" i="11"/>
  <c r="Z48" i="11" s="1"/>
  <c r="AL36" i="23"/>
  <c r="AL33" i="23" s="1"/>
  <c r="AV147" i="23" s="1"/>
  <c r="Z94" i="11"/>
  <c r="Z74" i="11"/>
  <c r="AF60" i="11"/>
  <c r="AF68" i="11"/>
  <c r="AF55" i="11"/>
  <c r="AF86" i="11"/>
  <c r="AF77" i="11"/>
  <c r="AF76" i="11"/>
  <c r="AF75" i="11"/>
  <c r="K11" i="23"/>
  <c r="AF56" i="11"/>
  <c r="AF62" i="11"/>
  <c r="AF70" i="11"/>
  <c r="AF61" i="11"/>
  <c r="AF67" i="11"/>
  <c r="AF79" i="11"/>
  <c r="AF78" i="11"/>
  <c r="AF85" i="11"/>
  <c r="AE44" i="23"/>
  <c r="BE136" i="23" s="1"/>
  <c r="AF50" i="11"/>
  <c r="AF49" i="11"/>
  <c r="AF48" i="11" s="1"/>
  <c r="AF58" i="11"/>
  <c r="AF64" i="11"/>
  <c r="AF72" i="11"/>
  <c r="AF57" i="11"/>
  <c r="AF71" i="11"/>
  <c r="AF81" i="11"/>
  <c r="AF80" i="11"/>
  <c r="AF65" i="11"/>
  <c r="AF46" i="11"/>
  <c r="AF59" i="11"/>
  <c r="AF66" i="11"/>
  <c r="AF74" i="11"/>
  <c r="AF63" i="11"/>
  <c r="AF73" i="11"/>
  <c r="AF69" i="11"/>
  <c r="AF44" i="23"/>
  <c r="BG136" i="23" s="1"/>
  <c r="AF82" i="11"/>
  <c r="CT12" i="23"/>
  <c r="AG44" i="23"/>
  <c r="BG141" i="23" s="1"/>
  <c r="AF94" i="11"/>
  <c r="AJ48" i="23"/>
  <c r="AH45" i="23"/>
  <c r="AF87" i="11"/>
  <c r="AF84" i="11"/>
  <c r="N59" i="11"/>
  <c r="N66" i="11"/>
  <c r="N82" i="11"/>
  <c r="N57" i="11"/>
  <c r="N78" i="11"/>
  <c r="N62" i="11"/>
  <c r="N73" i="11"/>
  <c r="N69" i="11"/>
  <c r="N71" i="11"/>
  <c r="N67" i="11"/>
  <c r="N94" i="11"/>
  <c r="N50" i="11"/>
  <c r="CB12" i="23"/>
  <c r="N61" i="11"/>
  <c r="N86" i="11"/>
  <c r="N63" i="11"/>
  <c r="N79" i="11"/>
  <c r="N75" i="11"/>
  <c r="N76" i="11"/>
  <c r="AE23" i="23"/>
  <c r="AS88" i="23" s="1"/>
  <c r="AI23" i="23"/>
  <c r="E15" i="23"/>
  <c r="N70" i="11"/>
  <c r="N56" i="11"/>
  <c r="N64" i="11"/>
  <c r="N84" i="11"/>
  <c r="N80" i="11"/>
  <c r="N81" i="11"/>
  <c r="AD24" i="23"/>
  <c r="AG23" i="23"/>
  <c r="BA91" i="23" s="1"/>
  <c r="N83" i="11"/>
  <c r="N55" i="11"/>
  <c r="N74" i="11"/>
  <c r="N60" i="11"/>
  <c r="N68" i="11"/>
  <c r="N58" i="11"/>
  <c r="N85" i="11"/>
  <c r="N87" i="11"/>
  <c r="N72" i="11"/>
  <c r="N77" i="11"/>
  <c r="N49" i="11"/>
  <c r="N48" i="11" s="1"/>
  <c r="K55" i="11"/>
  <c r="K70" i="11"/>
  <c r="K86" i="11"/>
  <c r="K68" i="11"/>
  <c r="K61" i="11"/>
  <c r="K64" i="11"/>
  <c r="K65" i="11"/>
  <c r="K81" i="11"/>
  <c r="K67" i="11"/>
  <c r="K50" i="11"/>
  <c r="BY12" i="23"/>
  <c r="K74" i="11"/>
  <c r="K58" i="11"/>
  <c r="K73" i="11"/>
  <c r="K69" i="11"/>
  <c r="K71" i="11"/>
  <c r="K72" i="11"/>
  <c r="K75" i="11"/>
  <c r="C43" i="23"/>
  <c r="K59" i="11"/>
  <c r="K78" i="11"/>
  <c r="K60" i="11"/>
  <c r="K79" i="11"/>
  <c r="K76" i="11"/>
  <c r="K77" i="11"/>
  <c r="K80" i="11"/>
  <c r="AG19" i="23"/>
  <c r="BF27" i="23" s="1"/>
  <c r="K49" i="11"/>
  <c r="K66" i="11"/>
  <c r="K82" i="11"/>
  <c r="K63" i="11"/>
  <c r="K84" i="11"/>
  <c r="K83" i="11"/>
  <c r="K85" i="11"/>
  <c r="K87" i="11"/>
  <c r="AK19" i="23"/>
  <c r="BH20" i="23" s="1"/>
  <c r="K46" i="11"/>
  <c r="K56" i="11"/>
  <c r="K94" i="11"/>
  <c r="AL19" i="23"/>
  <c r="K57" i="11"/>
  <c r="W57" i="11"/>
  <c r="W63" i="11"/>
  <c r="W60" i="11"/>
  <c r="W64" i="11"/>
  <c r="W70" i="11"/>
  <c r="W79" i="11"/>
  <c r="W75" i="11"/>
  <c r="AI33" i="23"/>
  <c r="AI32" i="23" s="1"/>
  <c r="AE33" i="23"/>
  <c r="AS147" i="23" s="1"/>
  <c r="AG33" i="23"/>
  <c r="AV152" i="23" s="1"/>
  <c r="X46" i="11"/>
  <c r="AU145" i="23"/>
  <c r="W56" i="11"/>
  <c r="W78" i="11"/>
  <c r="W61" i="11"/>
  <c r="W66" i="11"/>
  <c r="W77" i="11"/>
  <c r="W84" i="11"/>
  <c r="W80" i="11"/>
  <c r="AD39" i="23"/>
  <c r="G27" i="23"/>
  <c r="AD45" i="23"/>
  <c r="W46" i="11"/>
  <c r="CK12" i="23"/>
  <c r="W58" i="11"/>
  <c r="W82" i="11"/>
  <c r="W65" i="11"/>
  <c r="W67" i="11"/>
  <c r="W83" i="11"/>
  <c r="W71" i="11"/>
  <c r="W85" i="11"/>
  <c r="W68" i="11"/>
  <c r="W72" i="11"/>
  <c r="W50" i="11"/>
  <c r="W94" i="11"/>
  <c r="AT155" i="23"/>
  <c r="W55" i="11"/>
  <c r="W59" i="11"/>
  <c r="W86" i="11"/>
  <c r="W62" i="11"/>
  <c r="W69" i="11"/>
  <c r="AD25" i="23"/>
  <c r="W73" i="11"/>
  <c r="W76" i="11"/>
  <c r="W81" i="11"/>
  <c r="W87" i="11"/>
  <c r="AD34" i="23"/>
  <c r="W49" i="11"/>
  <c r="F70" i="11"/>
  <c r="F86" i="11"/>
  <c r="F65" i="11"/>
  <c r="F87" i="11"/>
  <c r="F77" i="11"/>
  <c r="F80" i="11"/>
  <c r="F64" i="11"/>
  <c r="F50" i="11"/>
  <c r="AI14" i="23"/>
  <c r="AX21" i="23" s="1"/>
  <c r="BT12" i="23"/>
  <c r="F83" i="11"/>
  <c r="C19" i="23"/>
  <c r="F56" i="11"/>
  <c r="F67" i="11"/>
  <c r="F68" i="11"/>
  <c r="F49" i="11"/>
  <c r="F58" i="11"/>
  <c r="F74" i="11"/>
  <c r="F55" i="11"/>
  <c r="F71" i="11"/>
  <c r="F61" i="11"/>
  <c r="F63" i="11"/>
  <c r="F84" i="11"/>
  <c r="AD15" i="23"/>
  <c r="F73" i="11"/>
  <c r="F62" i="11"/>
  <c r="F78" i="11"/>
  <c r="F76" i="11"/>
  <c r="AD13" i="23"/>
  <c r="F66" i="11"/>
  <c r="F82" i="11"/>
  <c r="F60" i="11"/>
  <c r="F81" i="11"/>
  <c r="F72" i="11"/>
  <c r="F69" i="11"/>
  <c r="F79" i="11"/>
  <c r="F85" i="11"/>
  <c r="F94" i="11"/>
  <c r="AG14" i="23"/>
  <c r="AX31" i="23" s="1"/>
  <c r="F46" i="11"/>
  <c r="F75" i="11"/>
  <c r="AM14" i="23"/>
  <c r="AM16" i="23"/>
  <c r="F59" i="11"/>
  <c r="S60" i="11"/>
  <c r="S86" i="11"/>
  <c r="S59" i="11"/>
  <c r="S84" i="11"/>
  <c r="AK28" i="23"/>
  <c r="S71" i="11"/>
  <c r="S62" i="11"/>
  <c r="S49" i="11"/>
  <c r="S48" i="11" s="1"/>
  <c r="S74" i="11"/>
  <c r="S56" i="11"/>
  <c r="S68" i="11"/>
  <c r="S75" i="11"/>
  <c r="AG28" i="23"/>
  <c r="BD91" i="23" s="1"/>
  <c r="S76" i="11"/>
  <c r="S72" i="11"/>
  <c r="S83" i="11"/>
  <c r="S46" i="11"/>
  <c r="S55" i="11"/>
  <c r="S78" i="11"/>
  <c r="S73" i="11"/>
  <c r="S61" i="11"/>
  <c r="S80" i="11"/>
  <c r="S63" i="11"/>
  <c r="S81" i="11"/>
  <c r="E39" i="23"/>
  <c r="S50" i="11"/>
  <c r="CG12" i="23"/>
  <c r="S57" i="11"/>
  <c r="S82" i="11"/>
  <c r="S58" i="11"/>
  <c r="S79" i="11"/>
  <c r="S64" i="11"/>
  <c r="S85" i="11"/>
  <c r="S69" i="11"/>
  <c r="S87" i="11"/>
  <c r="S77" i="11"/>
  <c r="S67" i="11"/>
  <c r="S65" i="11"/>
  <c r="AL28" i="23"/>
  <c r="S94" i="11"/>
  <c r="S66" i="11"/>
  <c r="L58" i="11"/>
  <c r="L64" i="11"/>
  <c r="L80" i="11"/>
  <c r="L66" i="11"/>
  <c r="L87" i="11"/>
  <c r="L83" i="11"/>
  <c r="L65" i="11"/>
  <c r="L67" i="11"/>
  <c r="C47" i="23"/>
  <c r="L81" i="11"/>
  <c r="L68" i="11"/>
  <c r="L84" i="11"/>
  <c r="L71" i="11"/>
  <c r="L70" i="11"/>
  <c r="L73" i="11"/>
  <c r="L50" i="11"/>
  <c r="L49" i="11"/>
  <c r="L48" i="11" s="1"/>
  <c r="L60" i="11"/>
  <c r="L72" i="11"/>
  <c r="L59" i="11"/>
  <c r="L77" i="11"/>
  <c r="L69" i="11"/>
  <c r="L78" i="11"/>
  <c r="L79" i="11"/>
  <c r="AG20" i="23"/>
  <c r="BH27" i="23" s="1"/>
  <c r="L46" i="11"/>
  <c r="L62" i="11"/>
  <c r="L76" i="11"/>
  <c r="L61" i="11"/>
  <c r="L82" i="11"/>
  <c r="L75" i="11"/>
  <c r="L85" i="11"/>
  <c r="L86" i="11"/>
  <c r="L74" i="11"/>
  <c r="BZ12" i="23"/>
  <c r="L56" i="11"/>
  <c r="AL20" i="23"/>
  <c r="L94" i="11"/>
  <c r="AK20" i="23"/>
  <c r="BF20" i="23" s="1"/>
  <c r="L57" i="11"/>
  <c r="L55" i="11"/>
  <c r="AB48" i="11" l="1"/>
  <c r="K48" i="11"/>
  <c r="AG48" i="11"/>
  <c r="AH48" i="11"/>
  <c r="G48" i="11"/>
  <c r="S51" i="11"/>
  <c r="T39" i="23" s="1"/>
  <c r="N39" i="23"/>
  <c r="AZ122" i="23" s="1"/>
  <c r="N41" i="23"/>
  <c r="N40" i="23" s="1"/>
  <c r="AF28" i="23"/>
  <c r="BD111" i="23" s="1"/>
  <c r="L51" i="11"/>
  <c r="S47" i="23" s="1"/>
  <c r="M47" i="23"/>
  <c r="AZ59" i="23" s="1"/>
  <c r="M49" i="23"/>
  <c r="M48" i="23" s="1"/>
  <c r="AF20" i="23"/>
  <c r="BF47" i="23" s="1"/>
  <c r="E41" i="23"/>
  <c r="E40" i="23"/>
  <c r="BD84" i="23"/>
  <c r="AK22" i="23"/>
  <c r="AZ173" i="23"/>
  <c r="G29" i="23"/>
  <c r="G28" i="23"/>
  <c r="K51" i="11"/>
  <c r="S43" i="23" s="1"/>
  <c r="AF19" i="23"/>
  <c r="BH47" i="23" s="1"/>
  <c r="M43" i="23"/>
  <c r="AZ58" i="23" s="1"/>
  <c r="M45" i="23"/>
  <c r="M44" i="23" s="1"/>
  <c r="Q11" i="23"/>
  <c r="AF51" i="11"/>
  <c r="W11" i="23" s="1"/>
  <c r="G49" i="23"/>
  <c r="G48" i="23"/>
  <c r="AZ176" i="23"/>
  <c r="N43" i="23"/>
  <c r="AZ123" i="23" s="1"/>
  <c r="N45" i="23"/>
  <c r="N44" i="23" s="1"/>
  <c r="AF29" i="23"/>
  <c r="BH111" i="23" s="1"/>
  <c r="T51" i="11"/>
  <c r="T43" i="23" s="1"/>
  <c r="AU26" i="23"/>
  <c r="AO15" i="23"/>
  <c r="F48" i="11"/>
  <c r="C21" i="23"/>
  <c r="C20" i="23"/>
  <c r="AE14" i="23"/>
  <c r="AS25" i="23" s="1"/>
  <c r="F51" i="11"/>
  <c r="S19" i="23" s="1"/>
  <c r="M19" i="23"/>
  <c r="W48" i="11"/>
  <c r="AO39" i="23"/>
  <c r="AZ147" i="23"/>
  <c r="E17" i="23"/>
  <c r="E16" i="23"/>
  <c r="BG147" i="23"/>
  <c r="AH44" i="23"/>
  <c r="E36" i="23"/>
  <c r="E37" i="23"/>
  <c r="T48" i="11"/>
  <c r="O11" i="23"/>
  <c r="V51" i="11"/>
  <c r="U11" i="23" s="1"/>
  <c r="AA51" i="11"/>
  <c r="V11" i="23" s="1"/>
  <c r="P11" i="23"/>
  <c r="AO40" i="23"/>
  <c r="AZ157" i="23"/>
  <c r="AG51" i="11"/>
  <c r="W27" i="23" s="1"/>
  <c r="Q27" i="23"/>
  <c r="Q28" i="23" s="1"/>
  <c r="Q29" i="23" s="1"/>
  <c r="BA175" i="23"/>
  <c r="I36" i="23"/>
  <c r="I37" i="23"/>
  <c r="AI12" i="23"/>
  <c r="BA21" i="23"/>
  <c r="D55" i="11"/>
  <c r="C17" i="23"/>
  <c r="C16" i="23"/>
  <c r="E21" i="23"/>
  <c r="E20" i="23"/>
  <c r="O48" i="11"/>
  <c r="P48" i="11"/>
  <c r="AU106" i="23"/>
  <c r="K48" i="23"/>
  <c r="K49" i="23"/>
  <c r="BB176" i="23"/>
  <c r="AH22" i="23"/>
  <c r="BA87" i="23"/>
  <c r="AU42" i="23"/>
  <c r="C24" i="23"/>
  <c r="C25" i="23"/>
  <c r="M23" i="23"/>
  <c r="AZ55" i="23" s="1"/>
  <c r="M25" i="23"/>
  <c r="M24" i="23" s="1"/>
  <c r="AF16" i="23"/>
  <c r="AX47" i="23" s="1"/>
  <c r="H51" i="11"/>
  <c r="S23" i="23" s="1"/>
  <c r="G37" i="23"/>
  <c r="G36" i="23"/>
  <c r="AZ175" i="23"/>
  <c r="AL14" i="23"/>
  <c r="AY23" i="23" s="1"/>
  <c r="AL13" i="23"/>
  <c r="BB23" i="23" s="1"/>
  <c r="J51" i="11"/>
  <c r="S39" i="23" s="1"/>
  <c r="AF18" i="23"/>
  <c r="BD47" i="23" s="1"/>
  <c r="M41" i="23"/>
  <c r="M40" i="23" s="1"/>
  <c r="M39" i="23"/>
  <c r="AZ57" i="23" s="1"/>
  <c r="G58" i="11"/>
  <c r="G93" i="11" s="1"/>
  <c r="J61" i="11"/>
  <c r="J92" i="11" s="1"/>
  <c r="BA23" i="23"/>
  <c r="AH12" i="23"/>
  <c r="AG49" i="23"/>
  <c r="AX8" i="23"/>
  <c r="R69" i="11"/>
  <c r="R93" i="11" s="1"/>
  <c r="D51" i="11"/>
  <c r="S11" i="23" s="1"/>
  <c r="M11" i="23"/>
  <c r="AI86" i="11"/>
  <c r="AI93" i="11" s="1"/>
  <c r="AC80" i="11"/>
  <c r="AC93" i="11" s="1"/>
  <c r="S70" i="11"/>
  <c r="S92" i="11" s="1"/>
  <c r="I60" i="11"/>
  <c r="I92" i="11" s="1"/>
  <c r="X75" i="11"/>
  <c r="X92" i="11" s="1"/>
  <c r="AL23" i="23"/>
  <c r="BB87" i="23" s="1"/>
  <c r="AL24" i="23"/>
  <c r="AO24" i="23" s="1"/>
  <c r="AY34" i="23"/>
  <c r="AT157" i="23"/>
  <c r="AO34" i="23"/>
  <c r="AX89" i="23"/>
  <c r="AI22" i="23"/>
  <c r="BA85" i="23"/>
  <c r="AJ44" i="23"/>
  <c r="BJ146" i="23"/>
  <c r="K13" i="23"/>
  <c r="K12" i="23"/>
  <c r="BB172" i="23"/>
  <c r="K51" i="23"/>
  <c r="L11" i="23" s="1"/>
  <c r="BH142" i="23" s="1"/>
  <c r="O47" i="23"/>
  <c r="Z51" i="11"/>
  <c r="U47" i="23" s="1"/>
  <c r="AF36" i="23"/>
  <c r="AX164" i="23" s="1"/>
  <c r="O49" i="23"/>
  <c r="O48" i="23" s="1"/>
  <c r="E44" i="23"/>
  <c r="E45" i="23"/>
  <c r="K36" i="23"/>
  <c r="K37" i="23"/>
  <c r="L37" i="23" s="1"/>
  <c r="BB175" i="23"/>
  <c r="AJ32" i="23"/>
  <c r="AX146" i="23"/>
  <c r="BA174" i="23"/>
  <c r="I33" i="23"/>
  <c r="I32" i="23"/>
  <c r="AJ38" i="23"/>
  <c r="BD146" i="23"/>
  <c r="BD151" i="23"/>
  <c r="BF161" i="23"/>
  <c r="AH51" i="11"/>
  <c r="W31" i="23" s="1"/>
  <c r="Q31" i="23"/>
  <c r="Q32" i="23" s="1"/>
  <c r="Q33" i="23" s="1"/>
  <c r="I29" i="23"/>
  <c r="BA173" i="23"/>
  <c r="I28" i="23"/>
  <c r="P35" i="23"/>
  <c r="P37" i="23"/>
  <c r="P36" i="23" s="1"/>
  <c r="AF41" i="23"/>
  <c r="BB164" i="23" s="1"/>
  <c r="AD51" i="11"/>
  <c r="V35" i="23" s="1"/>
  <c r="O51" i="11"/>
  <c r="T19" i="23" s="1"/>
  <c r="N19" i="23"/>
  <c r="E28" i="23"/>
  <c r="E29" i="23"/>
  <c r="I48" i="23"/>
  <c r="I49" i="23"/>
  <c r="BA176" i="23"/>
  <c r="AJ22" i="23"/>
  <c r="BD86" i="23"/>
  <c r="AT136" i="23"/>
  <c r="M27" i="23"/>
  <c r="G51" i="11"/>
  <c r="S27" i="23" s="1"/>
  <c r="X51" i="11"/>
  <c r="U31" i="23" s="1"/>
  <c r="O31" i="23"/>
  <c r="O32" i="23" s="1"/>
  <c r="O33" i="23" s="1"/>
  <c r="AT161" i="23"/>
  <c r="X48" i="11"/>
  <c r="AK12" i="23"/>
  <c r="BD20" i="23"/>
  <c r="J48" i="11"/>
  <c r="E56" i="11"/>
  <c r="E92" i="11" s="1"/>
  <c r="F11" i="20"/>
  <c r="G10" i="20" s="1"/>
  <c r="G11" i="20"/>
  <c r="G8" i="20"/>
  <c r="Z77" i="11"/>
  <c r="Z92" i="11" s="1"/>
  <c r="AG84" i="11"/>
  <c r="AG92" i="11" s="1"/>
  <c r="AS73" i="23"/>
  <c r="H59" i="11"/>
  <c r="H92" i="11" s="1"/>
  <c r="M64" i="11"/>
  <c r="M92" i="11" s="1"/>
  <c r="AD81" i="11"/>
  <c r="AD93" i="11" s="1"/>
  <c r="AB79" i="11"/>
  <c r="AB92" i="11" s="1"/>
  <c r="C49" i="23"/>
  <c r="C48" i="23"/>
  <c r="BF147" i="23"/>
  <c r="AO45" i="23"/>
  <c r="C45" i="23"/>
  <c r="C44" i="23"/>
  <c r="N51" i="11"/>
  <c r="T15" i="23" s="1"/>
  <c r="N15" i="23"/>
  <c r="AF27" i="23"/>
  <c r="AV111" i="23" s="1"/>
  <c r="N37" i="23"/>
  <c r="N36" i="23" s="1"/>
  <c r="N35" i="23"/>
  <c r="AZ121" i="23" s="1"/>
  <c r="R51" i="11"/>
  <c r="T35" i="23" s="1"/>
  <c r="Q37" i="23"/>
  <c r="Q36" i="23" s="1"/>
  <c r="AF47" i="23"/>
  <c r="BH164" i="23" s="1"/>
  <c r="AI51" i="11"/>
  <c r="W35" i="23" s="1"/>
  <c r="Q35" i="23"/>
  <c r="AH32" i="23"/>
  <c r="AU147" i="23"/>
  <c r="C36" i="23"/>
  <c r="C37" i="23"/>
  <c r="E25" i="23"/>
  <c r="E24" i="23"/>
  <c r="AC51" i="11"/>
  <c r="V31" i="23" s="1"/>
  <c r="P31" i="23"/>
  <c r="P32" i="23" s="1"/>
  <c r="P33" i="23" s="1"/>
  <c r="AH38" i="23"/>
  <c r="BA147" i="23"/>
  <c r="N27" i="23"/>
  <c r="P51" i="11"/>
  <c r="T27" i="23" s="1"/>
  <c r="E48" i="23"/>
  <c r="E49" i="23"/>
  <c r="N47" i="23"/>
  <c r="AZ124" i="23" s="1"/>
  <c r="AF30" i="23"/>
  <c r="BF111" i="23" s="1"/>
  <c r="U51" i="11"/>
  <c r="T47" i="23" s="1"/>
  <c r="N49" i="23"/>
  <c r="N48" i="23" s="1"/>
  <c r="AF48" i="23"/>
  <c r="BJ164" i="23" s="1"/>
  <c r="Q49" i="23"/>
  <c r="Q48" i="23" s="1"/>
  <c r="Q47" i="23"/>
  <c r="AJ51" i="11"/>
  <c r="W47" i="23" s="1"/>
  <c r="N11" i="23"/>
  <c r="M51" i="11"/>
  <c r="T11" i="23" s="1"/>
  <c r="C28" i="23"/>
  <c r="C29" i="23"/>
  <c r="O35" i="23"/>
  <c r="AF35" i="23"/>
  <c r="AV164" i="23" s="1"/>
  <c r="Y51" i="11"/>
  <c r="U35" i="23" s="1"/>
  <c r="O37" i="23"/>
  <c r="O36" i="23" s="1"/>
  <c r="AZ174" i="23"/>
  <c r="G32" i="23"/>
  <c r="G33" i="23"/>
  <c r="J93" i="11"/>
  <c r="J95" i="11" s="1"/>
  <c r="K62" i="11"/>
  <c r="K92" i="11" s="1"/>
  <c r="BF21" i="23"/>
  <c r="BH22" i="23"/>
  <c r="T71" i="11"/>
  <c r="T93" i="11" s="1"/>
  <c r="P67" i="11"/>
  <c r="P93" i="11" s="1"/>
  <c r="Q68" i="11"/>
  <c r="Q93" i="11" s="1"/>
  <c r="AJ87" i="11"/>
  <c r="AJ92" i="11" s="1"/>
  <c r="O66" i="11"/>
  <c r="O93" i="11" s="1"/>
  <c r="C49" i="11"/>
  <c r="D48" i="11"/>
  <c r="C48" i="11" s="1"/>
  <c r="AH85" i="11"/>
  <c r="AH92" i="11" s="1"/>
  <c r="AF83" i="11"/>
  <c r="AF92" i="11" s="1"/>
  <c r="V73" i="11"/>
  <c r="V93" i="11" s="1"/>
  <c r="AO25" i="23"/>
  <c r="AU90" i="23"/>
  <c r="O27" i="23"/>
  <c r="O28" i="23" s="1"/>
  <c r="O29" i="23" s="1"/>
  <c r="W51" i="11"/>
  <c r="U27" i="23" s="1"/>
  <c r="AZ172" i="23"/>
  <c r="G51" i="23"/>
  <c r="G12" i="23"/>
  <c r="G13" i="23"/>
  <c r="M37" i="23"/>
  <c r="M36" i="23" s="1"/>
  <c r="AF17" i="23"/>
  <c r="AV47" i="23" s="1"/>
  <c r="I51" i="11"/>
  <c r="S35" i="23" s="1"/>
  <c r="M35" i="23"/>
  <c r="AZ56" i="23" s="1"/>
  <c r="N23" i="23"/>
  <c r="AZ120" i="23" s="1"/>
  <c r="AF26" i="23"/>
  <c r="AX111" i="23" s="1"/>
  <c r="Q51" i="11"/>
  <c r="T23" i="23" s="1"/>
  <c r="N25" i="23"/>
  <c r="N24" i="23" s="1"/>
  <c r="AZ161" i="23"/>
  <c r="I13" i="23"/>
  <c r="I12" i="23"/>
  <c r="BA172" i="23"/>
  <c r="I51" i="23"/>
  <c r="J11" i="23" s="1"/>
  <c r="BB142" i="23" s="1"/>
  <c r="K33" i="23"/>
  <c r="L33" i="23" s="1"/>
  <c r="BB174" i="23"/>
  <c r="K32" i="23"/>
  <c r="L32" i="23" s="1"/>
  <c r="L31" i="23"/>
  <c r="BH156" i="23" s="1"/>
  <c r="AB51" i="11"/>
  <c r="V27" i="23" s="1"/>
  <c r="P27" i="23"/>
  <c r="P28" i="23" s="1"/>
  <c r="P29" i="23" s="1"/>
  <c r="K29" i="23"/>
  <c r="L29" i="23" s="1"/>
  <c r="K28" i="23"/>
  <c r="L28" i="23" s="1"/>
  <c r="BB173" i="23"/>
  <c r="L27" i="23"/>
  <c r="BH150" i="23" s="1"/>
  <c r="AG93" i="11"/>
  <c r="AO46" i="23"/>
  <c r="BF157" i="23"/>
  <c r="E51" i="11"/>
  <c r="S15" i="23" s="1"/>
  <c r="M15" i="23"/>
  <c r="AD14" i="23"/>
  <c r="AY98" i="23"/>
  <c r="AT147" i="23"/>
  <c r="AO33" i="23"/>
  <c r="AF42" i="23"/>
  <c r="BD164" i="23" s="1"/>
  <c r="AE51" i="11"/>
  <c r="V47" i="23" s="1"/>
  <c r="P49" i="23"/>
  <c r="P48" i="23" s="1"/>
  <c r="P47" i="23"/>
  <c r="E13" i="23"/>
  <c r="E12" i="23"/>
  <c r="E51" i="23"/>
  <c r="F39" i="23" s="1"/>
  <c r="BD96" i="23" s="1"/>
  <c r="C40" i="23"/>
  <c r="C41" i="23"/>
  <c r="F57" i="11"/>
  <c r="F92" i="11" s="1"/>
  <c r="L63" i="11"/>
  <c r="L93" i="11" s="1"/>
  <c r="AJ12" i="23"/>
  <c r="BD22" i="23"/>
  <c r="C94" i="11"/>
  <c r="AZ8" i="23"/>
  <c r="W74" i="11"/>
  <c r="W93" i="11" s="1"/>
  <c r="C46" i="11"/>
  <c r="AE82" i="11"/>
  <c r="AE92" i="11" s="1"/>
  <c r="N65" i="11"/>
  <c r="N93" i="11" s="1"/>
  <c r="C51" i="23"/>
  <c r="D27" i="23" s="1"/>
  <c r="AV37" i="23" s="1"/>
  <c r="C12" i="23"/>
  <c r="C13" i="23"/>
  <c r="Y76" i="11"/>
  <c r="Y93" i="11" s="1"/>
  <c r="AA78" i="11"/>
  <c r="AA92" i="11" s="1"/>
  <c r="U72" i="11"/>
  <c r="U92" i="11" s="1"/>
  <c r="AO38" i="23" l="1"/>
  <c r="AO16" i="23"/>
  <c r="X93" i="11"/>
  <c r="X95" i="11" s="1"/>
  <c r="M93" i="11"/>
  <c r="M95" i="11" s="1"/>
  <c r="AO26" i="23"/>
  <c r="AO23" i="23"/>
  <c r="AO44" i="23"/>
  <c r="Q92" i="11"/>
  <c r="Q95" i="11" s="1"/>
  <c r="T92" i="11"/>
  <c r="S93" i="11"/>
  <c r="AB93" i="11"/>
  <c r="AB95" i="11" s="1"/>
  <c r="D13" i="23"/>
  <c r="N92" i="11"/>
  <c r="N95" i="11" s="1"/>
  <c r="L92" i="11"/>
  <c r="L95" i="11" s="1"/>
  <c r="D39" i="23"/>
  <c r="BD31" i="23" s="1"/>
  <c r="J13" i="23"/>
  <c r="AI92" i="11"/>
  <c r="AI95" i="11" s="1"/>
  <c r="R92" i="11"/>
  <c r="R95" i="11" s="1"/>
  <c r="AO22" i="23"/>
  <c r="D12" i="23"/>
  <c r="AH93" i="11"/>
  <c r="AH95" i="11" s="1"/>
  <c r="L35" i="23"/>
  <c r="BH162" i="23" s="1"/>
  <c r="H51" i="23"/>
  <c r="V92" i="11"/>
  <c r="V95" i="11" s="1"/>
  <c r="AO32" i="23"/>
  <c r="S95" i="11"/>
  <c r="AO41" i="23"/>
  <c r="AO42" i="23" s="1"/>
  <c r="Y92" i="11"/>
  <c r="Y95" i="11" s="1"/>
  <c r="F11" i="23"/>
  <c r="AY75" i="23" s="1"/>
  <c r="O92" i="11"/>
  <c r="O95" i="11" s="1"/>
  <c r="H93" i="11"/>
  <c r="H95" i="11" s="1"/>
  <c r="AC92" i="11"/>
  <c r="AC95" i="11" s="1"/>
  <c r="AO12" i="23"/>
  <c r="J12" i="23"/>
  <c r="T95" i="11"/>
  <c r="AF49" i="23"/>
  <c r="D51" i="23"/>
  <c r="D41" i="23"/>
  <c r="F12" i="23"/>
  <c r="D11" i="23"/>
  <c r="AY11" i="23" s="1"/>
  <c r="W92" i="11"/>
  <c r="W95" i="11" s="1"/>
  <c r="D40" i="23"/>
  <c r="F13" i="23"/>
  <c r="S17" i="23"/>
  <c r="S16" i="23"/>
  <c r="J51" i="23"/>
  <c r="H12" i="23"/>
  <c r="P92" i="11"/>
  <c r="P95" i="11" s="1"/>
  <c r="H32" i="23"/>
  <c r="U37" i="23"/>
  <c r="U36" i="23"/>
  <c r="D28" i="23"/>
  <c r="N12" i="23"/>
  <c r="N13" i="23"/>
  <c r="AZ116" i="23"/>
  <c r="F48" i="23"/>
  <c r="F23" i="23"/>
  <c r="AY101" i="23" s="1"/>
  <c r="D35" i="23"/>
  <c r="AV43" i="23" s="1"/>
  <c r="T36" i="23"/>
  <c r="T37" i="23"/>
  <c r="Z93" i="11"/>
  <c r="Z95" i="11" s="1"/>
  <c r="D43" i="23"/>
  <c r="BF31" i="23" s="1"/>
  <c r="S29" i="23"/>
  <c r="S28" i="23"/>
  <c r="J47" i="23"/>
  <c r="BD155" i="23" s="1"/>
  <c r="F29" i="23"/>
  <c r="V37" i="23"/>
  <c r="V36" i="23"/>
  <c r="J28" i="23"/>
  <c r="AA93" i="11"/>
  <c r="AA95" i="11" s="1"/>
  <c r="J32" i="23"/>
  <c r="L36" i="23"/>
  <c r="F43" i="23"/>
  <c r="BH96" i="23" s="1"/>
  <c r="L12" i="23"/>
  <c r="S13" i="23"/>
  <c r="S12" i="23"/>
  <c r="S51" i="23"/>
  <c r="G92" i="11"/>
  <c r="G95" i="11" s="1"/>
  <c r="S25" i="23"/>
  <c r="S24" i="23"/>
  <c r="D25" i="23"/>
  <c r="AO27" i="23"/>
  <c r="AO28" i="23" s="1"/>
  <c r="AO29" i="23" s="1"/>
  <c r="AO30" i="23" s="1"/>
  <c r="F20" i="23"/>
  <c r="D15" i="23"/>
  <c r="BB27" i="23" s="1"/>
  <c r="I93" i="11"/>
  <c r="I95" i="11" s="1"/>
  <c r="F37" i="23"/>
  <c r="F15" i="23"/>
  <c r="BB91" i="23" s="1"/>
  <c r="S21" i="23"/>
  <c r="S20" i="23"/>
  <c r="D21" i="23"/>
  <c r="T45" i="23"/>
  <c r="T44" i="23"/>
  <c r="W51" i="23"/>
  <c r="W12" i="23"/>
  <c r="W13" i="23"/>
  <c r="H29" i="23"/>
  <c r="W48" i="23"/>
  <c r="W49" i="23"/>
  <c r="AE93" i="11"/>
  <c r="AE95" i="11" s="1"/>
  <c r="T28" i="23"/>
  <c r="T29" i="23"/>
  <c r="F24" i="23"/>
  <c r="D36" i="23"/>
  <c r="W36" i="23"/>
  <c r="W37" i="23"/>
  <c r="AF93" i="11"/>
  <c r="AF95" i="11" s="1"/>
  <c r="D44" i="23"/>
  <c r="D47" i="23"/>
  <c r="BH31" i="23" s="1"/>
  <c r="AD92" i="11"/>
  <c r="AD95" i="11" s="1"/>
  <c r="AZ54" i="23"/>
  <c r="M28" i="23"/>
  <c r="M29" i="23" s="1"/>
  <c r="J49" i="23"/>
  <c r="F28" i="23"/>
  <c r="J27" i="23"/>
  <c r="BB150" i="23" s="1"/>
  <c r="W32" i="23"/>
  <c r="W33" i="23"/>
  <c r="J33" i="23"/>
  <c r="L13" i="23"/>
  <c r="AY87" i="23"/>
  <c r="AX85" i="23"/>
  <c r="S41" i="23"/>
  <c r="S40" i="23"/>
  <c r="H36" i="23"/>
  <c r="D24" i="23"/>
  <c r="L49" i="23"/>
  <c r="F21" i="23"/>
  <c r="D17" i="23"/>
  <c r="J35" i="23"/>
  <c r="BB162" i="23" s="1"/>
  <c r="U51" i="23"/>
  <c r="U12" i="23"/>
  <c r="U13" i="23"/>
  <c r="F36" i="23"/>
  <c r="F16" i="23"/>
  <c r="H47" i="23"/>
  <c r="AX155" i="23" s="1"/>
  <c r="Q13" i="23"/>
  <c r="Q12" i="23"/>
  <c r="S45" i="23"/>
  <c r="S44" i="23"/>
  <c r="V29" i="23"/>
  <c r="V28" i="23"/>
  <c r="F35" i="23"/>
  <c r="AV107" i="23" s="1"/>
  <c r="F51" i="23"/>
  <c r="AX25" i="23"/>
  <c r="AO14" i="23"/>
  <c r="H11" i="23"/>
  <c r="AV142" i="23" s="1"/>
  <c r="H31" i="23"/>
  <c r="AV156" i="23" s="1"/>
  <c r="F47" i="23"/>
  <c r="BF96" i="23" s="1"/>
  <c r="N28" i="23"/>
  <c r="N29" i="23" s="1"/>
  <c r="AZ119" i="23"/>
  <c r="F25" i="23"/>
  <c r="N16" i="23"/>
  <c r="N17" i="23" s="1"/>
  <c r="AZ117" i="23"/>
  <c r="D45" i="23"/>
  <c r="D48" i="23"/>
  <c r="U32" i="23"/>
  <c r="U33" i="23"/>
  <c r="AJ93" i="11"/>
  <c r="AJ95" i="11" s="1"/>
  <c r="J48" i="23"/>
  <c r="AZ118" i="23"/>
  <c r="N20" i="23"/>
  <c r="N21" i="23" s="1"/>
  <c r="AO47" i="23"/>
  <c r="AO48" i="23" s="1"/>
  <c r="F45" i="23"/>
  <c r="L51" i="23"/>
  <c r="F93" i="11"/>
  <c r="F95" i="11" s="1"/>
  <c r="H37" i="23"/>
  <c r="D23" i="23"/>
  <c r="AY37" i="23" s="1"/>
  <c r="L48" i="23"/>
  <c r="F19" i="23"/>
  <c r="AY94" i="23" s="1"/>
  <c r="E93" i="11"/>
  <c r="E95" i="11" s="1"/>
  <c r="J37" i="23"/>
  <c r="P12" i="23"/>
  <c r="P13" i="23"/>
  <c r="O13" i="23"/>
  <c r="O12" i="23"/>
  <c r="F17" i="23"/>
  <c r="D19" i="23"/>
  <c r="AY30" i="23" s="1"/>
  <c r="H48" i="23"/>
  <c r="H27" i="23"/>
  <c r="AV150" i="23" s="1"/>
  <c r="AO13" i="23"/>
  <c r="F40" i="23"/>
  <c r="V48" i="23"/>
  <c r="V49" i="23"/>
  <c r="AZ52" i="23"/>
  <c r="M16" i="23"/>
  <c r="M17" i="23" s="1"/>
  <c r="T25" i="23"/>
  <c r="T24" i="23"/>
  <c r="S37" i="23"/>
  <c r="S36" i="23"/>
  <c r="H13" i="23"/>
  <c r="U29" i="23"/>
  <c r="U28" i="23"/>
  <c r="H33" i="23"/>
  <c r="D29" i="23"/>
  <c r="T51" i="23"/>
  <c r="T12" i="23"/>
  <c r="T13" i="23"/>
  <c r="T48" i="23"/>
  <c r="T49" i="23"/>
  <c r="F49" i="23"/>
  <c r="V33" i="23"/>
  <c r="V32" i="23"/>
  <c r="D37" i="23"/>
  <c r="T17" i="23"/>
  <c r="T16" i="23"/>
  <c r="D49" i="23"/>
  <c r="AG95" i="11"/>
  <c r="AO35" i="23"/>
  <c r="AO36" i="23" s="1"/>
  <c r="F27" i="23"/>
  <c r="AV101" i="23" s="1"/>
  <c r="T21" i="23"/>
  <c r="T20" i="23"/>
  <c r="J29" i="23"/>
  <c r="J31" i="23"/>
  <c r="BB156" i="23" s="1"/>
  <c r="F44" i="23"/>
  <c r="U48" i="23"/>
  <c r="U49" i="23"/>
  <c r="AZ51" i="23"/>
  <c r="M12" i="23"/>
  <c r="M13" i="23"/>
  <c r="H35" i="23"/>
  <c r="AV162" i="23" s="1"/>
  <c r="AO17" i="23"/>
  <c r="AO18" i="23" s="1"/>
  <c r="AO19" i="23" s="1"/>
  <c r="AO20" i="23" s="1"/>
  <c r="L47" i="23"/>
  <c r="BJ155" i="23" s="1"/>
  <c r="U93" i="11"/>
  <c r="U95" i="11" s="1"/>
  <c r="D16" i="23"/>
  <c r="D92" i="11"/>
  <c r="D93" i="11"/>
  <c r="J36" i="23"/>
  <c r="W29" i="23"/>
  <c r="W28" i="23"/>
  <c r="V13" i="23"/>
  <c r="V12" i="23"/>
  <c r="V51" i="23"/>
  <c r="K93" i="11"/>
  <c r="K95" i="11" s="1"/>
  <c r="M20" i="23"/>
  <c r="M21" i="23" s="1"/>
  <c r="AZ53" i="23"/>
  <c r="D20" i="23"/>
  <c r="H49" i="23"/>
  <c r="H28" i="23"/>
  <c r="F41" i="23"/>
  <c r="S49" i="23"/>
  <c r="S48" i="23"/>
  <c r="T40" i="23"/>
  <c r="T41" i="23"/>
  <c r="AO49" i="23" l="1"/>
  <c r="C93" i="11"/>
  <c r="C92" i="11"/>
  <c r="C95" i="11" s="1"/>
  <c r="D95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<sst xmlns="http://schemas.openxmlformats.org/spreadsheetml/2006/main" count="14981" uniqueCount="4056">
  <si>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</si>
  <si>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</si>
  <si>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</si>
  <si>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</si>
  <si>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</si>
  <si>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</si>
  <si>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</si>
  <si>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</si>
  <si>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</si>
  <si>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</si>
  <si>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</si>
  <si>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</si>
  <si>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</si>
  <si>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</si>
  <si>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</si>
  <si>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</si>
  <si>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</si>
  <si>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</si>
  <si>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</si>
  <si>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</si>
  <si>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</si>
  <si>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</si>
  <si>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</si>
  <si>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</si>
  <si>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</si>
  <si>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</si>
  <si>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</si>
  <si>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</si>
  <si>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</si>
  <si>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</si>
  <si>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</si>
  <si>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</si>
  <si>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</si>
  <si>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</si>
  <si>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</si>
  <si>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</si>
  <si>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</si>
  <si>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</si>
  <si>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</si>
  <si>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</si>
  <si>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</si>
  <si>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</si>
  <si>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</si>
  <si>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</si>
  <si>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</si>
  <si>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</si>
  <si>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</si>
  <si>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</si>
  <si>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</si>
  <si>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</si>
  <si>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</si>
  <si>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</si>
  <si>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</si>
  <si>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</si>
  <si>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</si>
  <si>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</si>
  <si>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</si>
  <si>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</si>
  <si>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</si>
  <si>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</si>
  <si>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</si>
  <si>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</si>
  <si>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</si>
  <si>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</si>
  <si>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</si>
  <si>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</si>
  <si>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</si>
  <si>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</si>
  <si>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</si>
  <si>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</si>
  <si>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</si>
  <si>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</si>
  <si>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</si>
  <si>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</si>
  <si>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</si>
  <si>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</si>
  <si>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</si>
  <si>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</si>
  <si>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</si>
  <si>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</si>
  <si>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</si>
  <si>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</si>
  <si>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</si>
  <si>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</si>
  <si>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</si>
  <si>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</si>
  <si>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</si>
  <si>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</si>
  <si>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</si>
  <si>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</si>
  <si>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</si>
  <si>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</si>
  <si>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</si>
  <si>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</si>
  <si>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</si>
  <si>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</si>
  <si>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</si>
  <si>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</si>
  <si>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</si>
  <si>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</si>
  <si>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</si>
  <si>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</si>
  <si>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</si>
  <si>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</si>
  <si>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</si>
  <si>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</si>
  <si>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</si>
  <si>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</si>
  <si>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</si>
  <si>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</si>
  <si>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</si>
  <si>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</si>
  <si>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</si>
  <si>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</si>
  <si>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</si>
  <si>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</si>
  <si>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</si>
  <si>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</si>
  <si>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</si>
  <si>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</si>
  <si>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</si>
  <si>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</si>
  <si>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</si>
  <si>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</si>
  <si>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</si>
  <si>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</si>
  <si>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</si>
  <si>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</si>
  <si>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</si>
  <si>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</si>
  <si>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</si>
  <si>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</si>
  <si>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</si>
  <si>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</si>
  <si>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</si>
  <si>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</si>
  <si>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</si>
  <si>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</si>
  <si>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</si>
  <si>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</si>
  <si>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</si>
  <si>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</si>
  <si>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</si>
  <si>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</si>
  <si>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</si>
  <si>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</si>
  <si>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</si>
  <si>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</si>
  <si>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</si>
  <si>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</si>
  <si>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</si>
  <si>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</si>
  <si>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</si>
  <si>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</si>
  <si>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</si>
  <si>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</si>
  <si>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</si>
  <si>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</si>
  <si>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</si>
  <si>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</si>
  <si>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</si>
  <si>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</si>
  <si>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</si>
  <si>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</si>
  <si>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</si>
  <si>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</si>
  <si>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</si>
  <si>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</si>
  <si>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</si>
  <si>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</si>
  <si>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</si>
  <si>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</si>
  <si>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</si>
  <si>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</si>
  <si>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</si>
  <si>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</si>
  <si>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</si>
  <si>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</si>
  <si>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</si>
  <si>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</si>
  <si>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</si>
  <si>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</si>
  <si>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</si>
  <si>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</si>
  <si>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</si>
  <si>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</si>
  <si>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</si>
  <si>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</si>
  <si>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</si>
  <si>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</si>
  <si>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</si>
  <si>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</si>
  <si>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</si>
  <si>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</si>
  <si>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</si>
  <si>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</si>
  <si>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</si>
  <si>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</si>
  <si>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</si>
  <si>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</si>
  <si>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</si>
  <si>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</si>
  <si>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</si>
  <si>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</si>
  <si>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</si>
  <si>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</si>
  <si>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</si>
  <si>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</si>
  <si>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</si>
  <si>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</si>
  <si>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</si>
  <si>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</si>
  <si>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</si>
  <si>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</si>
  <si>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</si>
  <si>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</si>
  <si>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</si>
  <si>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</si>
  <si>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</si>
  <si>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</si>
  <si>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</si>
  <si>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</si>
  <si>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</si>
  <si>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</si>
  <si>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</si>
  <si>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</si>
  <si>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</si>
  <si>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</si>
  <si>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</si>
  <si>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</si>
  <si>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</si>
  <si>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</si>
  <si>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</si>
  <si>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</si>
  <si>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</si>
  <si>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</si>
  <si>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</si>
  <si>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</si>
  <si>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</si>
  <si>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</si>
  <si>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</si>
  <si>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</si>
  <si>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</si>
  <si>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</si>
  <si>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</si>
  <si>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</si>
  <si>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</si>
  <si>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</si>
  <si>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</si>
  <si>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</si>
  <si>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</si>
  <si>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</si>
  <si>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</si>
  <si>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</si>
  <si>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</si>
  <si>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</si>
  <si>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</si>
  <si>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</si>
  <si>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</si>
  <si>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</si>
  <si>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</si>
  <si>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</si>
  <si>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</si>
  <si>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</si>
  <si>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</si>
  <si>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</si>
  <si>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</si>
  <si>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</si>
  <si>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</si>
  <si>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</si>
  <si>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</si>
  <si>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</si>
  <si>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</si>
  <si>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</si>
  <si>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</si>
  <si>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</si>
  <si>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</si>
  <si>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</si>
  <si>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</si>
  <si>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</si>
  <si>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</si>
  <si>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</si>
  <si>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</si>
  <si>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</si>
  <si>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</si>
  <si>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</si>
  <si>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</si>
  <si>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</si>
  <si>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</si>
  <si>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</si>
  <si>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</si>
  <si>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</si>
  <si>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</si>
  <si>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</si>
  <si>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</si>
  <si>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</si>
  <si>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</si>
  <si>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</si>
  <si>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</si>
  <si>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</si>
  <si>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</si>
  <si>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</si>
  <si>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</si>
  <si>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</si>
  <si>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</si>
  <si>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</si>
  <si>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</si>
  <si>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</si>
  <si>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</si>
  <si>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</si>
  <si>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</si>
  <si>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</si>
  <si>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</si>
  <si>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</si>
  <si>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</si>
  <si>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</si>
  <si>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</si>
  <si>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</si>
  <si>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</si>
  <si>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</si>
  <si>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</si>
  <si>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</si>
  <si>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</si>
  <si>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</si>
  <si>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</si>
  <si>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</si>
  <si>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</si>
  <si>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</si>
  <si>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</si>
  <si>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</si>
  <si>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</si>
  <si>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</si>
  <si>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</si>
  <si>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</si>
  <si>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</si>
  <si>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</si>
  <si>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</si>
  <si>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</si>
  <si>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</si>
  <si>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</si>
  <si>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</si>
  <si>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</si>
  <si>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</si>
  <si>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</si>
  <si>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</si>
  <si>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</si>
  <si>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</si>
  <si>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</si>
  <si>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</si>
  <si>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</si>
  <si>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</si>
  <si>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</si>
  <si>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</si>
  <si>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</si>
  <si>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</si>
  <si>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</si>
  <si>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</si>
  <si>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</si>
  <si>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</si>
  <si>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</si>
  <si>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</si>
  <si>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</si>
  <si>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</si>
  <si>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</si>
  <si>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</si>
  <si>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</si>
  <si>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</si>
  <si>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</si>
  <si>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</si>
  <si>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</si>
  <si>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</si>
  <si>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</si>
  <si>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</si>
  <si>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</si>
  <si>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</si>
  <si>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</si>
  <si>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</si>
  <si>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</si>
  <si>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</si>
  <si>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</si>
  <si>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</si>
  <si>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</si>
  <si>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</si>
  <si>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</si>
  <si>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</si>
  <si>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</si>
  <si>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</si>
  <si>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</si>
  <si>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</si>
  <si>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</si>
  <si>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</si>
  <si>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</si>
  <si>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</si>
  <si>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</si>
  <si>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</si>
  <si>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</si>
  <si>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</si>
  <si>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</si>
  <si>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</si>
  <si>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</si>
  <si>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</si>
  <si>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</si>
  <si>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</si>
  <si>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</si>
  <si>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</si>
  <si>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</si>
  <si>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</si>
  <si>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</si>
  <si>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</si>
  <si>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</si>
  <si>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</si>
  <si>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</si>
  <si>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</si>
  <si>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</si>
  <si>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</si>
  <si>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</si>
  <si>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</si>
  <si>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</si>
  <si>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</si>
  <si>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</si>
  <si>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</si>
  <si>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</si>
  <si>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</si>
  <si>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</si>
  <si>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</si>
  <si>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</si>
  <si>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</si>
  <si>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</si>
  <si>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</si>
  <si>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</si>
  <si>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</si>
  <si>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</si>
  <si>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</si>
  <si>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</si>
  <si>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</si>
  <si>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</si>
  <si>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</si>
  <si>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</si>
  <si>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</si>
  <si>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</si>
  <si>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</si>
  <si>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</si>
  <si>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</si>
  <si>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</si>
  <si>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</si>
  <si>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</si>
  <si>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</si>
  <si>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</si>
  <si>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</si>
  <si>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</si>
  <si>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</si>
  <si>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</si>
  <si>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</si>
  <si>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</si>
  <si>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</si>
  <si>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</si>
  <si>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</si>
  <si>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</si>
  <si>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</si>
  <si>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</si>
  <si>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</si>
  <si>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</si>
  <si>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</si>
  <si>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</si>
  <si>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</si>
  <si>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</si>
  <si>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</si>
  <si>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</si>
  <si>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</si>
  <si>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</si>
  <si>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</si>
  <si>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</si>
  <si>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</si>
  <si>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</si>
  <si>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</si>
  <si>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</si>
  <si>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</si>
  <si>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</si>
  <si>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</si>
  <si>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</si>
  <si>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</si>
  <si>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</si>
  <si>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</si>
  <si>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</si>
  <si>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</si>
  <si>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</si>
  <si>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</si>
  <si>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</si>
  <si>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</si>
  <si>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</si>
  <si>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</si>
  <si>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</si>
  <si>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</si>
  <si>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</si>
  <si>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</si>
  <si>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</si>
  <si>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</si>
  <si>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</si>
  <si>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</si>
  <si>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</si>
  <si>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</si>
  <si>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</si>
  <si>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</si>
  <si>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</si>
  <si>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</si>
  <si>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</si>
  <si>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</si>
  <si>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</si>
  <si>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</si>
  <si>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</si>
  <si>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</si>
  <si>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</si>
  <si>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</si>
  <si>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</si>
  <si>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</si>
  <si>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</si>
  <si>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</si>
  <si>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</si>
  <si>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</si>
  <si>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</si>
  <si>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</si>
  <si>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</si>
  <si>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</si>
  <si>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</si>
  <si>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</si>
  <si>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</si>
  <si>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</si>
  <si>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</si>
  <si>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</si>
  <si>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</si>
  <si>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</si>
  <si>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</si>
  <si>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</si>
  <si>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</si>
  <si>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</si>
  <si>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</si>
  <si>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</si>
  <si>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</si>
  <si>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</si>
  <si>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</si>
  <si>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</si>
  <si>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</si>
  <si>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</si>
  <si>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</si>
  <si>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</si>
  <si>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</si>
  <si>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</si>
  <si>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</si>
  <si>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</si>
  <si>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</si>
  <si>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</si>
  <si>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</si>
  <si>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</si>
  <si>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</si>
  <si>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</si>
  <si>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</si>
  <si>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</si>
  <si>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</si>
  <si>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</si>
  <si>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</si>
  <si>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</si>
  <si>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</si>
  <si>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</si>
  <si>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</si>
  <si>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</si>
  <si>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</si>
  <si>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</si>
  <si>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</si>
  <si>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</si>
  <si>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</si>
  <si>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</si>
  <si>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</si>
  <si>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</si>
  <si>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</si>
  <si>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</si>
  <si>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</si>
  <si>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</si>
  <si>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</si>
  <si>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</si>
  <si>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</si>
  <si>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</si>
  <si>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</si>
  <si>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</si>
  <si>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</si>
  <si>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</si>
  <si>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</si>
  <si>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</si>
  <si>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</si>
  <si>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</si>
  <si>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</si>
  <si>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</si>
  <si>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</si>
  <si>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</si>
  <si>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</si>
  <si>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</si>
  <si>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</si>
  <si>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</si>
  <si>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</si>
  <si>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</si>
  <si>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</si>
  <si>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</si>
  <si>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</si>
  <si>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</si>
  <si>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</si>
  <si>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</si>
  <si>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</si>
  <si>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</si>
  <si>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</si>
  <si>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</si>
  <si>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</si>
  <si>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</si>
  <si>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</si>
  <si>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</si>
  <si>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</si>
  <si>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</si>
  <si>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</si>
  <si>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</si>
  <si>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</si>
  <si>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</si>
  <si>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</si>
  <si>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</si>
  <si>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</si>
  <si>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</si>
  <si>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</si>
  <si>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</si>
  <si>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</si>
  <si>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</si>
  <si>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</si>
  <si>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</si>
  <si>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</si>
  <si>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</si>
  <si>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</si>
  <si>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</si>
  <si>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</si>
  <si>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</si>
  <si>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</si>
  <si>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</si>
  <si>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</si>
  <si>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</si>
  <si>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</si>
  <si>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</si>
  <si>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</si>
  <si>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</si>
  <si>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</si>
  <si>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</si>
  <si>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</si>
  <si>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</si>
  <si>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</si>
  <si>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</si>
  <si>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</si>
  <si>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</si>
  <si>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</si>
  <si>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</si>
  <si>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</si>
  <si>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</si>
  <si>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</si>
  <si>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</si>
  <si>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</si>
  <si>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</si>
  <si>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</si>
  <si>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</si>
  <si>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</si>
  <si>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</si>
  <si>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</si>
  <si>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</si>
  <si>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</si>
  <si>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</si>
  <si>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</si>
  <si>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</si>
  <si>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</si>
  <si>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</si>
  <si>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</si>
  <si>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</si>
  <si>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</si>
  <si>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</si>
  <si>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</si>
  <si>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</si>
  <si>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</si>
  <si>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</si>
  <si>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</si>
  <si>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</si>
  <si>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</si>
  <si>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</si>
  <si>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</si>
  <si>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</si>
  <si>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</si>
  <si>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</si>
  <si>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</si>
  <si>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</si>
  <si>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</si>
  <si>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</si>
  <si>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</si>
  <si>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</si>
  <si>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</si>
  <si>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</si>
  <si>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</si>
  <si>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</si>
  <si>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</si>
  <si>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</si>
  <si>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</si>
  <si>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</si>
  <si>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</si>
  <si>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</si>
  <si>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</si>
  <si>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</si>
  <si>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</si>
  <si>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</si>
  <si>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</si>
  <si>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</si>
  <si>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</si>
  <si>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</si>
  <si>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</si>
  <si>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</si>
  <si>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</si>
  <si>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</si>
  <si>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</si>
  <si>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</si>
  <si>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</si>
  <si>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</si>
  <si>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</si>
  <si>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</si>
  <si>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</si>
  <si>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</si>
  <si>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</si>
  <si>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</si>
  <si>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</si>
  <si>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</si>
  <si>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</si>
  <si>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</si>
  <si>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</si>
  <si>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</si>
  <si>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</si>
  <si>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</si>
  <si>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</si>
  <si>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</si>
  <si>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</si>
  <si>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</si>
  <si>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</si>
  <si>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</si>
  <si>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</si>
  <si>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</si>
  <si>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</si>
  <si>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</si>
  <si>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</si>
  <si>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</si>
  <si>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</si>
  <si>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</si>
  <si>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</si>
  <si>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</si>
  <si>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</si>
  <si>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</si>
  <si>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</si>
  <si>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</si>
  <si>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</si>
  <si>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</si>
  <si>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</si>
  <si>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</si>
  <si>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</si>
  <si>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</si>
  <si>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</si>
  <si>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</si>
  <si>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</si>
  <si>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</si>
  <si>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</si>
  <si>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</si>
  <si>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</si>
  <si>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</si>
  <si>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</si>
  <si>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</si>
  <si>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</si>
  <si>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</si>
  <si>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</si>
  <si>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</si>
  <si>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</si>
  <si>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</si>
  <si>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</si>
  <si>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</si>
  <si>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</si>
  <si>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</si>
  <si>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</si>
  <si>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</si>
  <si>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</si>
  <si>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</si>
  <si>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</si>
  <si>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</si>
  <si>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</si>
  <si>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</si>
  <si>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</si>
  <si>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</si>
  <si>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</si>
  <si>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</si>
  <si>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</si>
  <si>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</si>
  <si>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</si>
  <si>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</si>
  <si>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</si>
  <si>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</si>
  <si>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</si>
  <si>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</si>
  <si>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</si>
  <si>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</si>
  <si>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</si>
  <si>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</si>
  <si>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</si>
  <si>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</si>
  <si>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</si>
  <si>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</si>
  <si>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</si>
  <si>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</si>
  <si>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</si>
  <si>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</si>
  <si>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</si>
  <si>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</si>
  <si>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</si>
  <si>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</si>
  <si>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</si>
  <si>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</si>
  <si>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</si>
  <si>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</si>
  <si>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</si>
  <si>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</si>
  <si>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</si>
  <si>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</si>
  <si>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</si>
  <si>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</si>
  <si>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</si>
  <si>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</si>
  <si>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</si>
  <si>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</si>
  <si>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</si>
  <si>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</si>
  <si>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</si>
  <si>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</si>
  <si>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</si>
  <si>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</si>
  <si>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</si>
  <si>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</si>
  <si>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</si>
  <si>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</si>
  <si>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</si>
  <si>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</si>
  <si>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</si>
  <si>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</si>
  <si>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</si>
  <si>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</si>
  <si>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</si>
  <si>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</si>
  <si>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</si>
  <si>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</si>
  <si>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</si>
  <si>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</si>
  <si>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</si>
  <si>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</si>
  <si>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</si>
  <si>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</si>
  <si>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</si>
  <si>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</si>
  <si>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</si>
  <si>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</si>
  <si>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</si>
  <si>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</si>
  <si>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</si>
  <si>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</si>
  <si>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</si>
  <si>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</si>
  <si>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</si>
  <si>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</si>
  <si>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</si>
  <si>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</si>
  <si>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</si>
  <si>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</si>
  <si>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</si>
  <si>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</si>
  <si>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</si>
  <si>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</si>
  <si>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</si>
  <si>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</si>
  <si>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</si>
  <si>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</si>
  <si>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</si>
  <si>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</si>
  <si>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</si>
  <si>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</si>
  <si>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</si>
  <si>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</si>
  <si>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</si>
  <si>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</si>
  <si>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</si>
  <si>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</si>
  <si>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</si>
  <si>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</si>
  <si>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</si>
  <si>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</si>
  <si>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</si>
  <si>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</si>
  <si>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</si>
  <si>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</si>
  <si>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</si>
  <si>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</si>
  <si>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</si>
  <si>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</si>
  <si>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</si>
  <si>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</si>
  <si>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</si>
  <si>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</si>
  <si>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</si>
  <si>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</si>
  <si>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</si>
  <si>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</si>
  <si>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</si>
  <si>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</si>
  <si>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</si>
  <si>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</si>
  <si>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</si>
  <si>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</si>
  <si>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</si>
  <si>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</si>
  <si>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</si>
  <si>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</si>
  <si>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</si>
  <si>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</si>
  <si>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</si>
  <si>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</si>
  <si>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</si>
  <si>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</si>
  <si>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</si>
  <si>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</si>
  <si>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</si>
  <si>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</si>
  <si>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</si>
  <si>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</si>
  <si>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</si>
  <si>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</si>
  <si>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</si>
  <si>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</si>
  <si>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</si>
  <si>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</si>
  <si>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</si>
  <si>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</si>
  <si>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</si>
  <si>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</si>
  <si>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</si>
  <si>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</si>
  <si>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</si>
  <si>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</si>
  <si>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</si>
  <si>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</si>
  <si>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</si>
  <si>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</si>
  <si>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</si>
  <si>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</si>
  <si>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</si>
  <si>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</si>
  <si>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</si>
  <si>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</si>
  <si>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</si>
  <si>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</si>
  <si>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</si>
  <si>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</si>
  <si>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</si>
  <si>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</si>
  <si>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</si>
  <si>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</si>
  <si>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</si>
  <si>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</si>
  <si>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</si>
  <si>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</si>
  <si>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</si>
  <si>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</si>
  <si>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</si>
  <si>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</si>
  <si>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</si>
  <si>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</si>
  <si>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</si>
  <si>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</si>
  <si>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</si>
  <si>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</si>
  <si>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</si>
  <si>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</si>
  <si>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</si>
  <si>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</si>
  <si>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</si>
  <si>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</si>
  <si>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</si>
  <si>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</si>
  <si>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</si>
  <si>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</si>
  <si>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</si>
  <si>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</si>
  <si>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</si>
  <si>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</si>
  <si>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</si>
  <si>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</si>
  <si>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</si>
  <si>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</si>
  <si>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</si>
  <si>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</si>
  <si>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</si>
  <si>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</si>
  <si>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</si>
  <si>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</si>
  <si>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</si>
  <si>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</si>
  <si>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</si>
  <si>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</si>
  <si>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</si>
  <si>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</si>
  <si>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</si>
  <si>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</si>
  <si>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</si>
  <si>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</si>
  <si>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</si>
  <si>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</si>
  <si>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</si>
  <si>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</si>
  <si>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</si>
  <si>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</si>
  <si>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</si>
  <si>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</si>
  <si>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</si>
  <si>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</si>
  <si>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</si>
  <si>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</si>
  <si>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</si>
  <si>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</si>
  <si>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</si>
  <si>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</si>
  <si>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</si>
  <si>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</si>
  <si>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</si>
  <si>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</si>
  <si>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</si>
  <si>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</si>
  <si>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</si>
  <si>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</si>
  <si>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</si>
  <si>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</si>
  <si>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</si>
  <si>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</si>
  <si>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</si>
  <si>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</si>
  <si>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</si>
  <si>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</si>
  <si>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</si>
  <si>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</si>
  <si>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</si>
  <si>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</si>
  <si>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</si>
  <si>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</si>
  <si>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</si>
  <si>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</si>
  <si>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</si>
  <si>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</si>
  <si>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</si>
  <si>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</si>
  <si>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</si>
  <si>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</si>
  <si>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</si>
  <si>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</si>
  <si>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</si>
  <si>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</si>
  <si>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</si>
  <si>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</si>
  <si>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</si>
  <si>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</si>
  <si>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</si>
  <si>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</si>
  <si>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</si>
  <si>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</si>
  <si>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</si>
  <si>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</si>
  <si>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</si>
  <si>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</si>
  <si>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</si>
  <si>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</si>
  <si>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</si>
  <si>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</si>
  <si>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</si>
  <si>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</si>
  <si>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</si>
  <si>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</si>
  <si>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</si>
  <si>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</si>
  <si>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</si>
  <si>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</si>
  <si>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</si>
  <si>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</si>
  <si>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</si>
  <si>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</si>
  <si>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</si>
  <si>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</si>
  <si>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</si>
  <si>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</si>
  <si>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</si>
  <si>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</si>
  <si>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</si>
  <si>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</si>
  <si>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</si>
  <si>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</si>
  <si>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</si>
  <si>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</si>
  <si>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</si>
  <si>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</si>
  <si>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</si>
  <si>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</si>
  <si>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</si>
  <si>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</si>
  <si>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</si>
  <si>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</si>
  <si>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</si>
  <si>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</si>
  <si>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</si>
  <si>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</si>
  <si>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</si>
  <si>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</si>
  <si>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</si>
  <si>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</si>
  <si>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</si>
  <si>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</si>
  <si>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</si>
  <si>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</si>
  <si>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</si>
  <si>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</si>
  <si>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</si>
  <si>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</si>
  <si>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</si>
  <si>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</si>
  <si>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</si>
  <si>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</si>
  <si>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</si>
  <si>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</si>
  <si>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</si>
  <si>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</si>
  <si>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</si>
  <si>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</si>
  <si>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</si>
  <si>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</si>
  <si>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</si>
  <si>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</si>
  <si>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</si>
  <si>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</si>
  <si>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</si>
  <si>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</si>
  <si>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</si>
  <si>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</si>
  <si>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</si>
  <si>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</si>
  <si>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</si>
  <si>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</si>
  <si>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</si>
  <si>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</si>
  <si>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</si>
  <si>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</si>
  <si>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</si>
  <si>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</si>
  <si>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</si>
  <si>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</si>
  <si>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</si>
  <si>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</si>
  <si>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</si>
  <si>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</si>
  <si>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</si>
  <si>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</si>
  <si>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</si>
  <si>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</si>
  <si>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</si>
  <si>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</si>
  <si>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</si>
  <si>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</si>
  <si>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</si>
  <si>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</si>
  <si>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</si>
  <si>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</si>
  <si>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</si>
  <si>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</si>
  <si>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</si>
  <si>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</si>
  <si>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</si>
  <si>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</si>
  <si>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</si>
  <si>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</si>
  <si>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</si>
  <si>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</si>
  <si>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</si>
  <si>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</si>
  <si>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</si>
  <si>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</si>
  <si>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</si>
  <si>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</si>
  <si>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</si>
  <si>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</si>
  <si>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</si>
  <si>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</si>
  <si>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</si>
  <si>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</si>
  <si>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</si>
  <si>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</si>
  <si>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</si>
  <si>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</si>
  <si>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</si>
  <si>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</si>
  <si>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</si>
  <si>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</si>
  <si>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</si>
  <si>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</si>
  <si>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</si>
  <si>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</si>
  <si>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</si>
  <si>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</si>
  <si>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</si>
  <si>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</si>
  <si>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</si>
  <si>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</si>
  <si>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</si>
  <si>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</si>
  <si>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</si>
  <si>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</si>
  <si>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</si>
  <si>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</si>
  <si>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</si>
  <si>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</si>
  <si>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</si>
  <si>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</si>
  <si>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</si>
  <si>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</si>
  <si>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</si>
  <si>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</si>
  <si>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</si>
  <si>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</si>
  <si>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</si>
  <si>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</si>
  <si>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</si>
  <si>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</si>
  <si>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</si>
  <si>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</si>
  <si>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</si>
  <si>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</si>
  <si>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</si>
  <si>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</si>
  <si>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</si>
  <si>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</si>
  <si>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</si>
  <si>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</si>
  <si>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</si>
  <si>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</si>
  <si>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</si>
  <si>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</si>
  <si>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</si>
  <si>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</si>
  <si>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</si>
  <si>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</si>
  <si>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</si>
  <si>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</si>
  <si>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</si>
  <si>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</si>
  <si>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</si>
  <si>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</si>
  <si>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</si>
  <si>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</si>
  <si>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</si>
  <si>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</si>
  <si>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</si>
  <si>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</si>
  <si>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</si>
  <si>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</si>
  <si>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</si>
  <si>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</si>
  <si>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</si>
  <si>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</si>
  <si>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</si>
  <si>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</si>
  <si>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</si>
  <si>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</si>
  <si>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</si>
  <si>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</si>
  <si>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</si>
  <si>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</si>
  <si>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</si>
  <si>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</si>
  <si>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</si>
  <si>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</si>
  <si>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</si>
  <si>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</si>
  <si>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</si>
  <si>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</si>
  <si>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</si>
  <si>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</si>
  <si>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</si>
  <si>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</si>
  <si>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</si>
  <si>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</si>
  <si>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</si>
  <si>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</si>
  <si>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</si>
  <si>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</si>
  <si>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</si>
  <si>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</si>
  <si>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</si>
  <si>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</si>
  <si>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</si>
  <si>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</si>
  <si>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</si>
  <si>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</si>
  <si>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</si>
  <si>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</si>
  <si>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</si>
  <si>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</si>
  <si>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</si>
  <si>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</si>
  <si>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</si>
  <si>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</si>
  <si>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</si>
  <si>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</si>
  <si>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</si>
  <si>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</si>
  <si>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</si>
  <si>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</si>
  <si>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</si>
  <si>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</si>
  <si>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</si>
  <si>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</si>
  <si>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</si>
  <si>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</si>
  <si>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</si>
  <si>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</si>
  <si>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</si>
  <si>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</si>
  <si>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</si>
  <si>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</si>
  <si>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</si>
  <si>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</si>
  <si>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</si>
  <si>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</si>
  <si>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</si>
  <si>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</si>
  <si>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</si>
  <si>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</si>
  <si>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</si>
  <si>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</si>
  <si>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</si>
  <si>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</si>
  <si>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</si>
  <si>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</si>
  <si>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</si>
  <si>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</si>
  <si>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</si>
  <si>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</si>
  <si>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</si>
  <si>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</si>
  <si>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</si>
  <si>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</si>
  <si>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</si>
  <si>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</si>
  <si>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</si>
  <si>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</si>
  <si>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</si>
  <si>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</si>
  <si>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</si>
  <si>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</si>
  <si>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</si>
  <si>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</si>
  <si>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</si>
  <si>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</si>
  <si>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</si>
  <si>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</si>
  <si>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</si>
  <si>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</si>
  <si>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</si>
  <si>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</si>
  <si>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</si>
  <si>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</si>
  <si>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</si>
  <si>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</si>
  <si>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</si>
  <si>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</si>
  <si>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</si>
  <si>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</si>
  <si>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</si>
  <si>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</si>
  <si>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</si>
  <si>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</si>
  <si>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</si>
  <si>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</si>
  <si>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</si>
  <si>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</si>
  <si>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</si>
  <si>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</si>
  <si>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</si>
  <si>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</si>
  <si>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</si>
  <si>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</si>
  <si>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</si>
  <si>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</si>
  <si>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</si>
  <si>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</si>
  <si>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</si>
  <si>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</si>
  <si>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</si>
  <si>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</si>
  <si>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</si>
  <si>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</si>
  <si>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</si>
  <si>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</si>
  <si>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</si>
  <si>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</si>
  <si>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</si>
  <si>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</si>
  <si>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</si>
  <si>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</si>
  <si>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</si>
  <si>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</si>
  <si>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</si>
  <si>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</si>
  <si>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</si>
  <si>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</si>
  <si>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</si>
  <si>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</si>
  <si>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</si>
  <si>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</si>
  <si>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</si>
  <si>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</si>
  <si>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</si>
  <si>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</si>
  <si>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</si>
  <si>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</si>
  <si>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</si>
  <si>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</si>
  <si>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</si>
  <si>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</si>
  <si>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</si>
  <si>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</si>
  <si>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</si>
  <si>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</si>
  <si>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</si>
  <si>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</si>
  <si>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</si>
  <si>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</si>
  <si>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</si>
  <si>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</si>
  <si>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</si>
  <si>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</si>
  <si>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</si>
  <si>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</si>
  <si>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</si>
  <si>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</si>
  <si>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</si>
  <si>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</si>
  <si>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</si>
  <si>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</si>
  <si>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</si>
  <si>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</si>
  <si>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</si>
  <si>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</si>
  <si>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</si>
  <si>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</si>
  <si>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</si>
  <si>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</si>
  <si>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</si>
  <si>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</si>
  <si>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</si>
  <si>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</si>
  <si>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</si>
  <si>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</si>
  <si>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</si>
  <si>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</si>
  <si>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</si>
  <si>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</si>
  <si>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</si>
  <si>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</si>
  <si>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</si>
  <si>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</si>
  <si>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</si>
  <si>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</si>
  <si>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</si>
  <si>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</si>
  <si>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</si>
  <si>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</si>
  <si>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</si>
  <si>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</si>
  <si>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</si>
  <si>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</si>
  <si>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</si>
  <si>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</si>
  <si>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</si>
  <si>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</si>
  <si>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</si>
  <si>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</si>
  <si>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</si>
  <si>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</si>
  <si>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</si>
  <si>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</si>
  <si>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</si>
  <si>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</si>
  <si>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</si>
  <si>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</si>
  <si>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</si>
  <si>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</si>
  <si>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</si>
  <si>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</si>
  <si>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</si>
  <si>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</si>
  <si>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</si>
  <si>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</si>
  <si>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</si>
  <si>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</si>
  <si>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</si>
  <si>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</si>
  <si>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</si>
  <si>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</si>
  <si>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</si>
  <si>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</si>
  <si>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</si>
  <si>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</si>
  <si>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</si>
  <si>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</si>
  <si>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</si>
  <si>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</si>
  <si>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</si>
  <si>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</si>
  <si>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</si>
  <si>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</si>
  <si>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</si>
  <si>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</si>
  <si>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</si>
  <si>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</si>
  <si>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</si>
  <si>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</si>
  <si>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</si>
  <si>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</si>
  <si>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</si>
  <si>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</si>
  <si>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</si>
  <si>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</si>
  <si>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</si>
  <si>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</si>
  <si>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</si>
  <si>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</si>
  <si>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</si>
  <si>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</si>
  <si>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</si>
  <si>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</si>
  <si>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</si>
  <si>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</si>
  <si>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</si>
  <si>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</si>
  <si>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</si>
  <si>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</si>
  <si>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</si>
  <si>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</si>
  <si>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</si>
  <si>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</si>
  <si>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</si>
  <si>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</si>
  <si>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</si>
  <si>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</si>
  <si>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</si>
  <si>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</si>
  <si>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</si>
  <si>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</si>
  <si>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</si>
  <si>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</si>
  <si>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</si>
  <si>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</si>
  <si>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</si>
  <si>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</si>
  <si>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</si>
  <si>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</si>
  <si>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</si>
  <si>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</si>
  <si>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</si>
  <si>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</si>
  <si>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</si>
  <si>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</si>
  <si>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</si>
  <si>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</si>
  <si>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</si>
  <si>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</si>
  <si>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</si>
  <si>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</si>
  <si>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</si>
  <si>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</si>
  <si>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</si>
  <si>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</si>
  <si>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</si>
  <si>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</si>
  <si>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</si>
  <si>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</si>
  <si>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</si>
  <si>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</si>
  <si>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</si>
  <si>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</si>
  <si>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</si>
  <si>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</si>
  <si>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</si>
  <si>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</si>
  <si>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</si>
  <si>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</si>
  <si>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</si>
  <si>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</si>
  <si>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</si>
  <si>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</si>
  <si>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</si>
  <si>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</si>
  <si>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</si>
  <si>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</si>
  <si>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</si>
  <si>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</si>
  <si>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</si>
  <si>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</si>
  <si>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</si>
  <si>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</si>
  <si>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</si>
  <si>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</si>
  <si>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</si>
  <si>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</si>
  <si>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</si>
  <si>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</si>
  <si>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</si>
  <si>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</si>
  <si>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</si>
  <si>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</si>
  <si>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</si>
  <si>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</si>
  <si>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</si>
  <si>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</si>
  <si>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</si>
  <si>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</si>
  <si>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</si>
  <si>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</si>
  <si>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</si>
  <si>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</si>
  <si>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</si>
  <si>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</si>
  <si>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</si>
  <si>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</si>
  <si>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</si>
  <si>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</si>
  <si>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</si>
  <si>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</si>
  <si>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</si>
  <si>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</si>
  <si>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</si>
  <si>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</si>
  <si>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</si>
  <si>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</si>
  <si>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</si>
  <si>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</si>
  <si>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</si>
  <si>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</si>
  <si>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</si>
  <si>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</si>
  <si>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</si>
  <si>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</si>
  <si>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</si>
  <si>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</si>
  <si>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</si>
  <si>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</si>
  <si>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</si>
  <si>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</si>
  <si>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</si>
  <si>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</si>
  <si>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</si>
  <si>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</si>
  <si>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</si>
  <si>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</si>
  <si>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</si>
  <si>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</si>
  <si>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</si>
  <si>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</si>
  <si>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</si>
  <si>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</si>
  <si>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</si>
  <si>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</si>
  <si>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</si>
  <si>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</si>
  <si>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</si>
  <si>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</si>
  <si>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</si>
  <si>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</si>
  <si>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</si>
  <si>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</si>
  <si>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</si>
  <si>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</si>
  <si>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</si>
  <si>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</si>
  <si>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</si>
  <si>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</si>
  <si>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</si>
  <si>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</si>
  <si>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</si>
  <si>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</si>
  <si>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</si>
  <si>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</si>
  <si>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</si>
  <si>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</si>
  <si>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</si>
  <si>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</si>
  <si>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</si>
  <si>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</si>
  <si>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</si>
  <si>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</si>
  <si>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</si>
  <si>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</si>
  <si>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</si>
  <si>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</si>
  <si>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</si>
  <si>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</si>
  <si>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</si>
  <si>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</si>
  <si>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</si>
  <si>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</si>
  <si>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</si>
  <si>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</si>
  <si>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</si>
  <si>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</si>
  <si>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</si>
  <si>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</si>
  <si>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</si>
  <si>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</si>
  <si>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</si>
  <si>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</si>
  <si>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</si>
  <si>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</si>
  <si>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</si>
  <si>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</si>
  <si>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</si>
  <si>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</si>
  <si>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</si>
  <si>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</si>
  <si>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</si>
  <si>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</si>
  <si>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</si>
  <si>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</si>
  <si>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</si>
  <si>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</si>
  <si>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</si>
  <si>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</si>
  <si>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</si>
  <si>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</si>
  <si>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</si>
  <si>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</si>
  <si>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</si>
  <si>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</si>
  <si>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</si>
  <si>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</si>
  <si>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</si>
  <si>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</si>
  <si>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</si>
  <si>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</si>
  <si>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</si>
  <si>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</si>
  <si>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</si>
  <si>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</si>
  <si>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</si>
  <si>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</si>
  <si>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</si>
  <si>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</si>
  <si>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</si>
  <si>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</si>
  <si>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</si>
  <si>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</si>
  <si>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</si>
  <si>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</si>
  <si>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</si>
  <si>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</si>
  <si>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</si>
  <si>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</si>
  <si>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</si>
  <si>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</si>
  <si>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</si>
  <si>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</si>
  <si>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</si>
  <si>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</si>
  <si>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</si>
  <si>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</si>
  <si>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</si>
  <si>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</si>
  <si>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</si>
  <si>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</si>
  <si>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</si>
  <si>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</si>
  <si>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</si>
  <si>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</si>
  <si>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</si>
  <si>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</si>
  <si>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</si>
  <si>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</si>
  <si>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</si>
  <si>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</si>
  <si>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</si>
  <si>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</si>
  <si>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</si>
  <si>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</si>
  <si>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</si>
  <si>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</si>
  <si>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</si>
  <si>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</si>
  <si>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</si>
  <si>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</si>
  <si>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</si>
  <si>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</si>
  <si>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</si>
  <si>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</si>
  <si>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</si>
  <si>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</si>
  <si>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</si>
  <si>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</si>
  <si>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</si>
  <si>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</si>
  <si>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</si>
  <si>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</si>
  <si>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</si>
  <si>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</si>
  <si>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</si>
  <si>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</si>
  <si>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</si>
  <si>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</si>
  <si>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</si>
  <si>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</si>
  <si>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</si>
  <si>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</si>
  <si>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</si>
  <si>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</si>
  <si>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</si>
  <si>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</si>
  <si>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</si>
  <si>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</si>
  <si>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</si>
  <si>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</si>
  <si>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</si>
  <si>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</si>
  <si>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</si>
  <si>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</si>
  <si>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</si>
  <si>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</si>
  <si>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</si>
  <si>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</si>
  <si>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</si>
  <si>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</si>
  <si>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</si>
  <si>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</si>
  <si>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</si>
  <si>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</si>
  <si>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</si>
  <si>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</si>
  <si>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</si>
  <si>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</si>
  <si>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</si>
  <si>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</si>
  <si>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</si>
  <si>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</si>
  <si>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</si>
  <si>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</si>
  <si>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</si>
  <si>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</si>
  <si>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</si>
  <si>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</si>
  <si>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</si>
  <si>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</si>
  <si>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</si>
  <si>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</si>
  <si>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</si>
  <si>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</si>
  <si>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</si>
  <si>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</si>
  <si>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</si>
  <si>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</si>
  <si>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</si>
  <si>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</si>
  <si>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</si>
  <si>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</si>
  <si>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</si>
  <si>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</si>
  <si>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</si>
  <si>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</si>
  <si>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</si>
  <si>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</si>
  <si>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</si>
  <si>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</si>
  <si>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</si>
  <si>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</si>
  <si>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</si>
  <si>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</si>
  <si>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</si>
  <si>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</si>
  <si>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</si>
  <si>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</si>
  <si>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</si>
  <si>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</si>
  <si>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</si>
  <si>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</si>
  <si>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</si>
  <si>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</si>
  <si>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</si>
  <si>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</si>
  <si>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</si>
  <si>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</si>
  <si>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</si>
  <si>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</si>
  <si>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</si>
  <si>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</si>
  <si>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</si>
  <si>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</si>
  <si>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</si>
  <si>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</si>
  <si>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</si>
  <si>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</si>
  <si>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</si>
  <si>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</si>
  <si>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</si>
  <si>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</si>
  <si>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</si>
  <si>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</si>
  <si>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</si>
  <si>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</si>
  <si>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</si>
  <si>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</si>
  <si>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</si>
  <si>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</si>
  <si>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</si>
  <si>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</si>
  <si>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</si>
  <si>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</si>
  <si>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</si>
  <si>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</si>
  <si>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</si>
  <si>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</si>
  <si>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</si>
  <si>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</si>
  <si>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</si>
  <si>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</si>
  <si>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</si>
  <si>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</si>
  <si>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</si>
  <si>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</si>
  <si>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</si>
  <si>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</si>
  <si>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</si>
  <si>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</si>
  <si>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</si>
  <si>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</si>
  <si>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</si>
  <si>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</si>
  <si>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</si>
  <si>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</si>
  <si>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</si>
  <si>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</si>
  <si>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</si>
  <si>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</si>
  <si>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</si>
  <si>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</si>
  <si>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</si>
  <si>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</si>
  <si>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</si>
  <si>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</si>
  <si>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</si>
  <si>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</si>
  <si>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</si>
  <si>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</si>
  <si>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</si>
  <si>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</si>
  <si>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</si>
  <si>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</si>
  <si>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</si>
  <si>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</si>
  <si>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</si>
  <si>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</si>
  <si>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</si>
  <si>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</si>
  <si>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</si>
  <si>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</si>
  <si>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</si>
  <si>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</si>
  <si>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</si>
  <si>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</si>
  <si>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</si>
  <si>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</si>
  <si>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</si>
  <si>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</si>
  <si>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</si>
  <si>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</si>
  <si>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</si>
  <si>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</si>
  <si>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</si>
  <si>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</si>
  <si>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</si>
  <si>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</si>
  <si>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</si>
  <si>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</si>
  <si>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</si>
  <si>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</si>
  <si>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</si>
  <si>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</si>
  <si>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</si>
  <si>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</si>
  <si>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</si>
  <si>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</si>
  <si>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</si>
  <si>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</si>
  <si>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</si>
  <si>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</si>
  <si>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</si>
  <si>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</si>
  <si>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</si>
  <si>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</si>
  <si>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</si>
  <si>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</si>
  <si>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</si>
  <si>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</si>
  <si>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</si>
  <si>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</si>
  <si>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</si>
  <si>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</si>
  <si>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</si>
  <si>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</si>
  <si>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</si>
  <si>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</si>
  <si>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</si>
  <si>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</si>
  <si>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</si>
  <si>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</si>
  <si>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</si>
  <si>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</si>
  <si>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</si>
  <si>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</si>
  <si>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</si>
  <si>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</si>
  <si>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</si>
  <si>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</si>
  <si>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</si>
  <si>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</si>
  <si>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</si>
  <si>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</si>
  <si>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</si>
  <si>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</si>
  <si>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</si>
  <si>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</si>
  <si>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</si>
  <si>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</si>
  <si>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</si>
  <si>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</si>
  <si>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</si>
  <si>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</si>
  <si>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</si>
  <si>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</si>
  <si>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</si>
  <si>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</si>
  <si>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</si>
  <si>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</si>
  <si>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</si>
  <si>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</si>
  <si>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</si>
  <si>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</si>
  <si>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</si>
  <si>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</si>
  <si>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</si>
  <si>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</si>
  <si>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</si>
  <si>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</si>
  <si>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</si>
  <si>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</si>
  <si>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</si>
  <si>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</si>
  <si>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</si>
  <si>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</si>
  <si>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</si>
  <si>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</si>
  <si>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</si>
  <si>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</si>
  <si>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</si>
  <si>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</si>
  <si>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</si>
  <si>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</si>
  <si>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</si>
  <si>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</si>
  <si>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</si>
  <si>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</si>
  <si>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</si>
  <si>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</si>
  <si>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</si>
  <si>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</si>
  <si>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</si>
  <si>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</si>
  <si>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</si>
  <si>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</si>
  <si>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</si>
  <si>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</si>
  <si>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</si>
  <si>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</si>
  <si>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</si>
  <si>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</si>
  <si>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</si>
  <si>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</si>
  <si>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</si>
  <si>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</si>
  <si>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</si>
  <si>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</si>
  <si>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</si>
  <si>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</si>
  <si>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</si>
  <si>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</si>
  <si>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</si>
  <si>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</si>
  <si>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</si>
  <si>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</si>
  <si>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</si>
  <si>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</si>
  <si>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</si>
  <si>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</si>
  <si>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</si>
  <si>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</si>
  <si>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</si>
  <si>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</si>
  <si>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</si>
  <si>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</si>
  <si>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</si>
  <si>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</si>
  <si>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</si>
  <si>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</si>
  <si>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</si>
  <si>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</si>
  <si>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</si>
  <si>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</si>
  <si>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</si>
  <si>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</si>
  <si>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</si>
  <si>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</si>
  <si>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</si>
  <si>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</si>
  <si>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</si>
  <si>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</si>
  <si>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</si>
  <si>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</si>
  <si>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</si>
  <si>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</si>
  <si>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</si>
  <si>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</si>
  <si>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</si>
  <si>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</si>
  <si>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</si>
  <si>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</si>
  <si>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</si>
  <si>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</si>
  <si>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</si>
  <si>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</si>
  <si>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</si>
  <si>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</si>
  <si>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</si>
  <si>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</si>
  <si>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</si>
  <si>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</si>
  <si>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</si>
  <si>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</si>
  <si>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</si>
  <si>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</si>
  <si>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</si>
  <si>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</si>
  <si>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</si>
  <si>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</si>
  <si>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</si>
  <si>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</si>
  <si>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</si>
  <si>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</si>
  <si>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</si>
  <si>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</si>
  <si>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</si>
  <si>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</si>
  <si>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</si>
  <si>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</si>
  <si>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</si>
  <si>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</si>
  <si>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</si>
  <si>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</si>
  <si>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</si>
  <si>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</si>
  <si>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</si>
  <si>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</si>
  <si>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</si>
  <si>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</si>
  <si>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</si>
  <si>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</si>
  <si>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</si>
  <si>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</si>
  <si>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</si>
  <si>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</si>
  <si>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</si>
  <si>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</si>
  <si>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</si>
  <si>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</si>
  <si>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</si>
  <si>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</si>
  <si>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</si>
  <si>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</si>
  <si>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</si>
  <si>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</si>
  <si>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</si>
  <si>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</si>
  <si>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</si>
  <si>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</si>
  <si>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</si>
  <si>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</si>
  <si>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</si>
  <si>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</si>
  <si>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</si>
  <si>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</si>
  <si>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</si>
  <si>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</si>
  <si>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</si>
  <si>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</si>
  <si>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</si>
  <si>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</si>
  <si>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</si>
  <si>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</si>
  <si>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</si>
  <si>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</si>
  <si>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</si>
  <si>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</si>
  <si>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</si>
  <si>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</si>
  <si>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</si>
  <si>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</si>
  <si>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</si>
  <si>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</si>
  <si>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</si>
  <si>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</si>
  <si>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</si>
  <si>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</si>
  <si>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</si>
  <si>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</si>
  <si>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</si>
  <si>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</si>
  <si>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</si>
  <si>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</si>
  <si>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</si>
  <si>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</si>
  <si>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</si>
  <si>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</si>
  <si>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</si>
  <si>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</si>
  <si>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</si>
  <si>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</si>
  <si>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</si>
  <si>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</si>
  <si>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</si>
  <si>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</si>
  <si>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</si>
  <si>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</si>
  <si>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</si>
  <si>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</si>
  <si>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</si>
  <si>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</si>
  <si>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</si>
  <si>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</si>
  <si>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</si>
  <si>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</si>
  <si>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</si>
  <si>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</si>
  <si>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</si>
  <si>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</si>
  <si>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</si>
  <si>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</si>
  <si>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</si>
  <si>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</si>
  <si>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</si>
  <si>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</si>
  <si>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</si>
  <si>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</si>
  <si>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</si>
  <si>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</si>
  <si>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</si>
  <si>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</si>
  <si>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</si>
  <si>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</si>
  <si>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</si>
  <si>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</si>
  <si>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</si>
  <si>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</si>
  <si>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</si>
  <si>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</si>
  <si>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</si>
  <si>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</si>
  <si>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</si>
  <si>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</si>
  <si>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</si>
  <si>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</si>
  <si>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</si>
  <si>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</si>
  <si>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</si>
  <si>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</si>
  <si>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</si>
  <si>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</si>
  <si>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</si>
  <si>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</si>
  <si>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</si>
  <si>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</si>
  <si>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</si>
  <si>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</si>
  <si>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</si>
  <si>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</si>
  <si>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</si>
  <si>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</si>
  <si>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</si>
  <si>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</si>
  <si>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</si>
  <si>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</si>
  <si>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</si>
  <si>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</si>
  <si>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</si>
  <si>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</si>
  <si>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</si>
  <si>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</si>
  <si>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</si>
  <si>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</si>
  <si>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</si>
  <si>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</si>
  <si>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</si>
  <si>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</si>
  <si>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</si>
  <si>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</si>
  <si>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</si>
  <si>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</si>
  <si>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</si>
  <si>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</si>
  <si>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</si>
  <si>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</si>
  <si>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</si>
  <si>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</si>
  <si>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</si>
  <si>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</si>
  <si>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</si>
  <si>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</si>
  <si>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</si>
  <si>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</si>
  <si>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</si>
  <si>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</si>
  <si>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</si>
  <si>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</si>
  <si>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</si>
  <si>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</si>
  <si>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</si>
  <si>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</si>
  <si>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</si>
  <si>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</si>
  <si>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</si>
  <si>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</si>
  <si>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</si>
  <si>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</si>
  <si>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</si>
  <si>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</si>
  <si>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</si>
  <si>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</si>
  <si>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</si>
  <si>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</si>
  <si>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</si>
  <si>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</si>
  <si>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</si>
  <si>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</si>
  <si>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</si>
  <si>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</si>
  <si>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</si>
  <si>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</si>
  <si>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</si>
  <si>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</si>
  <si>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</si>
  <si>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</si>
  <si>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</si>
  <si>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</si>
  <si>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</si>
  <si>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</si>
  <si>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</si>
  <si>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</si>
  <si>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</si>
  <si>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</si>
  <si>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</si>
  <si>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</si>
  <si>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</si>
  <si>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</si>
  <si>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</si>
  <si>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</si>
  <si>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</si>
  <si>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</si>
  <si>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</si>
  <si>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</si>
  <si>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</si>
  <si>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</si>
  <si>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</si>
  <si>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</si>
  <si>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</si>
  <si>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</si>
  <si>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</si>
  <si>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</si>
  <si>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</si>
  <si>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</si>
  <si>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</si>
  <si>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</si>
  <si>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</si>
  <si>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</si>
  <si>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</si>
  <si>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</si>
  <si>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</si>
  <si>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</si>
  <si>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</si>
  <si>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</si>
  <si>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</si>
  <si>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</si>
  <si>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</si>
  <si>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</si>
  <si>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</si>
  <si>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</si>
  <si>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</si>
  <si>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</si>
  <si>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</si>
  <si>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</si>
  <si>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</si>
  <si>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</si>
  <si>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</si>
  <si>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</si>
  <si>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</si>
  <si>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</si>
  <si>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</si>
  <si>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</si>
  <si>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</si>
  <si>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</si>
  <si>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</si>
  <si>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</si>
  <si>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</si>
  <si>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</si>
  <si>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</si>
  <si>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</si>
  <si>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</si>
  <si>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</si>
  <si>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</si>
  <si>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</si>
  <si>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</si>
  <si>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</si>
  <si>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</si>
  <si>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</si>
  <si>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</si>
  <si>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</si>
  <si>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</si>
  <si>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</si>
  <si>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</si>
  <si>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</si>
  <si>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</si>
  <si>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</si>
  <si>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</si>
  <si>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</si>
  <si>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</si>
  <si>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</si>
  <si>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</si>
  <si>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</si>
  <si>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</si>
  <si>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</si>
  <si>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</si>
  <si>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</si>
  <si>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</si>
  <si>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</si>
  <si>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</si>
  <si>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</si>
  <si>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</si>
  <si>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</si>
  <si>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</si>
  <si>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</si>
  <si>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</si>
  <si>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</si>
  <si>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</si>
  <si>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</si>
  <si>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</si>
  <si>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</si>
  <si>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</si>
  <si>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</si>
  <si>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</si>
  <si>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</si>
  <si>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</si>
  <si>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</si>
  <si>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</si>
  <si>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</si>
  <si>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</si>
  <si>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</si>
  <si>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</si>
  <si>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</si>
  <si>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</si>
  <si>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</si>
  <si>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</si>
  <si>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</si>
  <si>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</si>
  <si>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</si>
  <si>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</si>
  <si>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</si>
  <si>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</si>
  <si>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</si>
  <si>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</si>
  <si>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</si>
  <si>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</si>
  <si>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</si>
  <si>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</si>
  <si>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</si>
  <si>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</si>
  <si>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</si>
  <si>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</si>
  <si>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</si>
  <si>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</si>
  <si>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</si>
  <si>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</si>
  <si>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</si>
  <si>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</si>
  <si>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</si>
  <si>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</si>
  <si>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</si>
  <si>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</si>
  <si>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</si>
  <si>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</si>
  <si>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</si>
  <si>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</si>
  <si>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</si>
  <si>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</si>
  <si>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</si>
  <si>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</si>
  <si>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</si>
  <si>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</si>
  <si>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</si>
  <si>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</si>
  <si>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</si>
  <si>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</si>
  <si>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</si>
  <si>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</si>
  <si>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</si>
  <si>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</si>
  <si>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</si>
  <si>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</si>
  <si>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</si>
  <si>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</si>
  <si>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</si>
  <si>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</si>
  <si>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</si>
  <si>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</si>
  <si>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</si>
  <si>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</si>
  <si>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</si>
  <si>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</si>
  <si>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</si>
  <si>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</si>
  <si>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</si>
  <si>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</si>
  <si>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</si>
  <si>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</si>
  <si>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</si>
  <si>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</si>
  <si>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</si>
  <si>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</si>
  <si>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</si>
  <si>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</si>
  <si>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</si>
  <si>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</si>
  <si>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</si>
  <si>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</si>
  <si>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</si>
  <si>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</si>
  <si>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</si>
  <si>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</si>
  <si>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</si>
  <si>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</si>
  <si>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</si>
  <si>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</si>
  <si>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</si>
  <si>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</si>
  <si>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</si>
  <si>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</si>
  <si>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</si>
  <si>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</si>
  <si>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</si>
  <si>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</si>
  <si>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</si>
  <si>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</si>
  <si>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</si>
  <si>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</si>
  <si>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</si>
  <si>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</si>
  <si>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</si>
  <si>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</si>
  <si>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</si>
  <si>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</si>
  <si>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</si>
  <si>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</si>
  <si>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</si>
  <si>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</si>
  <si>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</si>
  <si>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</si>
  <si>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</si>
  <si>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</si>
  <si>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</si>
  <si>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</si>
  <si>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</si>
  <si>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</si>
  <si>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</si>
  <si>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</si>
  <si>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</si>
  <si>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</si>
  <si>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</si>
  <si>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</si>
  <si>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</si>
  <si>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</si>
  <si>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</si>
  <si>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</si>
  <si>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</si>
  <si>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</si>
  <si>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</si>
  <si>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</si>
  <si>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</si>
  <si>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</si>
  <si>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</si>
  <si>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</si>
  <si>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</si>
  <si>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</si>
  <si>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</si>
  <si>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</si>
  <si>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</si>
  <si>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</si>
  <si>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</si>
  <si>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</si>
  <si>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</si>
  <si>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</si>
  <si>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</si>
  <si>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</si>
  <si>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</si>
  <si>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</si>
  <si>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</si>
  <si>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</si>
  <si>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</si>
  <si>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</si>
  <si>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</si>
  <si>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</si>
  <si>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</si>
  <si>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</si>
  <si>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</si>
  <si>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</si>
  <si>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</si>
  <si>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</si>
  <si>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</si>
  <si>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</si>
  <si>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</si>
  <si>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</si>
  <si>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</si>
  <si>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</si>
  <si>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</si>
  <si>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</si>
  <si>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</si>
  <si>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</si>
  <si>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</si>
  <si>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</si>
  <si>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</si>
  <si>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</si>
  <si>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</si>
  <si>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</si>
  <si>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</si>
  <si>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</si>
  <si>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</si>
  <si>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</si>
  <si>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</si>
  <si>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</si>
  <si>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</si>
  <si>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</si>
  <si>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</si>
  <si>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</si>
  <si>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</si>
  <si>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</si>
  <si>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</si>
  <si>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</si>
  <si>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</si>
  <si>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</si>
  <si>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</si>
  <si>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</si>
  <si>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</si>
  <si>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</si>
  <si>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</si>
  <si>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</si>
  <si>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</si>
  <si>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</si>
  <si>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</si>
  <si>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</si>
  <si>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</si>
  <si>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</si>
  <si>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</si>
  <si>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</si>
  <si>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</si>
  <si>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</si>
  <si>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</si>
  <si>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</si>
  <si>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</si>
  <si>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</si>
  <si>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</si>
  <si>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</si>
  <si>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</si>
  <si>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</si>
  <si>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</si>
  <si>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</si>
  <si>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</si>
  <si>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</si>
  <si>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</si>
  <si>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</si>
  <si>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</si>
  <si>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</si>
  <si>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</si>
  <si>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</si>
  <si>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</si>
  <si>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</si>
  <si>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</si>
  <si>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</si>
  <si>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</si>
  <si>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</si>
  <si>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</si>
  <si>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</si>
  <si>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</si>
  <si>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</si>
  <si>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</si>
  <si>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</si>
  <si>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</si>
  <si>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</si>
  <si>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</si>
  <si>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</si>
  <si>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</si>
  <si>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</si>
  <si>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</si>
  <si>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</si>
  <si>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</si>
  <si>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</si>
  <si>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</si>
  <si>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</si>
  <si>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</si>
  <si>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</si>
  <si>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</si>
  <si>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</si>
  <si>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</si>
  <si>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</si>
  <si>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</si>
  <si>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</si>
  <si>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</si>
  <si>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</si>
  <si>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</si>
  <si>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</si>
  <si>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</si>
  <si>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</si>
  <si>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</si>
  <si>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</si>
  <si>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</si>
  <si>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</si>
  <si>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</si>
  <si>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</si>
  <si>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</si>
  <si>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</si>
  <si>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</si>
  <si>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</si>
  <si>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</si>
  <si>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</si>
  <si>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</si>
  <si>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</si>
  <si>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</si>
  <si>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</si>
  <si>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</si>
  <si>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</si>
  <si>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</si>
  <si>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</si>
  <si>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</si>
  <si>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</si>
  <si>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</si>
  <si>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</si>
  <si>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</si>
  <si>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</si>
  <si>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</si>
  <si>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</si>
  <si>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</si>
  <si>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</si>
  <si>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</si>
  <si>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</si>
  <si>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</si>
  <si>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</si>
  <si>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</si>
  <si>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</si>
  <si>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</si>
  <si>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</si>
  <si>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</si>
  <si>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</si>
  <si>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</si>
  <si>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</si>
  <si>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</si>
  <si>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</si>
  <si>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</si>
  <si>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</si>
  <si>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</si>
  <si>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</si>
  <si>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</si>
  <si>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</si>
  <si>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</si>
  <si>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</si>
  <si>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</si>
  <si>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</si>
  <si>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</si>
  <si>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</si>
  <si>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</si>
  <si>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</si>
  <si>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</si>
  <si>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</si>
  <si>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</si>
  <si>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</si>
  <si>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</si>
  <si>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</si>
  <si>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</si>
  <si>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</si>
  <si>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</si>
  <si>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</si>
  <si>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</si>
  <si>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</si>
  <si>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</si>
  <si>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</si>
  <si>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</si>
  <si>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</si>
  <si>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</si>
  <si>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</si>
  <si>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</si>
  <si>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</si>
  <si>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</si>
  <si>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</si>
  <si>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</si>
  <si>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</si>
  <si>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</si>
  <si>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</si>
  <si>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</si>
  <si>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</si>
  <si>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</si>
  <si>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</si>
  <si>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</si>
  <si>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</si>
  <si>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</si>
  <si>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</si>
  <si>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</si>
  <si>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</si>
  <si>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</si>
  <si>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</si>
  <si>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</si>
  <si>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</si>
  <si>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</si>
  <si>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</si>
  <si>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</si>
  <si>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</si>
  <si>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</si>
  <si>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</si>
  <si>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</si>
  <si>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</si>
  <si>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</si>
  <si>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</si>
  <si>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</si>
  <si>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</si>
  <si>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</si>
  <si>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</si>
  <si>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</si>
  <si>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</si>
  <si>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</si>
  <si>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</si>
  <si>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</si>
  <si>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</si>
  <si>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</si>
  <si>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</si>
  <si>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</si>
  <si>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</si>
  <si>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</si>
  <si>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</si>
  <si>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</si>
  <si>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</si>
  <si>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</si>
  <si>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</si>
  <si>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</si>
  <si>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</si>
  <si>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</si>
  <si>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</si>
  <si>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</si>
  <si>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</si>
  <si>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</si>
  <si>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</si>
  <si>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</si>
  <si>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</si>
  <si>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</si>
  <si>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</si>
  <si>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</si>
  <si>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</si>
  <si>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</si>
  <si>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</si>
  <si>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</si>
  <si>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</si>
  <si>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</si>
  <si>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</si>
  <si>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</si>
  <si>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</si>
  <si>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</si>
  <si>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</si>
  <si>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</si>
  <si>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</si>
  <si>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</si>
  <si>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</si>
  <si>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</si>
  <si>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</si>
  <si>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</si>
  <si>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</si>
  <si>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</si>
  <si>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</si>
  <si>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</si>
  <si>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</si>
  <si>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</si>
  <si>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</si>
  <si>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</si>
  <si>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</si>
  <si>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</si>
  <si>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</si>
  <si>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</si>
  <si>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</si>
  <si>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</si>
  <si>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</si>
  <si>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</si>
  <si>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</si>
  <si>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</si>
  <si>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</si>
  <si>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</si>
  <si>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</si>
  <si>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</si>
  <si>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</si>
  <si>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</si>
  <si>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</si>
  <si>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</si>
  <si>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</si>
  <si>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</si>
  <si>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</si>
  <si>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</si>
  <si>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</si>
  <si>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</si>
  <si>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</si>
  <si>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</si>
  <si>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</si>
  <si>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</si>
  <si>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</si>
  <si>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</si>
  <si>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</si>
  <si>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</si>
  <si>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</si>
  <si>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</si>
  <si>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</si>
  <si>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</si>
  <si>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</si>
  <si>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</si>
  <si>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</si>
  <si>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</si>
  <si>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</si>
  <si>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</si>
  <si>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</si>
  <si>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</si>
  <si>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</si>
  <si>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</si>
  <si>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</si>
  <si>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</si>
  <si>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</si>
  <si>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</si>
  <si>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</si>
  <si>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</si>
  <si>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</si>
  <si>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</si>
  <si>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</si>
  <si>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</si>
  <si>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</si>
  <si>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</si>
  <si>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</si>
  <si>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</si>
  <si>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</si>
  <si>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</si>
  <si>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</si>
  <si>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</si>
  <si>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</si>
  <si>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</si>
  <si>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</si>
  <si>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</si>
  <si>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</si>
  <si>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</si>
  <si>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</si>
  <si>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</si>
  <si>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</si>
  <si>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</si>
  <si>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</si>
  <si>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</si>
  <si>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</si>
  <si>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</si>
  <si>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</si>
  <si>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</si>
  <si>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</si>
  <si>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</si>
  <si>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</si>
  <si>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</si>
  <si>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</si>
  <si>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</si>
  <si>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</si>
  <si>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</si>
  <si>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</si>
  <si>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</si>
  <si>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</si>
  <si>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</si>
  <si>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</si>
  <si>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</si>
  <si>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</si>
  <si>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</si>
  <si>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</si>
  <si>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</si>
  <si>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</si>
  <si>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</si>
  <si>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</si>
  <si>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</si>
  <si>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</si>
  <si>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</si>
  <si>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</si>
  <si>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</si>
  <si>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</si>
  <si>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</si>
  <si>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</si>
  <si>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</si>
  <si>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</si>
  <si>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</si>
  <si>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</si>
  <si>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</si>
  <si>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</si>
  <si>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</si>
  <si>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</si>
  <si>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</si>
  <si>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</si>
  <si>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</si>
  <si>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</si>
  <si>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</si>
  <si>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</si>
  <si>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</si>
  <si>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</si>
  <si>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</si>
  <si>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</si>
  <si>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</si>
  <si>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</si>
  <si>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</si>
  <si>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</si>
  <si>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</si>
  <si>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</si>
  <si>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</si>
  <si>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</si>
  <si>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</si>
  <si>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</si>
  <si>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</si>
  <si>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</si>
  <si>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</si>
  <si>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</si>
  <si>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</si>
  <si>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</si>
  <si>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</si>
  <si>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</si>
  <si>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</si>
  <si>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</si>
  <si>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</si>
  <si>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</si>
  <si>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</si>
  <si>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</si>
  <si>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</si>
  <si>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</si>
  <si>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</si>
  <si>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</si>
  <si>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</si>
  <si>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</si>
  <si>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</si>
  <si>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</si>
  <si>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</si>
  <si>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</si>
  <si>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</si>
  <si>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</si>
  <si>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</si>
  <si>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</si>
  <si>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</si>
  <si>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</si>
  <si>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</si>
  <si>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</si>
  <si>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</si>
  <si>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</si>
  <si>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</si>
  <si>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</si>
  <si>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</si>
  <si>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</si>
  <si>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</si>
  <si>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</si>
  <si>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</si>
  <si>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</si>
  <si>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</si>
  <si>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</si>
  <si>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</si>
  <si>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</si>
  <si>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</si>
  <si>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</si>
  <si>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</si>
  <si>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</si>
  <si>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</si>
  <si>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</si>
  <si>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</si>
  <si>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</si>
  <si>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</si>
  <si>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</si>
  <si>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</si>
  <si>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</si>
  <si>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</si>
  <si>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</si>
  <si>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</si>
  <si>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</si>
  <si>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</si>
  <si>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</si>
  <si>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</si>
  <si>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</si>
  <si>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</si>
  <si>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</si>
  <si>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</si>
  <si>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</si>
  <si>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</si>
  <si>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</si>
  <si>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</si>
  <si>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</si>
  <si>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</si>
  <si>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</si>
  <si>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</si>
  <si>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</si>
  <si>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</si>
  <si>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</si>
  <si>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</si>
  <si>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</si>
  <si>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</si>
  <si>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</si>
  <si>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</si>
  <si>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</si>
  <si>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</si>
  <si>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</si>
  <si>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</si>
  <si>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</si>
  <si>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</si>
  <si>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</si>
  <si>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</si>
  <si>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</si>
  <si>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</si>
  <si>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</si>
  <si>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</si>
  <si>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</si>
  <si>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</si>
  <si>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</si>
  <si>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</si>
  <si>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</si>
  <si>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</si>
  <si>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</si>
  <si>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</si>
  <si>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</si>
  <si>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</si>
  <si>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</si>
  <si>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</si>
  <si>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</si>
  <si>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</si>
  <si>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</si>
  <si>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</si>
  <si>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</si>
  <si>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</si>
  <si>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</si>
  <si>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</si>
  <si>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</si>
  <si>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</si>
  <si>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</si>
  <si>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</si>
  <si>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</si>
  <si>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</si>
  <si>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</si>
  <si>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</si>
  <si>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</si>
  <si>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</si>
  <si>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</si>
  <si>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</si>
  <si>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</si>
  <si>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</si>
  <si>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</si>
  <si>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</si>
  <si>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</si>
  <si>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</si>
  <si>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</si>
  <si>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</si>
  <si>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</si>
  <si>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</si>
  <si>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</si>
  <si>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</si>
  <si>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</si>
  <si>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</si>
  <si>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</si>
  <si>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</si>
  <si>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</si>
  <si>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</si>
  <si>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</si>
  <si>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</si>
  <si>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</si>
  <si>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</si>
  <si>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</si>
  <si>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</si>
  <si>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</si>
  <si>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</si>
  <si>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</si>
  <si>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</si>
  <si>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</si>
  <si>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</si>
  <si>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</si>
  <si>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</si>
  <si>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</si>
  <si>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</si>
  <si>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</si>
  <si>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</si>
  <si>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</si>
  <si>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</si>
  <si>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</si>
  <si>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</si>
  <si>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</si>
  <si>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</si>
  <si>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</si>
  <si>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</si>
  <si>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</si>
  <si>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</si>
  <si>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</si>
  <si>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</si>
  <si>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</si>
  <si>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</si>
  <si>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</si>
  <si>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</si>
  <si>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</si>
  <si>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</si>
  <si>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</si>
  <si>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</si>
  <si>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</si>
  <si>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</si>
  <si>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</si>
  <si>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</si>
  <si>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</si>
  <si>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</si>
  <si>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</si>
  <si>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</si>
  <si>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</si>
  <si>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</si>
  <si>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</si>
  <si>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</si>
  <si>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</si>
  <si>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</si>
  <si>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</si>
  <si>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</si>
  <si>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</si>
  <si>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</si>
  <si>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</si>
  <si>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</si>
  <si>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</si>
  <si>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</si>
  <si>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</si>
  <si>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</si>
  <si>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</si>
  <si>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</si>
  <si>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</si>
  <si>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</si>
  <si>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</si>
  <si>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</si>
  <si>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</si>
  <si>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</si>
  <si>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</si>
  <si>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</si>
  <si>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</si>
  <si>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</si>
  <si>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</si>
  <si>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</si>
  <si>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</si>
  <si>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</si>
  <si>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</si>
  <si>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</si>
  <si>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</si>
  <si>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</si>
  <si>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</si>
  <si>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</si>
  <si>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</si>
  <si>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</si>
  <si>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</si>
  <si>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</si>
  <si>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</si>
  <si>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</si>
  <si>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</si>
  <si>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</si>
  <si>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</si>
  <si>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</si>
  <si>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</si>
  <si>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</si>
  <si>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</si>
  <si>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</si>
  <si>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</si>
  <si>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</si>
  <si>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</si>
  <si>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</si>
  <si>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</si>
  <si>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</si>
  <si>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</si>
  <si>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</si>
  <si>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</si>
  <si>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</si>
  <si>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</si>
  <si>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</si>
  <si>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</si>
  <si>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</si>
  <si>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</si>
  <si>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</si>
  <si>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</si>
  <si>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</si>
  <si>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</si>
  <si>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</si>
  <si>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</si>
  <si>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</si>
  <si>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</si>
  <si>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</si>
  <si>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</si>
  <si>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</si>
  <si>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</si>
  <si>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</si>
  <si>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</si>
  <si>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</si>
  <si>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</si>
  <si>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</si>
  <si>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</si>
  <si>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</si>
  <si>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</si>
  <si>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</si>
  <si>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</si>
  <si>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</si>
  <si>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</si>
  <si>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</si>
  <si>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</si>
  <si>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</si>
  <si>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</si>
  <si>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</si>
  <si>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</si>
  <si>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</si>
  <si>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</si>
  <si>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</si>
  <si>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</si>
  <si>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</si>
  <si>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</si>
  <si>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</si>
  <si>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</si>
  <si>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</si>
  <si>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</si>
  <si>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</si>
  <si>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</si>
  <si>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</si>
  <si>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</si>
  <si>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</si>
  <si>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</si>
  <si>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</si>
  <si>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</si>
  <si>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</si>
  <si>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</si>
  <si>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</si>
  <si>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</si>
  <si>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</si>
  <si>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</si>
  <si>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</si>
  <si>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</si>
  <si>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</si>
  <si>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</si>
  <si>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</si>
  <si>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</si>
  <si>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</si>
  <si>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</si>
  <si>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</si>
  <si>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</si>
  <si>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</si>
  <si>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</si>
  <si>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</si>
  <si>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</si>
  <si>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</si>
  <si>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</si>
  <si>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</si>
  <si>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</si>
  <si>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</si>
  <si>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</si>
  <si>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</si>
  <si>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</si>
  <si>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</si>
  <si>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</si>
  <si>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</si>
  <si>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</si>
  <si>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</si>
  <si>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</si>
  <si>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</si>
  <si>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</si>
  <si>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</si>
  <si>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</si>
  <si>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</si>
  <si>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</si>
  <si>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</si>
  <si>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</si>
  <si>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</si>
  <si>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</si>
  <si>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</si>
  <si>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</si>
  <si>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</si>
  <si>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</si>
  <si>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</si>
  <si>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</si>
  <si>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</si>
  <si>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</si>
  <si>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</si>
  <si>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</si>
  <si>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</si>
  <si>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</si>
  <si>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</si>
  <si>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</si>
  <si>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</si>
  <si>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</si>
  <si>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</si>
  <si>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</si>
  <si>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</si>
  <si>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</si>
  <si>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</si>
  <si>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</si>
  <si>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</si>
  <si>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</si>
  <si>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</si>
  <si>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</si>
  <si>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</si>
  <si>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</si>
  <si>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</si>
  <si>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</si>
  <si>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</si>
  <si>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</si>
  <si>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</si>
  <si>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</si>
  <si>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</si>
  <si>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</si>
  <si>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</si>
  <si>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</si>
  <si>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</si>
  <si>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</si>
  <si>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</si>
  <si>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</si>
  <si>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</si>
  <si>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</si>
  <si>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</si>
  <si>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</si>
  <si>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</si>
  <si>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</si>
  <si>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</si>
  <si>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</si>
  <si>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</si>
  <si>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</si>
  <si>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</si>
  <si>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</si>
  <si>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</si>
  <si>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</si>
  <si>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</si>
  <si>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</si>
  <si>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</si>
  <si>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</si>
  <si>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</si>
  <si>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</si>
  <si>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</si>
  <si>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</si>
  <si>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</si>
  <si>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</si>
  <si>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</si>
  <si>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</si>
  <si>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</si>
  <si>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</si>
  <si>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</si>
  <si>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</si>
  <si>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</si>
  <si>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</si>
  <si>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</si>
  <si>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</si>
  <si>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</si>
  <si>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</si>
  <si>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</si>
  <si>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</si>
  <si>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</si>
  <si>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</si>
  <si>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</si>
  <si>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</si>
  <si>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</si>
  <si>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</si>
  <si>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</si>
  <si>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</si>
  <si>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</si>
  <si>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</si>
  <si>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</si>
  <si>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</si>
  <si>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</si>
  <si>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</si>
  <si>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</si>
  <si>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</si>
  <si>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</si>
  <si>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</si>
  <si>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</si>
  <si>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</si>
  <si>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</si>
  <si>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</si>
  <si>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</si>
  <si>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</si>
  <si>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</si>
  <si>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</si>
  <si>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</si>
  <si>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</si>
  <si>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</si>
  <si>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</si>
  <si>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</si>
  <si>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</si>
  <si>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</si>
  <si>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</si>
  <si>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</si>
  <si>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</si>
  <si>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</si>
  <si>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</si>
  <si>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</si>
  <si>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</si>
  <si>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</si>
  <si>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</si>
  <si>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</si>
  <si>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</si>
  <si>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</si>
  <si>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</si>
  <si>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</si>
  <si>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</si>
  <si>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</si>
  <si>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</si>
  <si>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</si>
  <si>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</si>
  <si>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</si>
  <si>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</si>
  <si>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</si>
  <si>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</si>
  <si>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</si>
  <si>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</si>
  <si>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</si>
  <si>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</si>
  <si>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</si>
  <si>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</si>
  <si>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</si>
  <si>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</si>
  <si>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</si>
  <si>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</si>
  <si>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</si>
  <si>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</si>
  <si>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</si>
  <si>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</si>
  <si>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</si>
  <si>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</si>
  <si>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</si>
  <si>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</si>
  <si>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</si>
  <si>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</si>
  <si>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</si>
  <si>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</si>
  <si>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</si>
  <si>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</si>
  <si>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</si>
  <si>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</si>
  <si>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</si>
  <si>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</si>
  <si>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</si>
  <si>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</si>
  <si>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</si>
  <si>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</si>
  <si>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</si>
  <si>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</si>
  <si>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</si>
  <si>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</si>
  <si>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</si>
  <si>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</si>
  <si>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</si>
  <si>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</si>
  <si>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</si>
  <si>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</si>
  <si>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</si>
  <si>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</si>
  <si>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</si>
  <si>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</si>
  <si>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</si>
  <si>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</si>
  <si>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</si>
  <si>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</si>
  <si>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</si>
  <si>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</si>
  <si>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</si>
  <si>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</si>
  <si>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</si>
  <si>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</si>
  <si>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</si>
  <si>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</si>
  <si>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</si>
  <si>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</si>
  <si>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</si>
  <si>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</si>
  <si>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</si>
  <si>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</si>
  <si>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</si>
  <si>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</si>
  <si>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</si>
  <si>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</si>
  <si>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</si>
  <si>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</si>
  <si>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</si>
  <si>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</si>
  <si>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</si>
  <si>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</si>
  <si>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</si>
  <si>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</si>
  <si>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</si>
  <si>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</si>
  <si>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</si>
  <si>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</si>
  <si>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</si>
  <si>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</si>
  <si>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</si>
  <si>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</si>
  <si>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</si>
  <si>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</si>
  <si>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</si>
  <si>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</si>
  <si>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</si>
  <si>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</si>
  <si>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</si>
  <si>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</si>
  <si>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</si>
  <si>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</si>
  <si>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</si>
  <si>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</si>
  <si>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</si>
  <si>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</si>
  <si>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</si>
  <si>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</si>
  <si>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</si>
  <si>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</si>
  <si>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</si>
  <si>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</si>
  <si>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</si>
  <si>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</si>
  <si>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</si>
  <si>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</si>
  <si>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</si>
  <si>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</si>
  <si>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</si>
  <si>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</si>
  <si>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</si>
  <si>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</si>
  <si>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</si>
  <si>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</si>
  <si>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</si>
  <si>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</si>
  <si>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</si>
  <si>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</si>
  <si>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</si>
  <si>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</si>
  <si>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</si>
  <si>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</si>
  <si>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</si>
  <si>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</si>
  <si>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</si>
  <si>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</si>
  <si>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</si>
  <si>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</si>
  <si>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</si>
  <si>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</si>
  <si>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</si>
  <si>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</si>
  <si>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</si>
  <si>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</si>
  <si>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</si>
  <si>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</si>
  <si>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</si>
  <si>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</si>
  <si>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</si>
  <si>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</si>
  <si>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</si>
  <si>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</si>
  <si>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</si>
  <si>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</si>
  <si>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</si>
  <si>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</si>
  <si>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</si>
  <si>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</si>
  <si>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</si>
  <si>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</si>
  <si>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</si>
  <si>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</si>
  <si>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</si>
  <si>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</si>
  <si>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</si>
  <si>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</si>
  <si>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</si>
  <si>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</si>
  <si>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</si>
  <si>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</si>
  <si>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</si>
  <si>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</si>
  <si>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</si>
  <si>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</si>
  <si>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</si>
  <si>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</si>
  <si>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</si>
  <si>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</si>
  <si>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</si>
  <si>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</si>
  <si>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</si>
  <si>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</si>
  <si>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</si>
  <si>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</si>
  <si>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</si>
  <si>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</si>
  <si>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</si>
  <si>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</si>
  <si>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</si>
  <si>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</si>
  <si>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</si>
  <si>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</si>
  <si>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</si>
  <si>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</si>
  <si>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</si>
  <si>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</si>
  <si>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</si>
  <si>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</si>
  <si>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</si>
  <si>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</si>
  <si>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</si>
  <si>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</si>
  <si>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</si>
  <si>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</si>
  <si>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</si>
  <si>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</si>
  <si>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</si>
  <si>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</si>
  <si>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</si>
  <si>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</si>
  <si>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</si>
  <si>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</si>
  <si>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</si>
  <si>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</si>
  <si>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</si>
  <si>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</si>
  <si>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</si>
  <si>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</si>
  <si>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</si>
  <si>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</si>
  <si>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</si>
  <si>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</si>
  <si>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</si>
  <si>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</si>
  <si>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</si>
  <si>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</si>
  <si>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</si>
  <si>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</si>
  <si>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</si>
  <si>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</si>
  <si>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</si>
  <si>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</si>
  <si>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</si>
  <si>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</si>
  <si>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</si>
  <si>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</si>
  <si>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</si>
  <si>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</si>
  <si>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</si>
  <si>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</si>
  <si>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</si>
  <si>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</si>
  <si>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</si>
  <si>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</si>
  <si>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</si>
  <si>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</si>
  <si>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</si>
  <si>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</si>
  <si>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</si>
  <si>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</si>
  <si>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</si>
  <si>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</si>
  <si>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</si>
  <si>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</si>
  <si>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</si>
  <si>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</si>
  <si>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</si>
  <si>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</si>
  <si>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</si>
  <si>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</si>
  <si>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</si>
  <si>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</si>
  <si>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</si>
  <si>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</si>
  <si>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</si>
  <si>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</si>
  <si>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</si>
  <si>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</si>
  <si>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</si>
  <si>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</si>
  <si>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</si>
  <si>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</si>
  <si>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</si>
  <si>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</si>
  <si>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</si>
  <si>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</si>
  <si>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</si>
  <si>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</si>
  <si>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</si>
  <si>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</si>
  <si>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</si>
  <si>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</si>
  <si>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</si>
  <si>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</si>
  <si>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</si>
  <si>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</si>
  <si>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</si>
  <si>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</si>
  <si>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</si>
  <si>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</si>
  <si>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</si>
  <si>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</si>
  <si>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</si>
  <si>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</si>
  <si>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</si>
  <si>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</si>
  <si>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</si>
  <si>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</si>
  <si>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</si>
  <si>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</si>
  <si>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</si>
  <si>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</si>
  <si>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</si>
  <si>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</si>
  <si>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</si>
  <si>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</si>
  <si>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</si>
  <si>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</si>
  <si>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</si>
  <si>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</si>
  <si>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</si>
  <si>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</si>
  <si>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</si>
  <si>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</si>
  <si>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</si>
  <si>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</si>
  <si>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</si>
  <si>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</si>
  <si>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</si>
  <si>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</si>
  <si>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</si>
  <si>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</si>
  <si>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</si>
  <si>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</si>
  <si>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</si>
  <si>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</si>
  <si>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</si>
  <si>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</si>
  <si>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</si>
  <si>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</si>
  <si>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</si>
  <si>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</si>
  <si>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</si>
  <si>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</si>
  <si>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</si>
  <si>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</si>
  <si>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</si>
  <si>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</si>
  <si>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</si>
  <si>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</si>
  <si>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</si>
  <si>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</si>
  <si>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</si>
  <si>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</si>
  <si>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</si>
  <si>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</si>
  <si>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</si>
  <si>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</si>
  <si>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</si>
  <si>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</si>
  <si>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</si>
  <si>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</si>
  <si>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</si>
  <si>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</si>
  <si>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</si>
  <si>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</si>
  <si>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</si>
  <si>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</si>
  <si>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</si>
  <si>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</si>
  <si>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</si>
  <si>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</si>
  <si>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</si>
  <si>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</si>
  <si>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</si>
  <si>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</si>
  <si>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</si>
  <si>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</si>
  <si>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</si>
  <si>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</si>
  <si>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</si>
  <si>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</si>
  <si>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</si>
  <si>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</si>
  <si>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</si>
  <si>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</si>
  <si>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</si>
  <si>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</si>
  <si>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</si>
  <si>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</si>
  <si>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</si>
  <si>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</si>
  <si>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</si>
  <si>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</si>
  <si>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</si>
  <si>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</si>
  <si>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</si>
  <si>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</si>
  <si>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</si>
  <si>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</si>
  <si>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</si>
  <si>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</si>
  <si>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</si>
  <si>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</si>
  <si>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</si>
  <si>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</si>
  <si>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</si>
  <si>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</si>
  <si>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</si>
  <si>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</si>
  <si>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</si>
  <si>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</si>
  <si>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</si>
  <si>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</si>
  <si>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</si>
  <si>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</si>
  <si>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</si>
  <si>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</si>
  <si>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</si>
  <si>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</si>
  <si>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</si>
  <si>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</si>
  <si>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</si>
  <si>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</si>
  <si>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</si>
  <si>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</si>
  <si>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</si>
  <si>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</si>
  <si>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</si>
  <si>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</si>
  <si>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</si>
  <si>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</si>
  <si>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</si>
  <si>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</si>
  <si>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</si>
  <si>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</si>
  <si>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</si>
  <si>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</si>
  <si>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</si>
  <si>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</si>
  <si>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</si>
  <si>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</si>
  <si>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</si>
  <si>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</si>
  <si>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</si>
  <si>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</si>
  <si>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</si>
  <si>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</si>
  <si>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</si>
  <si>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</si>
  <si>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</si>
  <si>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</si>
  <si>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</si>
  <si>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</si>
  <si>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</si>
  <si>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</si>
  <si>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</si>
  <si>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</si>
  <si>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</si>
  <si>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</si>
  <si>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</si>
  <si>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</si>
  <si>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</si>
  <si>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</si>
  <si>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</si>
  <si>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</si>
  <si>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</si>
  <si>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</si>
  <si>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</si>
  <si>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</si>
  <si>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</si>
  <si>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</si>
  <si>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</si>
  <si>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</si>
  <si>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</si>
  <si>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</si>
  <si>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</si>
  <si>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</si>
  <si>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</si>
  <si>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</si>
  <si>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</si>
  <si>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</si>
  <si>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</si>
  <si>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</si>
  <si>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</si>
  <si>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</si>
  <si>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</si>
  <si>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</si>
  <si>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</si>
  <si>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</si>
  <si>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</si>
  <si>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</si>
  <si>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</si>
  <si>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</si>
  <si>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</si>
  <si>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</si>
  <si>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</si>
  <si>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</si>
  <si>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</si>
  <si>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</si>
  <si>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</si>
  <si>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</si>
  <si>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</si>
  <si>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</si>
  <si>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</si>
  <si>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</si>
  <si>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</si>
  <si>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</si>
  <si>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</si>
  <si>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</si>
  <si>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</si>
  <si>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</si>
  <si>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</si>
  <si>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</si>
  <si>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</si>
  <si>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</si>
  <si>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</si>
  <si>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</si>
  <si>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</si>
  <si>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</si>
  <si>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</si>
  <si>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</si>
  <si>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</si>
  <si>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</si>
  <si>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</si>
  <si>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</si>
  <si>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</si>
  <si>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</si>
  <si>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</si>
  <si>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</si>
  <si>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</si>
  <si>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</si>
  <si>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</si>
  <si>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</si>
  <si>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</si>
  <si>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</si>
  <si>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</si>
  <si>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</si>
  <si>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</si>
  <si>
    <t xml:space="preserve">[Fix] altered the kdeg.soil and kdeg.sed calculation to match the Hollander et al. (2015) report.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</si>
</sst>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  <numFmt numFmtId="179" formatCode="0.000000E+00_)"/>
    <numFmt numFmtId="180" formatCode="0.0000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95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  <xf numFmtId="166" fontId="30" fillId="2" borderId="11" xfId="0" applyNumberFormat="1" applyFont="1" applyFill="1" applyBorder="1" applyAlignment="1">
      <alignment horizontal="right"/>
    </xf>
    <xf numFmtId="180" fontId="0" fillId="2" borderId="11" xfId="8" applyNumberFormat="1" applyFont="1" applyFill="1" applyBorder="1" applyAlignment="1" applyProtection="1">
      <alignment horizontal="right"/>
    </xf>
    <xf numFmtId="179" fontId="0" fillId="2" borderId="11" xfId="0" applyNumberFormat="1" applyFont="1" applyFill="1" applyBorder="1" applyAlignment="1">
      <alignment horizontal="right"/>
    </xf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2"/>
  <sheetViews>
    <sheetView topLeftCell="A6" zoomScaleNormal="100" workbookViewId="0">
      <selection activeCell="U27" sqref="U27"/>
    </sheetView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  <row r="41" spans="2:12" ht="12.75" customHeight="1" x14ac:dyDescent="0.2">
      <c r="D41" s="90" t="s">
        <v>4054</v>
      </c>
    </row>
    <row r="42" spans="2:12" ht="12.75" customHeight="1" x14ac:dyDescent="0.2">
      <c r="D42" s="90" t="s">
        <v>4055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opLeftCell="F45" zoomScaleNormal="100" workbookViewId="0">
      <selection activeCell="K76" sqref="K76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9.710937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5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1-aminoanthraquinone</v>
      </c>
      <c r="M5" s="29"/>
      <c r="N5" s="92"/>
      <c r="O5" s="161"/>
    </row>
    <row r="6" spans="1:15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>
        <v>67</v>
      </c>
      <c r="J6" s="400"/>
      <c r="K6" s="121">
        <f>VLOOKUP(ChemName,ChemData,26,FALSE)</f>
        <v>0</v>
      </c>
      <c r="L6" s="393">
        <f>IF(ISBLANK(I6),IF(ISBLANK(J6),K6,J6),I6)</f>
        <v>67</v>
      </c>
      <c r="M6" s="29"/>
      <c r="N6" s="36"/>
      <c r="O6" s="161"/>
    </row>
    <row r="7" spans="1:15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/>
      </c>
      <c r="K14" s="350" t="s">
        <v>2061</v>
      </c>
      <c r="L14" s="351" t="str">
        <f>IF(I14="",IF(J14="",K14,J14),I14)</f>
        <v>neutral</v>
      </c>
      <c r="M14" s="36"/>
      <c r="N14" s="29"/>
      <c r="O14" s="172"/>
    </row>
    <row r="15" spans="1:15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223</v>
      </c>
      <c r="K15" s="345">
        <f>MEDIAN(substances!F$17:F$283)</f>
        <v>138</v>
      </c>
      <c r="L15" s="346">
        <f>IF(ISBLANK(I15),IF(ISNUMBER(J15)=FALSE,K15/1000,J15/1000),I15/1000)</f>
        <v>0.223</v>
      </c>
      <c r="M15" s="36" t="s">
        <v>1359</v>
      </c>
      <c r="N15" s="29"/>
      <c r="O15" s="159"/>
    </row>
    <row r="16" spans="1:15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3.8430650478067814</v>
      </c>
      <c r="L17" s="346">
        <f t="shared" ref="L17:L23" si="0">IF(ISBLANK(I17), IF(ISNUMBER(J17)=FALSE, K17, J17), I17)</f>
        <v>3.8430650478067814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3.8430650478067814</v>
      </c>
      <c r="L18" s="346">
        <f t="shared" si="0"/>
        <v>3.8430650478067814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4.5003737530130299E-10</v>
      </c>
      <c r="L19" s="346">
        <f>IF(ISBLANK(I19), IF(ISNUMBER(J19)=FALSE, K19, J19), I19)</f>
        <v>4.5003737530130299E-10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160</v>
      </c>
      <c r="K20" s="345">
        <f>MEDIAN(substances!K$17:K$283)</f>
        <v>18</v>
      </c>
      <c r="L20" s="346">
        <f t="shared" si="0"/>
        <v>160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5.0596442562694036E-2</v>
      </c>
      <c r="L21" s="346">
        <f t="shared" si="0"/>
        <v>5.0596442562694036E-2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 t="str">
        <f>IF(HLOOKUP(CaseName,CaseData,ROW()-2,FALSE)="",IF(ISBLANK(VLOOKUP(ChemName,ChemData,MATCH("pKa",substances!$3:$3,FALSE)-1,FALSE)),"",VLOOKUP(ChemName,ChemData,MATCH("pKa",substances!$3:$3,FALSE)-1,FALSE)),HLOOKUP(CaseName,CaseData,ROW()-2,FALSE))</f>
        <v/>
      </c>
      <c r="K22" s="345">
        <v>7</v>
      </c>
      <c r="L22" s="346">
        <f t="shared" si="0"/>
        <v>7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160</v>
      </c>
      <c r="L23" s="346">
        <f t="shared" si="0"/>
        <v>160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1</v>
      </c>
      <c r="L24" s="351">
        <f t="shared" ref="L24:L35" si="2">IF(ISBLANK(I24), IF(ISNUMBER(J24)=FALSE, K24, J24), I24)</f>
        <v>1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1</v>
      </c>
      <c r="L25" s="351">
        <f t="shared" si="2"/>
        <v>1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1</v>
      </c>
      <c r="L26" s="351">
        <f t="shared" si="2"/>
        <v>1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1</v>
      </c>
      <c r="L27" s="351">
        <f t="shared" si="2"/>
        <v>1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1</v>
      </c>
      <c r="L28" s="351">
        <f t="shared" si="2"/>
        <v>1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1</v>
      </c>
      <c r="L29" s="351">
        <f t="shared" si="2"/>
        <v>1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1</v>
      </c>
      <c r="L30" s="351">
        <f t="shared" si="2"/>
        <v>1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1</v>
      </c>
      <c r="L31" s="351">
        <f t="shared" si="2"/>
        <v>1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1</v>
      </c>
      <c r="L32" s="351">
        <f t="shared" si="2"/>
        <v>1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1</v>
      </c>
      <c r="L33" s="351">
        <f t="shared" si="2"/>
        <v>1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1</v>
      </c>
      <c r="L34" s="351">
        <f t="shared" si="2"/>
        <v>1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9.9999999999999995E-8</v>
      </c>
      <c r="K35" s="345">
        <f>MEDIAN(substances!$H$17:$H$283)</f>
        <v>4</v>
      </c>
      <c r="L35" s="346">
        <f t="shared" si="2"/>
        <v>9.9999999999999995E-8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111.11682001753326</v>
      </c>
      <c r="L36" s="346">
        <f>IF(ISBLANK(I36),IF(ISNUMBER(J36)=FALSE,K36*1000,J36*1000),I36*1000)</f>
        <v>111116.82001753326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20</v>
      </c>
      <c r="K37" s="345">
        <f>10^(LOG(Kow)*-1.214+0.85)*(Molweight*1000000)</f>
        <v>3330.4521941465923</v>
      </c>
      <c r="L37" s="346">
        <f>IF(ISBLANK(I37),IF(ISNUMBER(J37)=FALSE,K37/(1000*Molweight),J37/(1000*Molweight)),I37/(1000*Molweight))</f>
        <v>8.9686098654708515E-2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>
        <f>IF(HLOOKUP(CaseName,CaseData,ROW()-2,FALSE)="",IF(ISBLANK(VLOOKUP(ChemName,ChemData,MATCH("Tm",substances!$3:$3,FALSE)-1,FALSE)),"",VLOOKUP(ChemName,ChemData,MATCH("Tm",substances!$3:$3,FALSE)-1,FALSE)),HLOOKUP(CaseName,CaseData,ROW()-2,FALSE))</f>
        <v>260</v>
      </c>
      <c r="K39" s="345">
        <f>MEDIAN(substances!$G$17:$G$283)</f>
        <v>1</v>
      </c>
      <c r="L39" s="346">
        <f>IF(ISBLANK(I39),IF(ISNUMBER(J39)=FALSE,K39+273,J39+273),I39+273)</f>
        <v>533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76.861300956135622</v>
      </c>
      <c r="J42" s="245">
        <f>1.26*Kow^0.81</f>
        <v>76.861300956135622</v>
      </c>
      <c r="K42" s="245">
        <f>MAX(IF(Pvap25&gt;100000,(100000/_Sol25)/(8.314*298),(Pvap25/_Sol25)/(8.314*298)),1E-20)</f>
        <v>4.5003737530130299E-10</v>
      </c>
      <c r="L42" s="245">
        <f>MAX(IF(Pvap25&gt;100000,(100000/_Sol25)/(8.314*298),(Pvap25/_Sol25)/(8.314*298)),1E-20)</f>
        <v>4.5003737530130299E-10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199.62953291926755</v>
      </c>
      <c r="J43" s="245">
        <f>10^(0.11*LOG(Kow)+1.54)</f>
        <v>60.597289411186779</v>
      </c>
      <c r="K43" s="245">
        <f>MAX(IF(Pvap25&gt;100000,(100000/_Sol25)/(8.314*298),(Pvap25/_Sol25)/(8.314*298)),1E-20)</f>
        <v>4.5003737530130299E-10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327.73618467249736</v>
      </c>
      <c r="J44" s="245">
        <f>IF(pKa&gt;0,10^(pKa^0.65*(Kow/(1+Kow))^0.14),1)</f>
        <v>3462.9228995105746</v>
      </c>
      <c r="K44" s="245">
        <f>MAX(IF(Pvap25&gt;100000,(100000/_Sol25)/(8.314*298),(Pvap25/_Sol25)/(8.314*298)),1E-20)</f>
        <v>4.5003737530130299E-10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76.861300956135622</v>
      </c>
      <c r="J46" s="245">
        <f>1.26*Kow^0.81</f>
        <v>76.861300956135622</v>
      </c>
      <c r="K46" s="245">
        <f t="shared" ref="K46:L64" si="3">MAX(IF(Pvap25&gt;100000,(100000/_Sol25)/(8.314*298),(Pvap25/_Sol25)/(8.314*298)),1E-20)</f>
        <v>4.5003737530130299E-10</v>
      </c>
      <c r="L46" s="245">
        <f t="shared" si="3"/>
        <v>4.5003737530130299E-10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146.58484518029866</v>
      </c>
      <c r="J47" s="245">
        <f>10.47*Kow^0.52</f>
        <v>146.58484518029866</v>
      </c>
      <c r="K47" s="245">
        <f t="shared" si="3"/>
        <v>4.5003737530130299E-10</v>
      </c>
      <c r="L47" s="245">
        <f t="shared" si="3"/>
        <v>4.5003737530130299E-10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194.2746304428793</v>
      </c>
      <c r="J48" s="245">
        <f>7.94*Kow^0.63</f>
        <v>194.2746304428793</v>
      </c>
      <c r="K48" s="245">
        <f t="shared" si="3"/>
        <v>4.5003737530130299E-10</v>
      </c>
      <c r="L48" s="245">
        <f t="shared" si="3"/>
        <v>4.5003737530130299E-10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133.61078121159886</v>
      </c>
      <c r="J49" s="245">
        <f>12.3*Kow^0.47</f>
        <v>133.61078121159886</v>
      </c>
      <c r="K49" s="245">
        <f t="shared" si="3"/>
        <v>4.5003737530130299E-10</v>
      </c>
      <c r="L49" s="245">
        <f t="shared" si="3"/>
        <v>4.5003737530130299E-10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34.326021839727836</v>
      </c>
      <c r="J50" s="245">
        <f>3.16*Kow^0.47</f>
        <v>34.326021839727836</v>
      </c>
      <c r="K50" s="245">
        <f t="shared" si="3"/>
        <v>4.5003737530130299E-10</v>
      </c>
      <c r="L50" s="245">
        <f t="shared" si="3"/>
        <v>4.5003737530130299E-10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100.3606356491011</v>
      </c>
      <c r="J51" s="245">
        <f>13.18*Kow^0.4</f>
        <v>100.3606356491011</v>
      </c>
      <c r="K51" s="245">
        <f t="shared" si="3"/>
        <v>4.5003737530130299E-10</v>
      </c>
      <c r="L51" s="245">
        <f t="shared" si="3"/>
        <v>4.5003737530130299E-10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22.871459324204174</v>
      </c>
      <c r="J52" s="245">
        <f>3.16*Kow^0.39</f>
        <v>22.871459324204174</v>
      </c>
      <c r="K52" s="245">
        <f t="shared" si="3"/>
        <v>4.5003737530130299E-10</v>
      </c>
      <c r="L52" s="245">
        <f t="shared" si="3"/>
        <v>4.5003737530130299E-10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94.905493302853273</v>
      </c>
      <c r="J53" s="245">
        <f>17.78*Kow^0.33</f>
        <v>94.905493302853273</v>
      </c>
      <c r="K53" s="245">
        <f t="shared" si="3"/>
        <v>4.5003737530130299E-10</v>
      </c>
      <c r="L53" s="245">
        <f t="shared" si="3"/>
        <v>4.5003737530130299E-10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164.65982402471172</v>
      </c>
      <c r="J54" s="245">
        <f>7.08*Kow^0.62</f>
        <v>164.65982402471172</v>
      </c>
      <c r="K54" s="245">
        <f t="shared" si="3"/>
        <v>4.5003737530130299E-10</v>
      </c>
      <c r="L54" s="245">
        <f t="shared" si="3"/>
        <v>4.5003737530130299E-10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90.240912876962668</v>
      </c>
      <c r="J55" s="245">
        <f>13.8*Kow^0.37</f>
        <v>90.240912876962668</v>
      </c>
      <c r="K55" s="245">
        <f t="shared" si="3"/>
        <v>4.5003737530130299E-10</v>
      </c>
      <c r="L55" s="245">
        <f t="shared" si="3"/>
        <v>4.5003737530130299E-10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572.24829771382952</v>
      </c>
      <c r="J56" s="245">
        <f>83.18*Kow^0.38</f>
        <v>572.24829771382952</v>
      </c>
      <c r="K56" s="245">
        <f t="shared" si="3"/>
        <v>4.5003737530130299E-10</v>
      </c>
      <c r="L56" s="245">
        <f t="shared" si="3"/>
        <v>4.5003737530130299E-10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134.89990642602893</v>
      </c>
      <c r="J57" s="245">
        <f>11.22*Kow^0.49</f>
        <v>134.89990642602893</v>
      </c>
      <c r="K57" s="245">
        <f t="shared" si="3"/>
        <v>4.5003737530130299E-10</v>
      </c>
      <c r="L57" s="245">
        <f t="shared" si="3"/>
        <v>4.5003737530130299E-10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176.76681616579415</v>
      </c>
      <c r="J58" s="245">
        <f>3.55*Kow^0.77</f>
        <v>176.76681616579415</v>
      </c>
      <c r="K58" s="245">
        <f t="shared" si="3"/>
        <v>4.5003737530130299E-10</v>
      </c>
      <c r="L58" s="245">
        <f t="shared" si="3"/>
        <v>4.5003737530130299E-10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43.915544889630972</v>
      </c>
      <c r="J59" s="245">
        <f>2.09*Kow^0.6</f>
        <v>43.915544889630972</v>
      </c>
      <c r="K59" s="245">
        <f t="shared" si="3"/>
        <v>4.5003737530130299E-10</v>
      </c>
      <c r="L59" s="245">
        <f t="shared" si="3"/>
        <v>4.5003737530130299E-10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216.89665671995149</v>
      </c>
      <c r="J60" s="245">
        <f>12.02*Kow^0.57</f>
        <v>216.89665671995149</v>
      </c>
      <c r="K60" s="245">
        <f t="shared" si="3"/>
        <v>4.5003737530130299E-10</v>
      </c>
      <c r="L60" s="245">
        <f t="shared" si="3"/>
        <v>4.5003737530130299E-10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134.89990642602893</v>
      </c>
      <c r="J61" s="245">
        <f>11.22*Kow^0.49</f>
        <v>134.89990642602893</v>
      </c>
      <c r="K61" s="245">
        <f t="shared" si="3"/>
        <v>4.5003737530130299E-10</v>
      </c>
      <c r="L61" s="245">
        <f t="shared" si="3"/>
        <v>4.5003737530130299E-10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177.82260392521994</v>
      </c>
      <c r="J62" s="245">
        <f>14.79*Kow^0.49</f>
        <v>177.82260392521994</v>
      </c>
      <c r="K62" s="245">
        <f t="shared" si="3"/>
        <v>4.5003737530130299E-10</v>
      </c>
      <c r="L62" s="245">
        <f t="shared" si="3"/>
        <v>4.5003737530130299E-10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144.94320504587481</v>
      </c>
      <c r="J63" s="245">
        <f>31.62*Kow^0.3</f>
        <v>144.94320504587481</v>
      </c>
      <c r="K63" s="245">
        <f t="shared" si="3"/>
        <v>4.5003737530130299E-10</v>
      </c>
      <c r="L63" s="245">
        <f t="shared" si="3"/>
        <v>4.5003737530130299E-10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279.17049407626752</v>
      </c>
      <c r="J64" s="247">
        <f>25.7*Kow^0.47</f>
        <v>279.17049407626752</v>
      </c>
      <c r="K64" s="247">
        <f t="shared" si="3"/>
        <v>4.5003737530130299E-10</v>
      </c>
      <c r="L64" s="247">
        <f t="shared" si="3"/>
        <v>4.5003737530130299E-10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 t="str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/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3.5063474584268925E-6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5.3000000000000003E-10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5.3000000000000003E-10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 t="str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/>
      </c>
      <c r="K74" s="345">
        <f>0.1*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6.5846009179950362E-10</v>
      </c>
      <c r="L74" s="346">
        <f t="shared" si="4"/>
        <v>6.5846009179950362E-10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 t="str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/>
      </c>
      <c r="K75" s="345">
        <f>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6.5846009179950347E-9</v>
      </c>
      <c r="L75" s="346">
        <f t="shared" si="4"/>
        <v>6.5846009179950347E-9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1.4219637660880982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1.4219637660880982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1.4219637660880982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7.3015816211560352E-6</v>
      </c>
      <c r="L155" s="346">
        <f t="shared" ref="L155:L160" si="17">IF(ISBLANK(I155), IF(ISNUMBER(J155)=FALSE, K155, J155), I155)</f>
        <v>7.3015816211560352E-6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7.5762195809660557E-10</v>
      </c>
      <c r="L156" s="346">
        <f t="shared" si="17"/>
        <v>7.5762195809660557E-10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1-aminoanthraquinone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1-aminoanthraquinone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1-aminoanthraquinone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1-aminoanthraquinone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2.7869309168568106E-2</v>
      </c>
      <c r="AY8" s="75"/>
      <c r="AZ8" s="295">
        <f>output!AF12</f>
        <v>6.6061689521126609E-6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4.4930171036233705E-3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0.1698789454367135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18033.58506678433</v>
      </c>
      <c r="D11" s="117">
        <f>C11/$C$51</f>
        <v>4.7703549428376025E-4</v>
      </c>
      <c r="E11" s="517">
        <f>M.aC*Molweight</f>
        <v>14957.282942034055</v>
      </c>
      <c r="F11" s="117">
        <f>E11/$E$51</f>
        <v>4.192748414381348E-4</v>
      </c>
      <c r="G11" s="517">
        <f>M.aM*Molweight</f>
        <v>1905.187377227059</v>
      </c>
      <c r="H11" s="117">
        <f>G11/$G$51</f>
        <v>2.012521878429362E-6</v>
      </c>
      <c r="I11" s="517">
        <f>M.aA*Molweight</f>
        <v>80.086215858074965</v>
      </c>
      <c r="J11" s="117">
        <f>I11/$I$51</f>
        <v>1.276993843638127E-7</v>
      </c>
      <c r="K11" s="517">
        <f>M.aT*Molweight</f>
        <v>114.64441712981672</v>
      </c>
      <c r="L11" s="118">
        <f>K11/$K$51</f>
        <v>1.0047652728167803E-7</v>
      </c>
      <c r="M11" s="320">
        <f>C.aR*(Molweight*1000)</f>
        <v>7.855375295894207E-8</v>
      </c>
      <c r="N11" s="320">
        <f>C.aC*(Molweight*1000)</f>
        <v>2.0776168270353237E-9</v>
      </c>
      <c r="O11" s="320">
        <f>C.aM*(Molweight*1000)</f>
        <v>2.4560505296258983E-11</v>
      </c>
      <c r="P11" s="320">
        <f>C.aA*(Molweight*1000)</f>
        <v>1.884381549601764E-12</v>
      </c>
      <c r="Q11" s="321">
        <f>C.aT*(Molweight*1000)</f>
        <v>8.9917189905738607E-13</v>
      </c>
      <c r="R11" s="119" t="s">
        <v>1493</v>
      </c>
      <c r="S11" s="323">
        <f>F.aR</f>
        <v>8.3467413497167555E-7</v>
      </c>
      <c r="T11" s="323">
        <f>F.aC</f>
        <v>2.2075750203999681E-8</v>
      </c>
      <c r="U11" s="323">
        <f>F.aM</f>
        <v>2.6096803450418247E-10</v>
      </c>
      <c r="V11" s="323">
        <f>F.aA</f>
        <v>1.8476927253324325E-11</v>
      </c>
      <c r="W11" s="324">
        <f>F.aT</f>
        <v>9.9899691492888177E-12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0.3170979198376459</v>
      </c>
      <c r="AT11" s="2"/>
      <c r="AU11" s="75"/>
      <c r="AV11" s="2"/>
      <c r="AW11" s="75"/>
      <c r="AX11" s="75"/>
      <c r="AY11" s="300">
        <f>IF(ISERROR(output!D11),0,output!D11)</f>
        <v>4.7703549428376025E-4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8833.9029203929531</v>
      </c>
      <c r="D12" s="122">
        <f>C12/$C$51</f>
        <v>2.3367983850566896E-4</v>
      </c>
      <c r="E12" s="318">
        <f>FRgas.aC*E11</f>
        <v>7326.950518904192</v>
      </c>
      <c r="F12" s="122">
        <f>E12/$E$51</f>
        <v>2.0538529818175984E-4</v>
      </c>
      <c r="G12" s="318">
        <f>FRgas.aM*G11</f>
        <v>933.27201847297476</v>
      </c>
      <c r="H12" s="122">
        <f>G12/$G$51</f>
        <v>9.8585072426655463E-7</v>
      </c>
      <c r="I12" s="318">
        <f>FRgas.aA*I11</f>
        <v>7.4648141704554369</v>
      </c>
      <c r="J12" s="122">
        <f>I12/$I$51</f>
        <v>1.1902824521597239E-8</v>
      </c>
      <c r="K12" s="318">
        <f>FRgas.aT*K11</f>
        <v>63.256385914133865</v>
      </c>
      <c r="L12" s="123">
        <f>K12/$K$51</f>
        <v>5.5439088480382817E-8</v>
      </c>
      <c r="M12" s="320">
        <f>FRgas.aR*M11</f>
        <v>3.8480214838145024E-8</v>
      </c>
      <c r="N12" s="320">
        <f>FRgas.aC*N11</f>
        <v>1.0177380308926891E-9</v>
      </c>
      <c r="O12" s="320">
        <f>FRgas.aM*O11</f>
        <v>1.2031169546124923E-11</v>
      </c>
      <c r="P12" s="320">
        <f>FRgas.aA*P11</f>
        <v>1.7564268636365733E-13</v>
      </c>
      <c r="Q12" s="320">
        <f>FRgas.aT*Q11</f>
        <v>4.9612851697359892E-13</v>
      </c>
      <c r="R12" s="120" t="s">
        <v>1493</v>
      </c>
      <c r="S12" s="325">
        <f>S11*FRgas.aR</f>
        <v>4.0887212671227023E-7</v>
      </c>
      <c r="T12" s="325">
        <f>T11*FRgas.aC</f>
        <v>1.081399142071712E-8</v>
      </c>
      <c r="U12" s="325">
        <f>U11*FRgas.aM</f>
        <v>1.2783738084236567E-10</v>
      </c>
      <c r="V12" s="325">
        <f>V11*FRgas.aA</f>
        <v>1.7222293113651058E-12</v>
      </c>
      <c r="W12" s="326">
        <f>W11*FRgas.aT</f>
        <v>5.5120812648220345E-12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0.3170979198376459</v>
      </c>
      <c r="AD12" s="325">
        <f>k.aC.aR*M.aC*Molweight</f>
        <v>4.4930171036233705E-3</v>
      </c>
      <c r="AE12" s="325">
        <f>k.aR.aC*M.aR*Molweight</f>
        <v>0.1698789454367135</v>
      </c>
      <c r="AF12" s="325">
        <f>kesc.aR*M.aR*Molweight</f>
        <v>6.6061689521126609E-6</v>
      </c>
      <c r="AG12" s="326">
        <f>KDEG.aR*M.aR*Molweight</f>
        <v>2.7869309168568106E-2</v>
      </c>
      <c r="AH12" s="325">
        <f>SUM(AH13:AH15)</f>
        <v>5.0636130582929796E-3</v>
      </c>
      <c r="AI12" s="325">
        <f>SUM(AI13:AI15)</f>
        <v>9.7385150631300828E-7</v>
      </c>
      <c r="AJ12" s="325">
        <f>SUM(AJ18:AJ20)</f>
        <v>0.11877888130650242</v>
      </c>
      <c r="AK12" s="325">
        <f>SUM(AK18:AK20)</f>
        <v>5.4443462536247026E-6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67</v>
      </c>
      <c r="BO12" s="409" t="str">
        <f>ChemName</f>
        <v>1-aminoanthraquinone</v>
      </c>
      <c r="BP12" s="541" t="str">
        <f>substances!D6</f>
        <v/>
      </c>
      <c r="BQ12" s="542" t="str">
        <f>substances!E6</f>
        <v/>
      </c>
      <c r="BR12" s="425">
        <f>engine!D45</f>
        <v>80868.094469884891</v>
      </c>
      <c r="BS12" s="425"/>
      <c r="BT12" s="425">
        <f>engine!F45</f>
        <v>43845386.875376835</v>
      </c>
      <c r="BU12" s="425">
        <f>engine!G45</f>
        <v>2328581.1792471642</v>
      </c>
      <c r="BV12" s="425">
        <f>engine!H45</f>
        <v>1245888.599361517</v>
      </c>
      <c r="BW12" s="425">
        <f>engine!I45</f>
        <v>19462.860943335767</v>
      </c>
      <c r="BX12" s="425">
        <f>engine!J45</f>
        <v>2497652.0314920982</v>
      </c>
      <c r="BY12" s="425">
        <f>engine!K45</f>
        <v>61519951.454028405</v>
      </c>
      <c r="BZ12" s="425">
        <f>engine!L45</f>
        <v>925056.30796003656</v>
      </c>
      <c r="CA12" s="425">
        <f>engine!M45</f>
        <v>67073.017677282754</v>
      </c>
      <c r="CB12" s="425">
        <f>engine!N45</f>
        <v>7114395.8930848669</v>
      </c>
      <c r="CC12" s="425">
        <f>engine!O45</f>
        <v>3036450.2662916691</v>
      </c>
      <c r="CD12" s="425">
        <f>engine!P45</f>
        <v>143036348.07255957</v>
      </c>
      <c r="CE12" s="425">
        <f>engine!Q45</f>
        <v>86282.253137685868</v>
      </c>
      <c r="CF12" s="425">
        <f>engine!R45</f>
        <v>59776.669527124686</v>
      </c>
      <c r="CG12" s="425">
        <f>engine!S45</f>
        <v>1094892.7566073663</v>
      </c>
      <c r="CH12" s="425">
        <f>engine!T45</f>
        <v>5073132.1318516945</v>
      </c>
      <c r="CI12" s="425">
        <f>engine!U45</f>
        <v>405515.83578050579</v>
      </c>
      <c r="CJ12" s="425">
        <f>engine!V45</f>
        <v>8543.4411534845694</v>
      </c>
      <c r="CK12" s="425">
        <f>engine!W45</f>
        <v>140322650.0112952</v>
      </c>
      <c r="CL12" s="611"/>
      <c r="CM12" s="425">
        <f>engine!Y45</f>
        <v>114345.21311949581</v>
      </c>
      <c r="CN12" s="425">
        <f>engine!Z45</f>
        <v>539647.97067240975</v>
      </c>
      <c r="CO12" s="425">
        <f>engine!AA45</f>
        <v>359.13101281647965</v>
      </c>
      <c r="CP12" s="425">
        <f>engine!AB45</f>
        <v>110211883.68750119</v>
      </c>
      <c r="CQ12" s="425"/>
      <c r="CR12" s="425">
        <f>engine!AD45</f>
        <v>75324.671992269767</v>
      </c>
      <c r="CS12" s="425">
        <f>engine!AE45</f>
        <v>54636.983939452024</v>
      </c>
      <c r="CT12" s="425">
        <f>engine!AF45</f>
        <v>514.10052524581488</v>
      </c>
      <c r="CU12" s="425">
        <f>engine!AG45</f>
        <v>153717098.52868542</v>
      </c>
      <c r="CV12" s="425"/>
      <c r="CW12" s="425">
        <f>engine!AI45</f>
        <v>138110.79580954404</v>
      </c>
      <c r="CX12" s="425">
        <f>engine!AJ45</f>
        <v>10339.034704840778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9199.6821463913766</v>
      </c>
      <c r="D13" s="122">
        <f>C13/$C$51</f>
        <v>2.4335565577809128E-4</v>
      </c>
      <c r="E13" s="318">
        <f>(1-FRgas.aC)*E11</f>
        <v>7630.3324231298629</v>
      </c>
      <c r="F13" s="122">
        <f>E13/$E$51</f>
        <v>2.1388954325637496E-4</v>
      </c>
      <c r="G13" s="318">
        <f>(1-FRgas.aM)*G11</f>
        <v>971.9153587540842</v>
      </c>
      <c r="H13" s="122">
        <f>G13/$G$51</f>
        <v>1.0266711541628076E-6</v>
      </c>
      <c r="I13" s="318">
        <f>(1-FRgas.aA)*I11</f>
        <v>72.621401687619525</v>
      </c>
      <c r="J13" s="122">
        <f>I13/$I$51</f>
        <v>1.1579655984221544E-7</v>
      </c>
      <c r="K13" s="318">
        <f>(1-FRgas.aT)*K11</f>
        <v>51.388031215682851</v>
      </c>
      <c r="L13" s="123">
        <f>K13/$K$51</f>
        <v>4.5037438801295202E-8</v>
      </c>
      <c r="M13" s="320">
        <f>(1-FRgas.aR)*M11</f>
        <v>4.0073538120797046E-8</v>
      </c>
      <c r="N13" s="320">
        <f>(1-FRgas.aC)*N11</f>
        <v>1.0598787961426346E-9</v>
      </c>
      <c r="O13" s="320">
        <f>(1-FRgas.aM)*O11</f>
        <v>1.252933575013406E-11</v>
      </c>
      <c r="P13" s="320">
        <f>(1-FRgas.aA)*P11</f>
        <v>1.7087388632381066E-12</v>
      </c>
      <c r="Q13" s="320">
        <f>(1-FRgas.aT)*Q11</f>
        <v>4.030433820837871E-13</v>
      </c>
      <c r="R13" s="120" t="s">
        <v>1493</v>
      </c>
      <c r="S13" s="325">
        <f>S11*(1-FRgas.aR)</f>
        <v>4.2580200825940532E-7</v>
      </c>
      <c r="T13" s="325">
        <f>T11*(1-FRgas.aC)</f>
        <v>1.1261758783282562E-8</v>
      </c>
      <c r="U13" s="325">
        <f>U11*(1-FRgas.aM)</f>
        <v>1.3313065366181681E-10</v>
      </c>
      <c r="V13" s="325">
        <f>V11*(1-FRgas.aA)</f>
        <v>1.6754697941959219E-11</v>
      </c>
      <c r="W13" s="326">
        <f>W11*(1-FRgas.aT)</f>
        <v>4.4778878844667832E-12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3.0503291143579511E-2</v>
      </c>
      <c r="AF13" s="330"/>
      <c r="AG13" s="326">
        <f>KDEG.w0R*M.w0R*Molweight</f>
        <v>2.7388052941285739E-3</v>
      </c>
      <c r="AH13" s="325">
        <f>k.aR.w0R*M.aR*Molweight</f>
        <v>3.6826247493796261E-4</v>
      </c>
      <c r="AI13" s="325">
        <f>k.w0R.aR*M.w0R*Molweight</f>
        <v>3.6043014221151281E-8</v>
      </c>
      <c r="AJ13" s="325"/>
      <c r="AK13" s="325"/>
      <c r="AL13" s="631">
        <f>SUM(AL18:AL20)*AREAFRAC.w0R/(AREAFRAC.w0R+AREAFRAC.w1R)</f>
        <v>3.2873870005784345E-2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0.3170979198376459</v>
      </c>
      <c r="AD14" s="325">
        <f>(WATERflow.w0R.w1R*C.w0R+WATERflow.w1C.w1R*C.w1C)*Molweight</f>
        <v>3.0503291143579511E-2</v>
      </c>
      <c r="AE14" s="325">
        <f>(WATERflow.w1R.w0R+WATERflow.w1R.w2R)*C.w1R*Molweight</f>
        <v>0.71028070685412237</v>
      </c>
      <c r="AF14" s="330"/>
      <c r="AG14" s="326">
        <f>KDEG.w1R*M.w1R*Molweight</f>
        <v>2.1043114520555299E-3</v>
      </c>
      <c r="AH14" s="325">
        <f>k.aR.w1R*M.aR*Molweight</f>
        <v>4.0508872243175884E-3</v>
      </c>
      <c r="AI14" s="325">
        <f>k.w1R.aR*M.w1R*Molweight</f>
        <v>9.2309990971569931E-7</v>
      </c>
      <c r="AJ14" s="325"/>
      <c r="AK14" s="325"/>
      <c r="AL14" s="631">
        <f>SUM(AL18:AL20)*AREAFRAC.w1R/(AREAFRAC.w0R+AREAFRAC.w1R)</f>
        <v>0.36161257006362779</v>
      </c>
      <c r="AM14" s="325">
        <f>k.w1R.sd1R*M.w1R*Molweight</f>
        <v>0.10171006999875389</v>
      </c>
      <c r="AN14" s="326">
        <f>k.sd1R.w1R*M.sd1R*Molweight</f>
        <v>0.10083134313567058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12724230.019893169</v>
      </c>
      <c r="D15" s="122">
        <f>C15/$C$51</f>
        <v>0.33658916596123939</v>
      </c>
      <c r="E15" s="318">
        <f>M.w0C*Molweight</f>
        <v>1586510.2841579253</v>
      </c>
      <c r="F15" s="122">
        <f>E15/$E$51</f>
        <v>4.4472238066777206E-2</v>
      </c>
      <c r="G15" s="318"/>
      <c r="H15" s="122"/>
      <c r="I15" s="318"/>
      <c r="J15" s="122"/>
      <c r="K15" s="318"/>
      <c r="L15" s="123"/>
      <c r="M15" s="320">
        <f>C.w0R*Molweight</f>
        <v>2.2267541706948716E-4</v>
      </c>
      <c r="N15" s="320">
        <f>C.w0C*Molweight</f>
        <v>1.8205199138892496E-6</v>
      </c>
      <c r="O15" s="320"/>
      <c r="P15" s="320"/>
      <c r="Q15" s="320"/>
      <c r="R15" s="120" t="s">
        <v>1489</v>
      </c>
      <c r="S15" s="325">
        <f>F.w0R</f>
        <v>1.7303839096413372E-10</v>
      </c>
      <c r="T15" s="325">
        <f>F.w0C</f>
        <v>1.414704149938811E-12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0.71081020606007228</v>
      </c>
      <c r="AE15" s="325">
        <f>k.w2R.w2C*M.w2R*Molweight</f>
        <v>0.71132925686588822</v>
      </c>
      <c r="AF15" s="330"/>
      <c r="AG15" s="326">
        <f>KDEG.w2R*M.w2R*Molweight</f>
        <v>1.117662996601062E-4</v>
      </c>
      <c r="AH15" s="325">
        <f>k.aR.w2R*M.aR*Molweight</f>
        <v>6.4446335903742909E-4</v>
      </c>
      <c r="AI15" s="325">
        <f>k.w2R.aR*M.w2R*Molweight</f>
        <v>1.4708582376157588E-8</v>
      </c>
      <c r="AJ15" s="325"/>
      <c r="AK15" s="325"/>
      <c r="AL15" s="631"/>
      <c r="AM15" s="325">
        <f>k.w2R.sd2R*M.w2R*Molweight</f>
        <v>1.505157839955689E-3</v>
      </c>
      <c r="AN15" s="326">
        <f>k.sd2R.w2R*M.sd2R*Molweight</f>
        <v>1.4915262949767114E-3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12724018.253229713</v>
      </c>
      <c r="D16" s="122">
        <f>C16/$C$51</f>
        <v>0.33658356417908675</v>
      </c>
      <c r="E16" s="318">
        <f>FRw.w0C*E15</f>
        <v>1586483.8802035099</v>
      </c>
      <c r="F16" s="122">
        <f>E16/$E$51</f>
        <v>4.4471497924744481E-2</v>
      </c>
      <c r="G16" s="318"/>
      <c r="H16" s="122"/>
      <c r="I16" s="318"/>
      <c r="J16" s="122"/>
      <c r="K16" s="318"/>
      <c r="L16" s="123"/>
      <c r="M16" s="320">
        <f>M15*FRw.w0R</f>
        <v>2.2267171112971455E-4</v>
      </c>
      <c r="N16" s="320">
        <f>N15*FRw.w0C</f>
        <v>1.8204896153621626E-6</v>
      </c>
      <c r="O16" s="320"/>
      <c r="P16" s="320"/>
      <c r="Q16" s="320"/>
      <c r="R16" s="120" t="s">
        <v>1489</v>
      </c>
      <c r="S16" s="325">
        <f>S15*FRw.w0R</f>
        <v>1.7303551112286654E-10</v>
      </c>
      <c r="T16" s="325">
        <f>T15*FRw.w0C</f>
        <v>1.414680605317475E-12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8.0442930525286547E-4</v>
      </c>
      <c r="AG16" s="326">
        <f>KDEG.sd1R*M.sd1R*Molweight</f>
        <v>7.4297557830418559E-5</v>
      </c>
      <c r="AH16" s="325"/>
      <c r="AI16" s="325"/>
      <c r="AJ16" s="325"/>
      <c r="AK16" s="325"/>
      <c r="AL16" s="631"/>
      <c r="AM16" s="325">
        <f>k.w1R.sd1R*M.w1R*Molweight</f>
        <v>0.10171006999875389</v>
      </c>
      <c r="AN16" s="326">
        <f>k.sd1R.w1R*M.sd1R*Molweight</f>
        <v>0.10083134313567058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211.76666345646763</v>
      </c>
      <c r="D17" s="122">
        <f>C17/$C$51</f>
        <v>5.6017821526151059E-6</v>
      </c>
      <c r="E17" s="318">
        <f>(1-FRw.w0C)*E15</f>
        <v>26.403954415334983</v>
      </c>
      <c r="F17" s="122">
        <f>E17/$E$51</f>
        <v>7.401420327296305E-7</v>
      </c>
      <c r="G17" s="318"/>
      <c r="H17" s="122"/>
      <c r="I17" s="318"/>
      <c r="J17" s="122"/>
      <c r="K17" s="318"/>
      <c r="L17" s="123"/>
      <c r="M17" s="320">
        <f>M16*Kp.susp1R</f>
        <v>1.7114837403558684E-3</v>
      </c>
      <c r="N17" s="320">
        <f>N16*Kp.susp1C</f>
        <v>1.3992520021387077E-5</v>
      </c>
      <c r="O17" s="320"/>
      <c r="P17" s="320"/>
      <c r="Q17" s="320"/>
      <c r="R17" s="120" t="s">
        <v>1494</v>
      </c>
      <c r="S17" s="325">
        <f>S15*(1-FRw.w0R)</f>
        <v>2.8798412671777547E-15</v>
      </c>
      <c r="T17" s="325">
        <f>T15*(1-FRw.w0C)</f>
        <v>2.3544621336000934E-17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1.2470893025645536E-5</v>
      </c>
      <c r="AG17" s="326">
        <f>KDEG.sd2R*M.sd2R*Molweight</f>
        <v>1.1606519533318953E-6</v>
      </c>
      <c r="AH17" s="325"/>
      <c r="AI17" s="325"/>
      <c r="AJ17" s="325"/>
      <c r="AK17" s="325"/>
      <c r="AL17" s="631"/>
      <c r="AM17" s="325">
        <f>k.w2R.sd2R*M.w2R*Molweight</f>
        <v>1.505157839955689E-3</v>
      </c>
      <c r="AN17" s="326">
        <f>k.sd2R.w2R*M.sd2R*Molweight</f>
        <v>1.4915262949767114E-3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2.1121840663026708E-4</v>
      </c>
      <c r="AG18" s="326">
        <f>KDEG.s1R*M.s1R*Molweight</f>
        <v>1.4894545655618461E-3</v>
      </c>
      <c r="AH18" s="325"/>
      <c r="AI18" s="325"/>
      <c r="AJ18" s="325">
        <f>k.aR.s1R*M.aR*Molweight</f>
        <v>3.3062162837892435E-2</v>
      </c>
      <c r="AK18" s="325">
        <f>k.s1R.aR*M.s1R*Molweight</f>
        <v>4.3281704035895307E-7</v>
      </c>
      <c r="AL18" s="631">
        <f>(k.s1R.w1R+k.s1R.w0R)*M.s1R*Molweight</f>
        <v>3.136105704865997E-2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9777521.2732090354</v>
      </c>
      <c r="D19" s="122">
        <f>C19/$C$51</f>
        <v>0.2586410120983757</v>
      </c>
      <c r="E19" s="318">
        <f>M.w1C*Molweight</f>
        <v>677128.40938304225</v>
      </c>
      <c r="F19" s="122">
        <f>E19/$E$51</f>
        <v>1.8980914353066536E-2</v>
      </c>
      <c r="G19" s="318"/>
      <c r="H19" s="122"/>
      <c r="I19" s="318"/>
      <c r="J19" s="122"/>
      <c r="K19" s="318"/>
      <c r="L19" s="123"/>
      <c r="M19" s="320">
        <f>C.w1R*Molweight</f>
        <v>5.185081566794886E-4</v>
      </c>
      <c r="N19" s="320">
        <f>C.w1C*Molweight</f>
        <v>2.3545593267134507E-6</v>
      </c>
      <c r="O19" s="320"/>
      <c r="P19" s="320"/>
      <c r="Q19" s="320"/>
      <c r="R19" s="120" t="s">
        <v>1489</v>
      </c>
      <c r="S19" s="325">
        <f>F.w1R</f>
        <v>4.0292645822506507E-10</v>
      </c>
      <c r="T19" s="325">
        <f>F.w1C</f>
        <v>1.8296997606922586E-12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0.3170979198376459</v>
      </c>
      <c r="AD19" s="330"/>
      <c r="AE19" s="330"/>
      <c r="AF19" s="325">
        <f>(FRACinf.s2R*RAINrate.R/Ks2w.R*SYSTEMAREA.R*AREAFRAC.s2R*CORRleach.s2R)*C.s2R*Molweight</f>
        <v>2.3674399534128259E-3</v>
      </c>
      <c r="AG19" s="326">
        <f>KDEG.s2R*M.s2R*Molweight</f>
        <v>3.6686924924287892E-2</v>
      </c>
      <c r="AH19" s="325"/>
      <c r="AI19" s="325"/>
      <c r="AJ19" s="325">
        <f>k.aR.s2R*M.aR*Molweight</f>
        <v>7.3471472973094282E-2</v>
      </c>
      <c r="AK19" s="325">
        <f>k.s2R.aR*M.s2R*Molweight</f>
        <v>4.8512266057253966E-6</v>
      </c>
      <c r="AL19" s="631">
        <f>(k.s2R.w1R+k.s2R.w0R)*M.s2R*Molweight</f>
        <v>0.35151017670643364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9776269.0118335653</v>
      </c>
      <c r="D20" s="122">
        <f>C20/$C$51</f>
        <v>0.25860788650953648</v>
      </c>
      <c r="E20" s="318">
        <f>FRw.w1C*E19</f>
        <v>677041.6857923069</v>
      </c>
      <c r="F20" s="122">
        <f>E20/$E$51</f>
        <v>1.8978483362097426E-2</v>
      </c>
      <c r="G20" s="318"/>
      <c r="H20" s="122"/>
      <c r="I20" s="318"/>
      <c r="J20" s="122"/>
      <c r="K20" s="318"/>
      <c r="L20" s="123"/>
      <c r="M20" s="320">
        <f>M19*FRw.w1R</f>
        <v>5.1844174846422291E-4</v>
      </c>
      <c r="N20" s="320">
        <f>N19*FRw.w1C</f>
        <v>2.3542577652421219E-6</v>
      </c>
      <c r="O20" s="320"/>
      <c r="P20" s="320"/>
      <c r="Q20" s="320"/>
      <c r="R20" s="120" t="s">
        <v>1489</v>
      </c>
      <c r="S20" s="325">
        <f>S19*FRw.w1R</f>
        <v>4.0287485319893508E-10</v>
      </c>
      <c r="T20" s="325">
        <f>T19*FRw.w1C</f>
        <v>1.8294654208964148E-12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7.8229039492691533E-5</v>
      </c>
      <c r="AG20" s="326">
        <f>KDEG.s3R*M.s3R*Molweight</f>
        <v>5.5164983909698013E-4</v>
      </c>
      <c r="AH20" s="325"/>
      <c r="AI20" s="325"/>
      <c r="AJ20" s="325">
        <f>k.aR.s3R*M.aR*Molweight</f>
        <v>1.2245245495515712E-2</v>
      </c>
      <c r="AK20" s="325">
        <f>k.s3R.aR*M.s3R*Molweight</f>
        <v>1.6030260754035303E-7</v>
      </c>
      <c r="AL20" s="631">
        <f>(k.s3R.w1R+k.s3R.w0R)*M.s3R*Molweight</f>
        <v>1.161520631431851E-2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4.3281704035895307E-7</v>
      </c>
      <c r="BE20" s="2"/>
      <c r="BF20" s="296">
        <f>IF(output!AK20&lt;0,"",output!AK20)</f>
        <v>1.6030260754035303E-7</v>
      </c>
      <c r="BG20" s="75"/>
      <c r="BH20" s="296">
        <f>IF(output!AK19&lt;0,"",output!AK19)</f>
        <v>4.8512266057253966E-6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1252.2613754704744</v>
      </c>
      <c r="D21" s="122">
        <f>C21/$C$51</f>
        <v>3.312558883925459E-5</v>
      </c>
      <c r="E21" s="318">
        <f>(1-FRw.w1C)*E19</f>
        <v>86.723590735368859</v>
      </c>
      <c r="F21" s="122">
        <f>E21/$E$51</f>
        <v>2.4309909691106444E-6</v>
      </c>
      <c r="G21" s="318"/>
      <c r="H21" s="122"/>
      <c r="I21" s="318"/>
      <c r="J21" s="122"/>
      <c r="K21" s="318"/>
      <c r="L21" s="123"/>
      <c r="M21" s="320">
        <f>M20*Kp.susp1R</f>
        <v>3.9848107256933805E-3</v>
      </c>
      <c r="N21" s="320">
        <f>N20*Kp.susp1C</f>
        <v>1.8095131462259402E-5</v>
      </c>
      <c r="O21" s="320"/>
      <c r="P21" s="320"/>
      <c r="Q21" s="320"/>
      <c r="R21" s="120" t="s">
        <v>1494</v>
      </c>
      <c r="S21" s="325">
        <f>S19*(1-FRw.w1R)</f>
        <v>5.160502612997786E-14</v>
      </c>
      <c r="T21" s="325">
        <f>T19*(1-FRw.w1C)</f>
        <v>2.3433979584382752E-16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1.4708582376157588E-8</v>
      </c>
      <c r="AV21" s="75"/>
      <c r="AW21" s="75"/>
      <c r="AX21" s="288">
        <f>IF(output!AI14&lt;0,"",output!AI14)</f>
        <v>9.2309990971569931E-7</v>
      </c>
      <c r="AY21" s="75"/>
      <c r="AZ21" s="75"/>
      <c r="BA21" s="296">
        <f>IF(output!AI13&lt;0,"",output!AI13)</f>
        <v>3.6043014221151281E-8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0.17012326899956581</v>
      </c>
      <c r="AE22" s="325">
        <f>(k.aC.aM+k.aC.aR)*M.aC*Molweight</f>
        <v>2.5160781846251767E-2</v>
      </c>
      <c r="AF22" s="325">
        <f>kesc.aC*M.aC*Molweight</f>
        <v>5.4792398634937155E-6</v>
      </c>
      <c r="AG22" s="326">
        <f>KDEG.aC*M.aC*Molweight</f>
        <v>2.3115156586422877E-2</v>
      </c>
      <c r="AH22" s="325">
        <f>SUM(AH23:AH25)</f>
        <v>6.9773667755707994E-2</v>
      </c>
      <c r="AI22" s="325">
        <f>SUM(AI23:AI25)</f>
        <v>1.1359673263073161E-7</v>
      </c>
      <c r="AJ22" s="325">
        <f>SUM(AJ28:AJ30)</f>
        <v>5.206895722088381E-2</v>
      </c>
      <c r="AK22" s="325">
        <f>SUM(AK28:AK30)</f>
        <v>6.6005283152248013E-7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3.3062162837892435E-2</v>
      </c>
      <c r="BE22" s="2"/>
      <c r="BF22" s="296">
        <f>IF(output!AJ20&lt;0,"",output!AJ20)</f>
        <v>1.2245245495515712E-2</v>
      </c>
      <c r="BG22" s="75"/>
      <c r="BH22" s="296">
        <f>IF(output!AJ19&lt;0,"",output!AJ19)</f>
        <v>7.3471472973094282E-2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277833.15765761829</v>
      </c>
      <c r="D23" s="122">
        <f>C23/$C$51</f>
        <v>7.3494137300372702E-3</v>
      </c>
      <c r="E23" s="318">
        <f>M.sd1C*Molweight</f>
        <v>19240.942449703947</v>
      </c>
      <c r="F23" s="122">
        <f>E23/$E$51</f>
        <v>5.3935217552438886E-4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1.1333591252214138E-3</v>
      </c>
      <c r="N23" s="320">
        <f>C.sd1C*(Molweight*1000)/(FRACw.sdC*1000+FRACs.sdC*RHOsolid)</f>
        <v>5.1466139238681764E-6</v>
      </c>
      <c r="O23" s="320"/>
      <c r="P23" s="320"/>
      <c r="Q23" s="320"/>
      <c r="R23" s="120" t="s">
        <v>1495</v>
      </c>
      <c r="S23" s="325">
        <f>F.sd1R</f>
        <v>4.2069520581527004E-10</v>
      </c>
      <c r="T23" s="325">
        <f>F.sd1C</f>
        <v>1.9103881159738052E-12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3.8032780784607802E-3</v>
      </c>
      <c r="AF23" s="330"/>
      <c r="AG23" s="326">
        <f>KDEG.w0C*M.w0C*Molweight</f>
        <v>3.4148571337109759E-4</v>
      </c>
      <c r="AH23" s="325">
        <f>k.aC.w0C*M.aC*Molweight</f>
        <v>1.592592881250281E-4</v>
      </c>
      <c r="AI23" s="325">
        <f>k.w0C.aC*M.w0C*Molweight</f>
        <v>4.4939939504792893E-9</v>
      </c>
      <c r="AJ23" s="325"/>
      <c r="AK23" s="325"/>
      <c r="AL23" s="631">
        <f>SUM(AL28:AL30)*AREAFRAC.w0C/(AREAFRAC.w1C+AREAFRAC.w0C)</f>
        <v>3.9855089977008E-3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6.4446335903742909E-4</v>
      </c>
      <c r="AV23" s="75"/>
      <c r="AW23" s="75"/>
      <c r="AX23" s="288">
        <f>IF(output!AH14&lt;0,"",output!AH14)</f>
        <v>4.0508872243175884E-3</v>
      </c>
      <c r="AY23" s="291">
        <f>output!AL14</f>
        <v>0.36161257006362779</v>
      </c>
      <c r="AZ23" s="87"/>
      <c r="BA23" s="296">
        <f>IF(output!AH13&lt;0,"",output!AH13)</f>
        <v>3.6826247493796261E-4</v>
      </c>
      <c r="BB23" s="291">
        <f>output!AL13</f>
        <v>3.2873870005784345E-2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222266.52612609463</v>
      </c>
      <c r="D24" s="122">
        <f>C24/$C$51</f>
        <v>5.879530984029816E-3</v>
      </c>
      <c r="E24" s="318">
        <f>E23*FRACw.sdC</f>
        <v>15392.753959763158</v>
      </c>
      <c r="F24" s="122">
        <f>E24/$E$51</f>
        <v>4.3148174041951113E-4</v>
      </c>
      <c r="G24" s="318"/>
      <c r="H24" s="122"/>
      <c r="I24" s="318"/>
      <c r="J24" s="122"/>
      <c r="K24" s="318"/>
      <c r="L24" s="123"/>
      <c r="M24" s="320">
        <f>M25/Kp.sd1R</f>
        <v>5.4137396847076587E-4</v>
      </c>
      <c r="N24" s="320">
        <f>N25/Kp.sd1C</f>
        <v>2.4583935860639873E-6</v>
      </c>
      <c r="O24" s="320"/>
      <c r="P24" s="320"/>
      <c r="Q24" s="320"/>
      <c r="R24" s="120" t="s">
        <v>1489</v>
      </c>
      <c r="S24" s="325">
        <f>S23*FRACw.sdR</f>
        <v>3.3655616465221605E-10</v>
      </c>
      <c r="T24" s="325">
        <f>T23*FRACw.sdC</f>
        <v>1.5283104927790443E-12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3.8032780784607802E-3</v>
      </c>
      <c r="AE24" s="325">
        <f>(k.w1C.w0C+k.w1C.w1R+k.w1C.w2C)*M.w1C*Molweight</f>
        <v>4.9189485945218929E-2</v>
      </c>
      <c r="AF24" s="330"/>
      <c r="AG24" s="326">
        <f>KDEG.w1C*M.w1C*Molweight</f>
        <v>1.4573111390523465E-4</v>
      </c>
      <c r="AH24" s="325">
        <f>k.aC.w1C*M.aC*Molweight</f>
        <v>1.7518521693753088E-3</v>
      </c>
      <c r="AI24" s="325">
        <f>k.w1C.aC*M.w1C*Molweight</f>
        <v>6.3927978891757943E-8</v>
      </c>
      <c r="AJ24" s="518"/>
      <c r="AK24" s="518"/>
      <c r="AL24" s="631">
        <f>SUM(AL28:AL30)*AREAFRAC.w1C/(AREAFRAC.w1C+AREAFRAC.w0C)</f>
        <v>4.3840598974708794E-2</v>
      </c>
      <c r="AM24" s="325">
        <f>k.w1C.sd1C*M.w1C*Molweight</f>
        <v>7.0437870695514567E-3</v>
      </c>
      <c r="AN24" s="326">
        <f>k.sd1C.w1C*M.sd1C*Molweight</f>
        <v>6.9833388341096325E-3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3.0503291143579511E-2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55566.631531523642</v>
      </c>
      <c r="D25" s="122">
        <f>C25/$C$51</f>
        <v>1.4698827460074536E-3</v>
      </c>
      <c r="E25" s="318">
        <f>E23*FRACs.sdC</f>
        <v>3848.1884899407887</v>
      </c>
      <c r="F25" s="122">
        <f>E25/$E$51</f>
        <v>1.0787043510487775E-4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2.0805353760224507E-3</v>
      </c>
      <c r="N25" s="320">
        <f>C.sd1C*FRACs.sdC/(FRACw.sdC/(Kp.sd1C*RHOsolid/1000)+FRACs.sdC)*(Molweight*1000)/(FRACs.sdC*RHOsolid)</f>
        <v>9.4477664643548813E-6</v>
      </c>
      <c r="O25" s="320"/>
      <c r="P25" s="320"/>
      <c r="Q25" s="320"/>
      <c r="R25" s="120" t="s">
        <v>1494</v>
      </c>
      <c r="S25" s="325">
        <f>S23*(1-FRACw.sdR)</f>
        <v>8.4139041163053986E-11</v>
      </c>
      <c r="T25" s="325">
        <f>T23*(1-FRACw.sdC)</f>
        <v>3.8207762319476098E-13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0.95041038028577507</v>
      </c>
      <c r="AE25" s="325">
        <f>(k.w2C.w2M+k.w2C.w2R)*M.w2C*Molweight</f>
        <v>1.0113917508549954</v>
      </c>
      <c r="AF25" s="330"/>
      <c r="AG25" s="326">
        <f>KDEG.w2C*M.w2C*Molweight</f>
        <v>6.8654009074029651E-3</v>
      </c>
      <c r="AH25" s="325">
        <f>k.aC.w2C*M.aC*Molweight</f>
        <v>6.7862556298207657E-2</v>
      </c>
      <c r="AI25" s="325">
        <f>k.w2C.aC*M.w2C*Molweight</f>
        <v>4.5174759788494366E-8</v>
      </c>
      <c r="AJ25" s="325"/>
      <c r="AK25" s="325"/>
      <c r="AL25" s="631"/>
      <c r="AM25" s="325">
        <f>k.w2C.sd2C*M.w2C*Molweight</f>
        <v>4.6228210254977723E-3</v>
      </c>
      <c r="AN25" s="326">
        <f>k.sd2C.w2C*M.sd2C*Molweight</f>
        <v>4.6070813786733712E-3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0.71028070685412237</v>
      </c>
      <c r="AT25" s="75"/>
      <c r="AU25" s="75"/>
      <c r="AV25" s="87"/>
      <c r="AW25" s="75"/>
      <c r="AX25" s="289">
        <f>output!AD14</f>
        <v>3.0503291143579511E-2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5.530286313845457E-5</v>
      </c>
      <c r="AG26" s="326">
        <f>KDEG.sd1C*M.sd1C*Molweight</f>
        <v>5.1453723033674614E-6</v>
      </c>
      <c r="AH26" s="325"/>
      <c r="AI26" s="325"/>
      <c r="AJ26" s="325"/>
      <c r="AK26" s="325"/>
      <c r="AL26" s="631"/>
      <c r="AM26" s="325">
        <f>k.w1C.sd1C*M.w1C*Molweight</f>
        <v>7.0437870695514567E-3</v>
      </c>
      <c r="AN26" s="326">
        <f>k.sd1C.w1C*M.sd1C*Molweight</f>
        <v>6.9833388341096325E-3</v>
      </c>
      <c r="AO26" s="329">
        <f>SUM(AC26,AD26,AM26)-SUM(AE26,AF26,AG26,AN26)</f>
        <v>0</v>
      </c>
      <c r="AP26" s="29"/>
      <c r="AQ26" s="438"/>
      <c r="AR26" s="2"/>
      <c r="AS26" s="313">
        <f>output!AE15</f>
        <v>0.71132925686588822</v>
      </c>
      <c r="AT26" s="75"/>
      <c r="AU26" s="285">
        <f>output!AD15</f>
        <v>0.71081020606007228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519273.6029721176</v>
      </c>
      <c r="D27" s="122">
        <f>C27/$C$51</f>
        <v>1.3736145028564978E-2</v>
      </c>
      <c r="E27" s="318">
        <f>M.w2C*Molweight</f>
        <v>31897105.620180782</v>
      </c>
      <c r="F27" s="122">
        <f>E27/$E$51</f>
        <v>0.89412321429402875</v>
      </c>
      <c r="G27" s="318">
        <f>M.w2M*Molweight</f>
        <v>31291950.952518828</v>
      </c>
      <c r="H27" s="122">
        <f>G27/$G$51</f>
        <v>3.3054877784431828E-2</v>
      </c>
      <c r="I27" s="318">
        <f>M.w2A*Molweight</f>
        <v>24577250.062312767</v>
      </c>
      <c r="J27" s="122">
        <f>I27/$I$51</f>
        <v>3.9189012349824581E-2</v>
      </c>
      <c r="K27" s="318">
        <f>M.w2T*Molweight</f>
        <v>34278912.97189685</v>
      </c>
      <c r="L27" s="123">
        <f>K27/$K$51</f>
        <v>3.0042685205569301E-2</v>
      </c>
      <c r="M27" s="320">
        <f>C.w2R*Molweight</f>
        <v>5.1927360297211702E-5</v>
      </c>
      <c r="N27" s="320">
        <f>C.w2C*Molweight</f>
        <v>4.2948537355396771E-8</v>
      </c>
      <c r="O27" s="320">
        <f>C.w2M*Molweight</f>
        <v>8.0679321759753627E-9</v>
      </c>
      <c r="P27" s="320">
        <f>C.w2A*Molweight</f>
        <v>9.6381372793383393E-9</v>
      </c>
      <c r="Q27" s="320">
        <f>C.w2T*Molweight</f>
        <v>3.8407745626775185E-9</v>
      </c>
      <c r="R27" s="120" t="s">
        <v>1489</v>
      </c>
      <c r="S27" s="325">
        <f>F.w2R</f>
        <v>4.0352127734155766E-11</v>
      </c>
      <c r="T27" s="325">
        <f>F.w2C</f>
        <v>3.3374792314509196E-14</v>
      </c>
      <c r="U27" s="325">
        <f>F.w2M</f>
        <v>6.2694931506646282E-15</v>
      </c>
      <c r="V27" s="325">
        <f>F.w2A</f>
        <v>2.1093514827365245E-16</v>
      </c>
      <c r="W27" s="326">
        <f>F.w2T</f>
        <v>1.9203872813387588E-14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1.2174913538154578E-5</v>
      </c>
      <c r="AG27" s="326">
        <f>KDEG.sd2C*M.sd2C*Molweight</f>
        <v>3.5647332862483748E-6</v>
      </c>
      <c r="AH27" s="325"/>
      <c r="AI27" s="325"/>
      <c r="AJ27" s="325"/>
      <c r="AK27" s="325"/>
      <c r="AL27" s="631"/>
      <c r="AM27" s="325">
        <f>k.w2C.sd2C*M.w2C*Molweight</f>
        <v>4.6228210254977723E-3</v>
      </c>
      <c r="AN27" s="326">
        <f>k.sd2C.w2C*M.sd2C*Molweight</f>
        <v>4.6070813786733712E-3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2.7388052941285739E-3</v>
      </c>
      <c r="BB27" s="264">
        <f>IF(ISERROR(output!D15),0,output!D15)</f>
        <v>0.33658916596123939</v>
      </c>
      <c r="BC27" s="86"/>
      <c r="BD27" s="295">
        <f>output!AG18</f>
        <v>1.4894545655618461E-3</v>
      </c>
      <c r="BE27" s="75"/>
      <c r="BF27" s="295">
        <f>output!AG19</f>
        <v>3.6686924924287892E-2</v>
      </c>
      <c r="BG27" s="75"/>
      <c r="BH27" s="256">
        <f>output!AG20</f>
        <v>5.5164983909698013E-4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519247.00161046634</v>
      </c>
      <c r="D28" s="122">
        <f>C28/$C$51</f>
        <v>1.3735441352969863E-2</v>
      </c>
      <c r="E28" s="318">
        <f>FRw.w2C*E27</f>
        <v>31895471.594423696</v>
      </c>
      <c r="F28" s="122">
        <f>E28/$E$51</f>
        <v>0.89407741012673025</v>
      </c>
      <c r="G28" s="318">
        <f>FRw.w2M*G27</f>
        <v>31290347.927640811</v>
      </c>
      <c r="H28" s="122">
        <f>G28/$G$51</f>
        <v>3.3053184448292174E-2</v>
      </c>
      <c r="I28" s="318">
        <f>FRw.w2A*I27</f>
        <v>24575991.018306755</v>
      </c>
      <c r="J28" s="122">
        <f>I28/$I$51</f>
        <v>3.9187004774079721E-2</v>
      </c>
      <c r="K28" s="318">
        <f>FRw.w2T*K27</f>
        <v>34277156.930850744</v>
      </c>
      <c r="L28" s="123">
        <f>K28/$K$51</f>
        <v>3.004114617810949E-2</v>
      </c>
      <c r="M28" s="320">
        <f>M27*FRw.w2R</f>
        <v>5.1924700161046572E-5</v>
      </c>
      <c r="N28" s="320">
        <f>N27*FRw.w2C</f>
        <v>4.2946337186607054E-8</v>
      </c>
      <c r="O28" s="320">
        <f>O27*FRw.w2M</f>
        <v>8.0675188717358195E-9</v>
      </c>
      <c r="P28" s="320">
        <f>P27*FRw.w2A</f>
        <v>9.6376435365908842E-9</v>
      </c>
      <c r="Q28" s="320">
        <f>Q27*FRw.w2T</f>
        <v>3.8405778073782349E-9</v>
      </c>
      <c r="R28" s="120" t="s">
        <v>1489</v>
      </c>
      <c r="S28" s="325">
        <f>S27*FRw.w2R</f>
        <v>4.0350060574305713E-11</v>
      </c>
      <c r="T28" s="325">
        <f>T27*FRw.w2C</f>
        <v>3.3373082589779664E-14</v>
      </c>
      <c r="U28" s="325">
        <f>U27*FRw.w2M</f>
        <v>6.2691719769062923E-15</v>
      </c>
      <c r="V28" s="325">
        <f>V27*FRw.w2A</f>
        <v>2.1092434248238542E-16</v>
      </c>
      <c r="W28" s="326">
        <f>W27*FRw.w2T</f>
        <v>1.9202889036891169E-14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9.2591562221528917E-5</v>
      </c>
      <c r="AG28" s="326">
        <f>KDEG.s1C*M.s1C*Molweight</f>
        <v>6.5293043008685266E-4</v>
      </c>
      <c r="AH28" s="325"/>
      <c r="AI28" s="325"/>
      <c r="AJ28" s="325">
        <f>k.aC.s1C*M.aC*Molweight</f>
        <v>1.4493421082101682E-2</v>
      </c>
      <c r="AK28" s="325">
        <f>k.s1C.aC*M.s1C*Molweight</f>
        <v>1.8973349227600564E-7</v>
      </c>
      <c r="AL28" s="631">
        <f>(k.s1C.w1C+k.s1C.w0C)*M.s1C*Molweight</f>
        <v>1.3747709356301025E-2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26.601361651288641</v>
      </c>
      <c r="D29" s="122">
        <f>C29/$C$51</f>
        <v>7.0367559511594835E-7</v>
      </c>
      <c r="E29" s="318">
        <f>(1-FRw.w2C)*E27</f>
        <v>1634.0257570869458</v>
      </c>
      <c r="F29" s="122">
        <f>E29/$E$51</f>
        <v>4.5804167298535381E-5</v>
      </c>
      <c r="G29" s="318">
        <f>(1-FRw.w2M)*G27</f>
        <v>1603.024878017987</v>
      </c>
      <c r="H29" s="122">
        <f>G29/$G$51</f>
        <v>1.693336139657444E-6</v>
      </c>
      <c r="I29" s="318">
        <f>(1-FRw.w2A)*I27</f>
        <v>1259.0440060109188</v>
      </c>
      <c r="J29" s="122">
        <f>I29/$I$51</f>
        <v>2.0075757448631119E-6</v>
      </c>
      <c r="K29" s="318">
        <f>(1-FRw.w2T)*K27</f>
        <v>1756.0410461061706</v>
      </c>
      <c r="L29" s="123">
        <f>K29/$K$51</f>
        <v>1.5390274598111617E-6</v>
      </c>
      <c r="M29" s="320">
        <f>M28*Kp.susp2R</f>
        <v>3.9910000061353049E-4</v>
      </c>
      <c r="N29" s="320">
        <f>N28*Kp.susp2C</f>
        <v>3.3009113474634836E-7</v>
      </c>
      <c r="O29" s="320">
        <f>O28*Kp.susp2M</f>
        <v>6.2007999596979059E-8</v>
      </c>
      <c r="P29" s="320">
        <f>P28*Kp.susp2A</f>
        <v>7.407618203738673E-8</v>
      </c>
      <c r="Q29" s="320">
        <f>Q28*Kp.susp2T</f>
        <v>2.9519180669835401E-8</v>
      </c>
      <c r="R29" s="120" t="s">
        <v>1494</v>
      </c>
      <c r="S29" s="325">
        <f>S27*(1-FRw.w2R)</f>
        <v>2.0671598500509749E-15</v>
      </c>
      <c r="T29" s="325">
        <f>T27*(1-FRw.w2C)</f>
        <v>1.7097247295325719E-18</v>
      </c>
      <c r="U29" s="325">
        <f>U27*(1-FRw.w2M)</f>
        <v>3.211737583357611E-19</v>
      </c>
      <c r="V29" s="325">
        <f>V27*(1-FRw.w2A)</f>
        <v>1.0805791267030598E-20</v>
      </c>
      <c r="W29" s="326">
        <f>W27*(1-FRw.w2T)</f>
        <v>9.8377649641802263E-19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1.9522667710267897E-4</v>
      </c>
      <c r="AG29" s="326">
        <f>KDEG.s2C*M.s2C*Molweight</f>
        <v>3.0253212698211334E-3</v>
      </c>
      <c r="AH29" s="325"/>
      <c r="AI29" s="325"/>
      <c r="AJ29" s="325">
        <f>k.aC.s2C*M.aC*Molweight</f>
        <v>3.2207602404670396E-2</v>
      </c>
      <c r="AK29" s="325">
        <f>k.s2C.aC*M.s2C*Molweight</f>
        <v>4.0004767544054662E-7</v>
      </c>
      <c r="AL29" s="631">
        <f>(k.s2C.w1C+k.s2C.w0C)*M.s2C*Molweight</f>
        <v>2.8986654410071155E-2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0.3170979198376459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3.4293171193158836E-5</v>
      </c>
      <c r="AG30" s="326">
        <f>KDEG.s3C*M.s3C*Molweight</f>
        <v>2.418260852173527E-4</v>
      </c>
      <c r="AH30" s="325"/>
      <c r="AI30" s="325"/>
      <c r="AJ30" s="325">
        <f>k.aC.s3C*M.aC*Molweight</f>
        <v>5.3679337341117316E-3</v>
      </c>
      <c r="AK30" s="325">
        <f>k.s3C.aC*M.s3C*Molweight</f>
        <v>7.0271663805927964E-8</v>
      </c>
      <c r="AL30" s="631">
        <f>(k.s3C.w1C+k.s3C.w0C)*M.s3C*Molweight</f>
        <v>5.0917442060374142E-3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0.2586410120983757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915226969.54025447</v>
      </c>
      <c r="H31" s="122">
        <f>G31/$G$51</f>
        <v>0.9667890528485521</v>
      </c>
      <c r="I31" s="318">
        <f>M.w3A*Molweight</f>
        <v>602540140.6506381</v>
      </c>
      <c r="J31" s="122">
        <f>I31/$I$51</f>
        <v>0.96076464833758846</v>
      </c>
      <c r="K31" s="318">
        <f>M.w3T*Molweight</f>
        <v>1106694829.9106395</v>
      </c>
      <c r="L31" s="123">
        <f>K31/$K$51</f>
        <v>0.96992820107494193</v>
      </c>
      <c r="M31" s="320"/>
      <c r="N31" s="320"/>
      <c r="O31" s="320">
        <f>C.w3M*Molweight</f>
        <v>7.8656959069958236E-9</v>
      </c>
      <c r="P31" s="320">
        <f>C.w3A*Molweight</f>
        <v>7.8763417078514779E-9</v>
      </c>
      <c r="Q31" s="320">
        <f>C.w3T*Molweight</f>
        <v>4.1333140239426317E-9</v>
      </c>
      <c r="R31" s="120" t="s">
        <v>1489</v>
      </c>
      <c r="S31" s="325"/>
      <c r="T31" s="325"/>
      <c r="U31" s="325">
        <f>F.w3M</f>
        <v>6.1123377760868908E-15</v>
      </c>
      <c r="V31" s="325">
        <f>F.w3A</f>
        <v>1.7237742707413063E-16</v>
      </c>
      <c r="W31" s="326">
        <f>F.w3T</f>
        <v>2.0666570119713155E-14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2.1043114520555299E-3</v>
      </c>
      <c r="AY31" s="75"/>
      <c r="AZ31" s="75"/>
      <c r="BA31" s="87"/>
      <c r="BB31" s="2"/>
      <c r="BC31" s="86"/>
      <c r="BD31" s="277">
        <f>IF(ISERROR(output!D39),0,output!D39)</f>
        <v>1.4733482706648562E-2</v>
      </c>
      <c r="BE31" s="75"/>
      <c r="BF31" s="277">
        <f>IF(ISERROR(output!D43),0,output!D43)</f>
        <v>0.36290208941567448</v>
      </c>
      <c r="BG31" s="75"/>
      <c r="BH31" s="273">
        <f>IF(ISERROR(output!D47),0,output!D47)</f>
        <v>5.4568454469068753E-3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915180084.26923275</v>
      </c>
      <c r="H32" s="122">
        <f>G32/$G$51</f>
        <v>0.96673952615378433</v>
      </c>
      <c r="I32" s="318">
        <f>FRw.w3A*I31</f>
        <v>602509273.70862699</v>
      </c>
      <c r="J32" s="122">
        <f>I32/$I$51</f>
        <v>0.9607154302611719</v>
      </c>
      <c r="K32" s="318">
        <f>FRw.w3T*K31</f>
        <v>1106638136.1190822</v>
      </c>
      <c r="L32" s="123">
        <f>K32/$K$51</f>
        <v>0.96987851356780708</v>
      </c>
      <c r="M32" s="320"/>
      <c r="N32" s="320"/>
      <c r="O32" s="320">
        <f>O31*FRw.w3M</f>
        <v>7.8652929629211331E-9</v>
      </c>
      <c r="P32" s="320">
        <f>P31*FRw.w3A</f>
        <v>7.8759382184134233E-9</v>
      </c>
      <c r="Q32" s="320">
        <f>Q31*FRw.w3T</f>
        <v>4.1331022824242103E-9</v>
      </c>
      <c r="R32" s="120" t="s">
        <v>1489</v>
      </c>
      <c r="S32" s="325"/>
      <c r="T32" s="325"/>
      <c r="U32" s="325">
        <f>U31*FRw.w3M</f>
        <v>6.1120246530881753E-15</v>
      </c>
      <c r="V32" s="325">
        <f>V31*FRw.w3A</f>
        <v>1.7236859651880897E-16</v>
      </c>
      <c r="W32" s="326">
        <f>W31*FRw.w3T</f>
        <v>2.0665511412121052E-14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2.0769037878532921E-2</v>
      </c>
      <c r="AE32" s="325">
        <f>(k.aM.aA+k.aM.aC+k.aM.aT)*M.aM*Molweight</f>
        <v>2.2187255743144857E-3</v>
      </c>
      <c r="AF32" s="325">
        <f>kesc.aM*M.aM*Molweight</f>
        <v>6.9791944601055556E-7</v>
      </c>
      <c r="AG32" s="326">
        <f>KDEG.aM*M.aM*Molweight</f>
        <v>2.9442984211603684E-3</v>
      </c>
      <c r="AH32" s="325">
        <f>AH33</f>
        <v>8.462017414684499E-3</v>
      </c>
      <c r="AI32" s="325">
        <f>AI33</f>
        <v>8.8635400617604605E-8</v>
      </c>
      <c r="AJ32" s="325">
        <f>AJ36</f>
        <v>7.1434806996916369E-3</v>
      </c>
      <c r="AK32" s="325">
        <f>AK36</f>
        <v>9.3515363452215307E-8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0.10083134313567058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46885.271021682413</v>
      </c>
      <c r="H33" s="122">
        <f>G33/$G$51</f>
        <v>4.9526694767713941E-5</v>
      </c>
      <c r="I33" s="318">
        <f>(1-FRw.w3A)*I31</f>
        <v>30866.94201115899</v>
      </c>
      <c r="J33" s="122">
        <f>I33/$I$51</f>
        <v>4.9218076416593168E-5</v>
      </c>
      <c r="K33" s="318">
        <f>(1-FRw.w3T)*K31</f>
        <v>56693.791557213146</v>
      </c>
      <c r="L33" s="123">
        <f>K33/$K$51</f>
        <v>4.968750713477678E-5</v>
      </c>
      <c r="M33" s="320"/>
      <c r="N33" s="320"/>
      <c r="O33" s="320">
        <f>O32*Kp.susp3M</f>
        <v>6.0453664953125695E-8</v>
      </c>
      <c r="P33" s="320">
        <f>P32*Kp.susp3A</f>
        <v>6.0535485771740485E-8</v>
      </c>
      <c r="Q33" s="320">
        <f>Q32*Kp.susp3T</f>
        <v>3.1767561841189829E-8</v>
      </c>
      <c r="R33" s="120" t="s">
        <v>1494</v>
      </c>
      <c r="S33" s="325"/>
      <c r="T33" s="325"/>
      <c r="U33" s="325">
        <f>U31*(1-FRw.w3M)</f>
        <v>3.1312299871567193E-19</v>
      </c>
      <c r="V33" s="325">
        <f>V31*(1-FRw.w3A)</f>
        <v>8.8305553216495782E-21</v>
      </c>
      <c r="W33" s="326">
        <f>W31*(1-FRw.w3T)</f>
        <v>1.0587075921048207E-18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9.1867750887965585</v>
      </c>
      <c r="AE33" s="325">
        <f>(k.w2M.w2C+k.w2M.w2A+k.w2M.w2T+k.w2M.w3M)*M.w2M*Molweight</f>
        <v>9.1952778038444709</v>
      </c>
      <c r="AF33" s="330"/>
      <c r="AG33" s="326">
        <f>KDEG.w2M*M.w2M*Molweight</f>
        <v>6.7351499230673528E-3</v>
      </c>
      <c r="AH33" s="325">
        <f>k.aM.w2M*M.aM*Molweight</f>
        <v>8.462017414684499E-3</v>
      </c>
      <c r="AI33" s="325">
        <f>k.w2M.aM*M.w2M*Molweight</f>
        <v>8.8635400617604605E-8</v>
      </c>
      <c r="AJ33" s="325"/>
      <c r="AK33" s="325"/>
      <c r="AL33" s="325">
        <f>AL36</f>
        <v>6.7759361916962706E-3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1.117662996601062E-4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8.9766475961512207</v>
      </c>
      <c r="AE34" s="325">
        <f>(k.w3M.w2M+k.w3M.w3A+k.w3M.w3T)*M.w3M*Molweight</f>
        <v>8.7796510387952562</v>
      </c>
      <c r="AF34" s="330"/>
      <c r="AG34" s="326">
        <f>KDEG.w3M*M.w3M*Molweight</f>
        <v>0.19698966238447424</v>
      </c>
      <c r="AH34" s="325"/>
      <c r="AI34" s="325"/>
      <c r="AJ34" s="325"/>
      <c r="AK34" s="325"/>
      <c r="AL34" s="325"/>
      <c r="AM34" s="325">
        <f>k.w3M.sdM*M.w3M*Molweight</f>
        <v>8.8428723037834861E-3</v>
      </c>
      <c r="AN34" s="326">
        <f>k.sdM.w3M*M.sdM*Molweight</f>
        <v>8.835977332295155E-3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0.10171006999875389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4340.2179903638762</v>
      </c>
      <c r="D35" s="122">
        <f>C35/$C$51</f>
        <v>1.1481011826905097E-4</v>
      </c>
      <c r="E35" s="318">
        <f>M.sd2C*Molweight</f>
        <v>13330.197304548805</v>
      </c>
      <c r="F35" s="122">
        <f>E35/$E$51</f>
        <v>3.7366521599301218E-4</v>
      </c>
      <c r="G35" s="318">
        <f>M.sdM*Molweight</f>
        <v>25498.982525647563</v>
      </c>
      <c r="H35" s="122">
        <f>G35/$G$51</f>
        <v>2.6935544935871027E-5</v>
      </c>
      <c r="I35" s="318">
        <f>M.sdA*Molweight</f>
        <v>16797.401854276159</v>
      </c>
      <c r="J35" s="122">
        <f>I35/$I$51</f>
        <v>2.678385852946194E-5</v>
      </c>
      <c r="K35" s="318">
        <f>M.sdT*Molweight</f>
        <v>30798.707465528321</v>
      </c>
      <c r="L35" s="123">
        <f>K35/$K$51</f>
        <v>2.6992567526393287E-5</v>
      </c>
      <c r="M35" s="320">
        <f>C.sd2R*(Molweight*1000)/(FRACw.sdR*1000+FRACs.sdR*RHOsolid)</f>
        <v>1.1128764077856081E-4</v>
      </c>
      <c r="N35" s="320">
        <f>C.sd2C*(Molweight*1000)/(FRACw.sdC*1000+FRACs.sdC*RHOsolid)</f>
        <v>9.2044759637601775E-8</v>
      </c>
      <c r="O35" s="320">
        <f>C.sdM*(Molweight*1000)/(FRACw.sdM*1000+FRACs.sdM*RHOsolid)</f>
        <v>1.6857293256598491E-8</v>
      </c>
      <c r="P35" s="320">
        <f>C.sdA*(Molweight*1000)/(FRACw.sdA*1000+FRACs.sdA*RHOsolid)</f>
        <v>1.689029849600418E-8</v>
      </c>
      <c r="Q35" s="320">
        <f>C.sdT*(Molweight*1000)/(FRACw.sdT*1000+FRACs.sdT*RHOsolid)</f>
        <v>8.848296334275176E-9</v>
      </c>
      <c r="R35" s="120" t="s">
        <v>1495</v>
      </c>
      <c r="S35" s="325">
        <f>F.sd2R</f>
        <v>4.1309216028843507E-11</v>
      </c>
      <c r="T35" s="325">
        <f>F.sd2C</f>
        <v>3.4166389309648903E-14</v>
      </c>
      <c r="U35" s="325">
        <f>F.sdM</f>
        <v>6.257312707203564E-15</v>
      </c>
      <c r="V35" s="325">
        <f>F.sdA</f>
        <v>1.7657247034179955E-16</v>
      </c>
      <c r="W35" s="326">
        <f>F.sdT</f>
        <v>2.1132918922570363E-14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7.6087288947097513E-8</v>
      </c>
      <c r="AG35" s="326">
        <f>KDEG.sdM*M.sdM*Molweight</f>
        <v>6.8188841993826861E-6</v>
      </c>
      <c r="AH35" s="325"/>
      <c r="AI35" s="325"/>
      <c r="AJ35" s="325"/>
      <c r="AK35" s="325"/>
      <c r="AL35" s="325"/>
      <c r="AM35" s="325">
        <f>k.w3M.sdM*M.w3M*Molweight</f>
        <v>8.8428723037834861E-3</v>
      </c>
      <c r="AN35" s="326">
        <f>k.sdM.w3M*M.sdM*Molweight</f>
        <v>8.835977332295155E-3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7.4297557830418559E-5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0.3170979198376459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3472.174392291101</v>
      </c>
      <c r="D36" s="122">
        <f>C36/$C$51</f>
        <v>9.1848094615240778E-5</v>
      </c>
      <c r="E36" s="318">
        <f>E35*FRACw.sdC</f>
        <v>10664.157843639045</v>
      </c>
      <c r="F36" s="122">
        <f>E36/$E$51</f>
        <v>2.9893217279440977E-4</v>
      </c>
      <c r="G36" s="318">
        <f>G35*FRACw.sdM</f>
        <v>20399.186020518053</v>
      </c>
      <c r="H36" s="122">
        <f>G36/$G$51</f>
        <v>2.1548435948696824E-5</v>
      </c>
      <c r="I36" s="318">
        <f>I35*FRACw.sdA</f>
        <v>13437.921483420927</v>
      </c>
      <c r="J36" s="122">
        <f>I36/$I$51</f>
        <v>2.142708682356955E-5</v>
      </c>
      <c r="K36" s="318">
        <f>K35*FRACw.sdT</f>
        <v>24638.965972422659</v>
      </c>
      <c r="L36" s="123">
        <f>K36/$K$51</f>
        <v>2.1594054021114629E-5</v>
      </c>
      <c r="M36" s="320">
        <f>M37/Kp.sd2R</f>
        <v>5.3158994699291259E-5</v>
      </c>
      <c r="N36" s="320">
        <f>N37/Kp.sd2C</f>
        <v>4.3967208357025677E-8</v>
      </c>
      <c r="O36" s="320">
        <f>O37/Kp.sdM</f>
        <v>8.0522577044741448E-9</v>
      </c>
      <c r="P36" s="320">
        <f>P37/Kp.sdA</f>
        <v>8.0680233846012577E-9</v>
      </c>
      <c r="Q36" s="320">
        <f>Q37/Kp.sdT</f>
        <v>4.2265837845140747E-9</v>
      </c>
      <c r="R36" s="120" t="s">
        <v>1489</v>
      </c>
      <c r="S36" s="325">
        <f>S35*FRACw.sdR</f>
        <v>3.3047372823074805E-11</v>
      </c>
      <c r="T36" s="325">
        <f>T35*FRACw.sdC</f>
        <v>2.7333111447719124E-14</v>
      </c>
      <c r="U36" s="325">
        <f>U35*FRACw.sdM</f>
        <v>5.0058501657628512E-15</v>
      </c>
      <c r="V36" s="325">
        <f>V35*FRACw.sdA</f>
        <v>1.4125797627343964E-16</v>
      </c>
      <c r="W36" s="326">
        <f>W35*FRACw.sdT</f>
        <v>1.6906335138056292E-14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4.5636294835910211E-5</v>
      </c>
      <c r="AG36" s="326">
        <f>KDEG.sM*M.sM*Molweight</f>
        <v>3.2181469779600437E-4</v>
      </c>
      <c r="AH36" s="325"/>
      <c r="AI36" s="325"/>
      <c r="AJ36" s="325">
        <f>k.aM.sM*M.aM*Molweight</f>
        <v>7.1434806996916369E-3</v>
      </c>
      <c r="AK36" s="325">
        <f>k.sM.aM*M.sM*Molweight</f>
        <v>9.3515363452215307E-8</v>
      </c>
      <c r="AL36" s="325">
        <f>k.sM.w2M*M.sM*Molweight</f>
        <v>6.7759361916962706E-3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868.04359807277501</v>
      </c>
      <c r="D37" s="122">
        <f>C37/$C$51</f>
        <v>2.2962023653810188E-5</v>
      </c>
      <c r="E37" s="318">
        <f>E35*FRACs.sdC</f>
        <v>2666.0394609097602</v>
      </c>
      <c r="F37" s="122">
        <f>E37/$E$51</f>
        <v>7.4733043198602414E-5</v>
      </c>
      <c r="G37" s="318">
        <f>G35*FRACs.sdM</f>
        <v>5099.7965051295114</v>
      </c>
      <c r="H37" s="122">
        <f>G37/$G$51</f>
        <v>5.3871089871742043E-6</v>
      </c>
      <c r="I37" s="318">
        <f>I35*FRACs.sdA</f>
        <v>3359.4803708552308</v>
      </c>
      <c r="J37" s="122">
        <f>I37/$I$51</f>
        <v>5.3567717058923859E-6</v>
      </c>
      <c r="K37" s="318">
        <f>K35*FRACs.sdT</f>
        <v>6159.7414931056628</v>
      </c>
      <c r="L37" s="123">
        <f>K37/$K$51</f>
        <v>5.3985135052786563E-6</v>
      </c>
      <c r="M37" s="320">
        <f>C.sd2R*FRACs.sdR/(FRACw.sdR/(Kp.sd2R*RHOsolid/1000)+FRACs.sdR)*(Molweight*1000)/(FRACs.sdR*RHOsolid)</f>
        <v>2.042934745053922E-4</v>
      </c>
      <c r="N37" s="320">
        <f>C.sd2C*FRACs.sdC/(FRACw.sdC/(Kp.sd2C*RHOsolid/1000)+FRACs.sdC)*(Molweight*1000)/(FRACs.sdC*RHOsolid)</f>
        <v>1.6896884168652361E-7</v>
      </c>
      <c r="O37" s="320">
        <f>C.sdM*FRACs.sdM/(FRACw.sdM/(Kp.sdM*RHOsolid/1000)+FRACs.sdM)*(Molweight*1000)/(FRACs.sdM*RHOsolid)</f>
        <v>3.0945350139997456E-8</v>
      </c>
      <c r="P37" s="320">
        <f>C.sdA*FRACs.sdA/(FRACw.sdA/(Kp.sdA*RHOsolid/1000)+FRACs.sdA)*(Molweight*1000)/(FRACs.sdA*RHOsolid)</f>
        <v>3.100593867424886E-8</v>
      </c>
      <c r="Q37" s="320">
        <f>C.sdT*FRACs.sdT/(FRACw.sdT/(Kp.sdT*RHOsolid/1000)+FRACs.sdT)*(Molweight*1000)/(FRACs.sdT*RHOsolid)</f>
        <v>1.6243036413892949E-8</v>
      </c>
      <c r="R37" s="120" t="s">
        <v>1494</v>
      </c>
      <c r="S37" s="325">
        <f>S35*(1-FRACw.sdR)</f>
        <v>8.2618432057686995E-12</v>
      </c>
      <c r="T37" s="325">
        <f>T35*(1-FRACw.sdC)</f>
        <v>6.8332778619297787E-15</v>
      </c>
      <c r="U37" s="325">
        <f>U35*(1-FRACw.sdM)</f>
        <v>1.2514625414407126E-15</v>
      </c>
      <c r="V37" s="325">
        <f>V35*(1-FRACw.sdA)</f>
        <v>3.5314494068359904E-17</v>
      </c>
      <c r="W37" s="326">
        <f>W35*(1-FRACw.sdT)</f>
        <v>4.2265837845140714E-15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1.3736145028564978E-2</v>
      </c>
      <c r="AW37" s="75"/>
      <c r="AX37" s="75"/>
      <c r="AY37" s="300">
        <f>IF(ISERROR(output!D23),0,output!D23)</f>
        <v>7.3494137300372702E-3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7.2268129347825459E-4</v>
      </c>
      <c r="AE38" s="325">
        <f>k.aA.aM*M.aA*Molweight</f>
        <v>5.5447039026521516E-5</v>
      </c>
      <c r="AF38" s="325">
        <f>kesc.aA*M.aA*Molweight</f>
        <v>2.9337653646488583E-8</v>
      </c>
      <c r="AG38" s="326">
        <f>KDEG.aA*M.aA*Molweight</f>
        <v>1.9694601089667943E-5</v>
      </c>
      <c r="AH38" s="325">
        <f>AH39</f>
        <v>3.9356971083705418E-4</v>
      </c>
      <c r="AI38" s="325">
        <f>AI39</f>
        <v>2.1246267615367448E-9</v>
      </c>
      <c r="AJ38" s="325">
        <f>AJ42</f>
        <v>2.5394301848398557E-4</v>
      </c>
      <c r="AK38" s="325">
        <f>AK42</f>
        <v>2.8898585967105696E-10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556976.40302273794</v>
      </c>
      <c r="D39" s="122">
        <f>C39/$C$51</f>
        <v>1.4733482706648562E-2</v>
      </c>
      <c r="E39" s="318">
        <f>M.s1C*Molweight</f>
        <v>244161.08472344268</v>
      </c>
      <c r="F39" s="122">
        <f>E39/$E$51</f>
        <v>6.8441976045726226E-3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1.0617808248989912E-4</v>
      </c>
      <c r="N39" s="320">
        <f>C.s1C*(Molweight*1000)/(FRACw.s1C*1000+(1-FRACa.s1C-FRACw.s1C)*RHOsolid)</f>
        <v>3.0520124908386604E-6</v>
      </c>
      <c r="O39" s="320"/>
      <c r="P39" s="320"/>
      <c r="Q39" s="320"/>
      <c r="R39" s="120" t="s">
        <v>1495</v>
      </c>
      <c r="S39" s="325">
        <f>F.s1R</f>
        <v>5.5975866338442539E-11</v>
      </c>
      <c r="T39" s="325">
        <f>F.s1C</f>
        <v>1.6089859530726988E-12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6.6182133374185703</v>
      </c>
      <c r="AE39" s="325">
        <f>(k.w2A.w2M+k.w2A.w3A)*M.w2A*Molweight</f>
        <v>6.6177008238689252</v>
      </c>
      <c r="AF39" s="330"/>
      <c r="AG39" s="326">
        <f>KDEG.w2A*M.w2A*Molweight</f>
        <v>1.1512825561018662E-3</v>
      </c>
      <c r="AH39" s="325">
        <f>k.aA.w2A*M.aA*Molweight</f>
        <v>3.9356971083705418E-4</v>
      </c>
      <c r="AI39" s="325">
        <f>k.w2A.aA*M.w2A*Molweight</f>
        <v>2.1246267615367448E-9</v>
      </c>
      <c r="AJ39" s="325"/>
      <c r="AK39" s="325"/>
      <c r="AL39" s="325">
        <f>AL42</f>
        <v>2.4520142024706622E-4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44454.284305084089</v>
      </c>
      <c r="D40" s="122">
        <f>C40/$C$51</f>
        <v>1.1759320960293119E-3</v>
      </c>
      <c r="E40" s="318">
        <f>E39*FRw.s1C</f>
        <v>19487.371848481238</v>
      </c>
      <c r="F40" s="122">
        <f>E40/$E$51</f>
        <v>5.4625995733867025E-4</v>
      </c>
      <c r="G40" s="318"/>
      <c r="H40" s="122"/>
      <c r="I40" s="318"/>
      <c r="J40" s="122"/>
      <c r="K40" s="318"/>
      <c r="L40" s="123"/>
      <c r="M40" s="320">
        <f>M41/Kp.s1R</f>
        <v>7.2032855329324651E-5</v>
      </c>
      <c r="N40" s="320">
        <f>N41/Kp.s1C</f>
        <v>2.070532534214744E-6</v>
      </c>
      <c r="O40" s="320"/>
      <c r="P40" s="320"/>
      <c r="Q40" s="320"/>
      <c r="R40" s="120" t="s">
        <v>1489</v>
      </c>
      <c r="S40" s="325">
        <f>S39*FRACw.s1R</f>
        <v>1.1195173267688509E-11</v>
      </c>
      <c r="T40" s="325">
        <f>T39*FRACw.s1C</f>
        <v>3.2179719061453978E-13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6.6177008238689252</v>
      </c>
      <c r="AE40" s="325">
        <f>(k.w3A.w2A+k.w3A.w3M)*M.w3A*Molweight</f>
        <v>6.5894747671999871</v>
      </c>
      <c r="AF40" s="330"/>
      <c r="AG40" s="326">
        <f>KDEG.w3A*M.w3A*Molweight</f>
        <v>2.8225043547323806E-2</v>
      </c>
      <c r="AH40" s="325"/>
      <c r="AI40" s="325"/>
      <c r="AJ40" s="325"/>
      <c r="AK40" s="325"/>
      <c r="AL40" s="325"/>
      <c r="AM40" s="325">
        <f>k.w3A.sdA*M.w3A*Molweight</f>
        <v>5.8217094764524248E-3</v>
      </c>
      <c r="AN40" s="326">
        <f>k.sdA.w3A*M.sdA*Molweight</f>
        <v>5.8206963548387376E-3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1.4915262949767114E-3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512522.11871440278</v>
      </c>
      <c r="D41" s="122">
        <f>C41/$C$51</f>
        <v>1.3557550610533251E-2</v>
      </c>
      <c r="E41" s="318">
        <f>E39*FRs.s1C</f>
        <v>224673.71287353628</v>
      </c>
      <c r="F41" s="122">
        <f>E41/$E$51</f>
        <v>6.2979376471940032E-3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1.1073077944393999E-4</v>
      </c>
      <c r="N41" s="320">
        <f>C.s1C*FRs.s1C*(Molweight*1000)/(FRACs.s1C*RHOsolid)</f>
        <v>3.1828764850349924E-6</v>
      </c>
      <c r="O41" s="320"/>
      <c r="P41" s="320"/>
      <c r="Q41" s="320"/>
      <c r="R41" s="120" t="s">
        <v>1494</v>
      </c>
      <c r="S41" s="325">
        <f>S39*(1-FRACw.s1R)</f>
        <v>4.4780693070754036E-11</v>
      </c>
      <c r="T41" s="325">
        <f>T39*(1-FRACw.s1C)</f>
        <v>1.2871887624581591E-12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3.550947457778619E-8</v>
      </c>
      <c r="AG41" s="326">
        <f>KDEG.sdA*M.sdA*Molweight</f>
        <v>9.7761213911003112E-7</v>
      </c>
      <c r="AH41" s="325"/>
      <c r="AI41" s="325"/>
      <c r="AJ41" s="325"/>
      <c r="AK41" s="325"/>
      <c r="AL41" s="325"/>
      <c r="AM41" s="325">
        <f>k.w3A.sdA*M.w3A*Molweight</f>
        <v>5.8217094764524248E-3</v>
      </c>
      <c r="AN41" s="326">
        <f>k.sdA.w3A*M.sdA*Molweight</f>
        <v>5.8206963548387376E-3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1.6501693455252356E-6</v>
      </c>
      <c r="AG42" s="326">
        <f>KDEG.sA*M.sA*Molweight</f>
        <v>7.0911399055344998E-6</v>
      </c>
      <c r="AH42" s="325"/>
      <c r="AI42" s="325"/>
      <c r="AJ42" s="325">
        <f>k.aA.sA*M.aA*Molweight</f>
        <v>2.5394301848398557E-4</v>
      </c>
      <c r="AK42" s="325">
        <f>k.sA.aA*M.sA*Molweight</f>
        <v>2.8898585967105696E-10</v>
      </c>
      <c r="AL42" s="325">
        <f>k.sA.w2A*M.sA*Molweight</f>
        <v>2.4520142024706622E-4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1.505157839955689E-3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13718949.174248334</v>
      </c>
      <c r="D43" s="122">
        <f>C43/$C$51</f>
        <v>0.36290208941567448</v>
      </c>
      <c r="E43" s="318">
        <f>M.s2C*Molweight</f>
        <v>1131308.4654029279</v>
      </c>
      <c r="F43" s="122">
        <f>E43/$E$51</f>
        <v>3.1712255446905903E-2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2.9421949885881122E-4</v>
      </c>
      <c r="N43" s="320">
        <f>C.s2C*(Molweight*1000)/(FRACw.s2C*1000+(1-FRACa.s2C-FRACw.s2C)*RHOsolid)</f>
        <v>1.5909019726571763E-6</v>
      </c>
      <c r="O43" s="320"/>
      <c r="P43" s="320"/>
      <c r="Q43" s="320"/>
      <c r="R43" s="120" t="s">
        <v>1495</v>
      </c>
      <c r="S43" s="325">
        <f>F.s2R</f>
        <v>1.5510914264110117E-10</v>
      </c>
      <c r="T43" s="325">
        <f>F.s2C</f>
        <v>8.3870525903963608E-13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1.1481011826905097E-4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1094958.5362131346</v>
      </c>
      <c r="D44" s="122">
        <f>C44/$C$51</f>
        <v>2.8964517294164164E-2</v>
      </c>
      <c r="E44" s="318">
        <f>E43*FRw.s2C</f>
        <v>90293.786029059207</v>
      </c>
      <c r="F44" s="122">
        <f>E44/$E$51</f>
        <v>2.5310688423090255E-3</v>
      </c>
      <c r="G44" s="318"/>
      <c r="H44" s="122"/>
      <c r="I44" s="318"/>
      <c r="J44" s="122"/>
      <c r="K44" s="318"/>
      <c r="L44" s="123"/>
      <c r="M44" s="320">
        <f>M45/Kp.s2R</f>
        <v>1.9960306401633603E-4</v>
      </c>
      <c r="N44" s="320">
        <f>N45/Kp.s2C</f>
        <v>1.0792925333762115E-6</v>
      </c>
      <c r="O44" s="320"/>
      <c r="P44" s="320"/>
      <c r="Q44" s="320"/>
      <c r="R44" s="120" t="s">
        <v>1489</v>
      </c>
      <c r="S44" s="325">
        <f>S43*FRACw.s2R</f>
        <v>3.1021828528220235E-11</v>
      </c>
      <c r="T44" s="325">
        <f>T43*FRACw.s2C</f>
        <v>1.6774105180792723E-13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1.2517207179839314E-3</v>
      </c>
      <c r="AE44" s="325">
        <f>k.aT.aM*M.aT*Molweight</f>
        <v>4.5826096878003671E-5</v>
      </c>
      <c r="AF44" s="325">
        <f>kesc.aT*M.aT*Molweight</f>
        <v>4.1997217201753952E-8</v>
      </c>
      <c r="AG44" s="326">
        <f>KDEG.aT*M.aT*Molweight</f>
        <v>2.2179886797929398E-4</v>
      </c>
      <c r="AH44" s="325">
        <f>AH45</f>
        <v>7.268010626975208E-4</v>
      </c>
      <c r="AI44" s="325">
        <f>AI45</f>
        <v>5.9748895800742114E-7</v>
      </c>
      <c r="AJ44" s="325">
        <f>AJ48</f>
        <v>2.5786120533681463E-4</v>
      </c>
      <c r="AK44" s="325">
        <f>AK48</f>
        <v>1.1023166896348271E-8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1.1606519533318953E-6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12623990.637955122</v>
      </c>
      <c r="D45" s="122">
        <f>C45/$C$51</f>
        <v>0.33393757211939207</v>
      </c>
      <c r="E45" s="318">
        <f>E43*FRs.s2C</f>
        <v>1041014.6793672653</v>
      </c>
      <c r="F45" s="122">
        <f>E45/$E$51</f>
        <v>2.9181186604411775E-2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3.068350235025282E-4</v>
      </c>
      <c r="N45" s="320">
        <f>C.s2C*FRs.s2C*(Molweight*1000)/(FRACs.s2C*RHOsolid)</f>
        <v>1.6591165645507809E-6</v>
      </c>
      <c r="O45" s="320"/>
      <c r="P45" s="320"/>
      <c r="Q45" s="320"/>
      <c r="R45" s="120" t="s">
        <v>1494</v>
      </c>
      <c r="S45" s="325">
        <f>S43*(1-FRACw.s2R)</f>
        <v>1.2408731411288094E-10</v>
      </c>
      <c r="T45" s="325">
        <f>T43*(1-FRACw.s2C)</f>
        <v>6.709642072317089E-13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8.3830079755796056</v>
      </c>
      <c r="AE45" s="325">
        <f>(k.w2T.w2M+k.w2T.w3T)*M.w2T*Molweight</f>
        <v>8.3658083309027607</v>
      </c>
      <c r="AF45" s="330"/>
      <c r="AG45" s="326">
        <f>KDEG.w2T*M.w2T*Molweight</f>
        <v>1.8166893173350893E-2</v>
      </c>
      <c r="AH45" s="325">
        <f>k.aT.w2T*M.aT*Molweight</f>
        <v>7.268010626975208E-4</v>
      </c>
      <c r="AI45" s="325">
        <f>k.w2T.aT*M.w2T*Molweight</f>
        <v>5.9748895800742114E-7</v>
      </c>
      <c r="AJ45" s="325"/>
      <c r="AK45" s="325"/>
      <c r="AL45" s="325">
        <f>AL48</f>
        <v>2.4104492276567181E-4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8.9695465325505079</v>
      </c>
      <c r="AE46" s="325">
        <f>(k.w3T.w2T+k.w3T.w3M)*M.w3T*Molweight</f>
        <v>8.3830079755796056</v>
      </c>
      <c r="AF46" s="330"/>
      <c r="AG46" s="326">
        <f>KDEG.w3T*M.w3T*Molweight</f>
        <v>0.58651821214311373</v>
      </c>
      <c r="AH46" s="325"/>
      <c r="AI46" s="325"/>
      <c r="AJ46" s="325"/>
      <c r="AK46" s="325"/>
      <c r="AL46" s="325"/>
      <c r="AM46" s="325">
        <f>k.w3T.sdT*M.w3T*Molweight</f>
        <v>1.0692824169149155E-2</v>
      </c>
      <c r="AN46" s="326">
        <f>k.sdT.w3T*M.sdT*Molweight</f>
        <v>1.0672479341363623E-2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206287.55667508816</v>
      </c>
      <c r="D47" s="122">
        <f>C47/$C$51</f>
        <v>5.4568454469068753E-3</v>
      </c>
      <c r="E47" s="318">
        <f>M.s3C*Molweight</f>
        <v>90430.031379052787</v>
      </c>
      <c r="F47" s="122">
        <f>E47/$E$51</f>
        <v>2.5348880016935623E-3</v>
      </c>
      <c r="G47" s="318">
        <f>M.sM*Molweight</f>
        <v>120341.49745994738</v>
      </c>
      <c r="H47" s="122">
        <f>G47/$G$51</f>
        <v>1.2712130020176571E-4</v>
      </c>
      <c r="I47" s="318">
        <f>M.sA*Molweight</f>
        <v>12184.047418497801</v>
      </c>
      <c r="J47" s="122">
        <f>I47/$I$51</f>
        <v>1.9427754673275551E-5</v>
      </c>
      <c r="K47" s="318">
        <f>M.sT*Molweight</f>
        <v>2305.6047391794937</v>
      </c>
      <c r="L47" s="123">
        <f>K47/$K$51</f>
        <v>2.020675435199056E-6</v>
      </c>
      <c r="M47" s="320">
        <f>C.s3R*(Molweight*1000)/(FRACw.s3R*1000+(1-FRACa.s3R-FRACw.s3R)*RHOsolid)</f>
        <v>1.0617808248989917E-4</v>
      </c>
      <c r="N47" s="320">
        <f>C.s3C*(Molweight*1000)/(FRACw.s3C*1000+(1-FRACa.s3C-FRACw.s3C)*RHOsolid)</f>
        <v>3.0520124908386596E-6</v>
      </c>
      <c r="O47" s="320">
        <f>C.sM*(Molweight*1000)/(FRACw.sM*1000+(1-FRACa.sM-FRACw.sM)*RHOsolid)</f>
        <v>3.6502791966248403E-8</v>
      </c>
      <c r="P47" s="320">
        <f>C.sA*(Molweight*1000)/(FRACw.sA*1000+(1-FRACa.sA-FRACw.sA)*RHOsolid)</f>
        <v>8.4318667256040138E-9</v>
      </c>
      <c r="Q47" s="320">
        <f>C.sT*(Molweight*1000)/(FRACw.sT*1000+(1-FRACa.sT-FRACw.sT)*RHOsolid)</f>
        <v>7.0914409509557641E-10</v>
      </c>
      <c r="R47" s="120" t="s">
        <v>1495</v>
      </c>
      <c r="S47" s="325">
        <f>F.s3R</f>
        <v>5.5975866338442565E-11</v>
      </c>
      <c r="T47" s="325">
        <f>F.s3C</f>
        <v>1.6089859530726986E-12</v>
      </c>
      <c r="U47" s="325">
        <f>F.sM</f>
        <v>1.9243852932426755E-14</v>
      </c>
      <c r="V47" s="325">
        <f>F.sA</f>
        <v>1.2519164050594003E-16</v>
      </c>
      <c r="W47" s="326">
        <f>F.sT</f>
        <v>2.4054716759924214E-15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6.510804047338169E-8</v>
      </c>
      <c r="AG47" s="326">
        <f>KDEG.sdT*M.sdT*Molweight</f>
        <v>2.0279719745057834E-5</v>
      </c>
      <c r="AH47" s="325"/>
      <c r="AI47" s="325"/>
      <c r="AJ47" s="325"/>
      <c r="AK47" s="325"/>
      <c r="AL47" s="325"/>
      <c r="AM47" s="325">
        <f>k.w3T.sdT*M.w3T*Molweight</f>
        <v>1.0692824169149155E-2</v>
      </c>
      <c r="AN47" s="326">
        <f>k.sdT.w3T*M.sdT*Molweight</f>
        <v>1.0672479341363623E-2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1.2470893025645536E-5</v>
      </c>
      <c r="AW47" s="75"/>
      <c r="AX47" s="290">
        <f>output!AF16</f>
        <v>8.0442930525286547E-4</v>
      </c>
      <c r="AY47" s="75"/>
      <c r="AZ47" s="75"/>
      <c r="BA47" s="75"/>
      <c r="BB47" s="75"/>
      <c r="BC47" s="2"/>
      <c r="BD47" s="295">
        <f>output!AF18</f>
        <v>2.1121840663026708E-4</v>
      </c>
      <c r="BE47" s="75"/>
      <c r="BF47" s="295">
        <f>output!AF20</f>
        <v>7.8229039492691533E-5</v>
      </c>
      <c r="BG47" s="75"/>
      <c r="BH47" s="299">
        <f>output!AF19</f>
        <v>2.3674399534128259E-3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16464.549742623738</v>
      </c>
      <c r="D48" s="122">
        <f>C48/$C$51</f>
        <v>4.3553040593678218E-4</v>
      </c>
      <c r="E48" s="318">
        <f>E47*FRw.s3C</f>
        <v>7217.5451290671208</v>
      </c>
      <c r="F48" s="122">
        <f>E48/$E$51</f>
        <v>2.023185027180259E-4</v>
      </c>
      <c r="G48" s="318">
        <f>G47*FRw.sM</f>
        <v>9604.8865135955512</v>
      </c>
      <c r="H48" s="122">
        <f>G48/$G$51</f>
        <v>1.014600688598748E-5</v>
      </c>
      <c r="I48" s="318">
        <f>I47*FRw.sA</f>
        <v>972.45252221121575</v>
      </c>
      <c r="J48" s="122">
        <f>I48/$I$51</f>
        <v>1.5505987775658912E-6</v>
      </c>
      <c r="K48" s="318">
        <f>K47*FRw.sT</f>
        <v>184.01858321342036</v>
      </c>
      <c r="L48" s="123">
        <f>K48/$K$51</f>
        <v>1.6127735357267742E-7</v>
      </c>
      <c r="M48" s="320">
        <f>M49/Kp.s3R</f>
        <v>7.2032855329324665E-5</v>
      </c>
      <c r="N48" s="320">
        <f>N49/Kp.s3C</f>
        <v>2.0705325342147436E-6</v>
      </c>
      <c r="O48" s="320">
        <f>O49/Kp.sM</f>
        <v>2.4764059315832373E-8</v>
      </c>
      <c r="P48" s="320">
        <f>P49/Kp.sA</f>
        <v>5.7203089541836208E-9</v>
      </c>
      <c r="Q48" s="320">
        <f>Q49/Kp.sT</f>
        <v>4.8109433519848418E-10</v>
      </c>
      <c r="R48" s="120" t="s">
        <v>1489</v>
      </c>
      <c r="S48" s="325">
        <f>S47*FRACw.s3R</f>
        <v>1.1195173267688514E-11</v>
      </c>
      <c r="T48" s="325">
        <f>T47*FRACw.s3C</f>
        <v>3.2179719061453973E-13</v>
      </c>
      <c r="U48" s="325">
        <f>U47*FRACw.sM</f>
        <v>3.8487705864853512E-15</v>
      </c>
      <c r="V48" s="325">
        <f>V47*FRACw.sA</f>
        <v>2.5038328101188007E-17</v>
      </c>
      <c r="W48" s="326">
        <f>W47*FRACw.sT</f>
        <v>4.8109433519848431E-16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1.6237723221114153E-6</v>
      </c>
      <c r="AG48" s="326">
        <f>KDEG.sT*M.sT*Molweight</f>
        <v>1.5181487082134997E-5</v>
      </c>
      <c r="AH48" s="325"/>
      <c r="AI48" s="325"/>
      <c r="AJ48" s="325">
        <f>k.aT.sT*M.aT*Molweight</f>
        <v>2.5786120533681463E-4</v>
      </c>
      <c r="AK48" s="325">
        <f>k.sT.aT*M.sT*Molweight</f>
        <v>1.1023166896348271E-8</v>
      </c>
      <c r="AL48" s="333">
        <f>k.sT.w2T*M.sT*Molweight</f>
        <v>2.4104492276567181E-4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189823.00693126032</v>
      </c>
      <c r="D49" s="122">
        <f>C49/$C$51</f>
        <v>5.0213150409382417E-3</v>
      </c>
      <c r="E49" s="318">
        <f>E47*FRs.s3C</f>
        <v>83212.486249457826</v>
      </c>
      <c r="F49" s="122">
        <f>E49/$E$51</f>
        <v>2.3325694989607404E-3</v>
      </c>
      <c r="G49" s="318">
        <f>G47*FRs.sM</f>
        <v>110736.61094564939</v>
      </c>
      <c r="H49" s="122">
        <f>G49/$G$51</f>
        <v>1.1697529331503621E-4</v>
      </c>
      <c r="I49" s="318">
        <f>I47*FRs.sA</f>
        <v>11211.594896284414</v>
      </c>
      <c r="J49" s="122">
        <f>I49/$I$51</f>
        <v>1.7877155895706197E-5</v>
      </c>
      <c r="K49" s="318">
        <f>K47*FRs.sT</f>
        <v>2121.586155883258</v>
      </c>
      <c r="L49" s="123">
        <f>K49/$K$51</f>
        <v>1.8593980815537978E-6</v>
      </c>
      <c r="M49" s="320">
        <f>C.s3R*FRs.s3R*(Molweight*1000)/(FRACs.s3R*RHOsolid)</f>
        <v>1.1073077944394002E-4</v>
      </c>
      <c r="N49" s="320">
        <f>C.s3C*FRs.s3C*(Molweight*1000)/(FRACs.s3C*RHOsolid)</f>
        <v>3.182876485034992E-6</v>
      </c>
      <c r="O49" s="320">
        <f>C.sM*FRs.sM*(Molweight*1000)/(FRACs.sM*RHOsolid)</f>
        <v>3.8067956319395723E-8</v>
      </c>
      <c r="P49" s="320">
        <f>C.sA*FRs.sA*(Molweight*1000)/(FRACs.sA*RHOsolid)</f>
        <v>8.7934077617916944E-9</v>
      </c>
      <c r="Q49" s="320">
        <f>C.sT*FRs.sT*(Molweight*1000)/(FRACs.sT*RHOsolid)</f>
        <v>7.3955072971965375E-10</v>
      </c>
      <c r="R49" s="120" t="s">
        <v>1494</v>
      </c>
      <c r="S49" s="325">
        <f>S47*(1-FRACw.s3R)</f>
        <v>4.4780693070754056E-11</v>
      </c>
      <c r="T49" s="325">
        <f>T47*(1-FRACw.s3C)</f>
        <v>1.2871887624581589E-12</v>
      </c>
      <c r="U49" s="325">
        <f>U47*(1-FRACw.sM)</f>
        <v>1.5395082345941405E-14</v>
      </c>
      <c r="V49" s="325">
        <f>V47*(1-FRACw.sA)</f>
        <v>1.0015331240475203E-16</v>
      </c>
      <c r="W49" s="326">
        <f>W47*(1-FRACw.sT)</f>
        <v>1.9243773407939372E-15</v>
      </c>
      <c r="X49" s="29"/>
      <c r="Y49" s="437"/>
      <c r="Z49" s="29"/>
      <c r="AA49" s="124"/>
      <c r="AB49" s="125"/>
      <c r="AC49" s="334">
        <f>SUM(AC11:AC48)</f>
        <v>0.95129375951293771</v>
      </c>
      <c r="AD49" s="335"/>
      <c r="AE49" s="335"/>
      <c r="AF49" s="335">
        <f>SUM(AF11:AF48)</f>
        <v>3.9253183894482832E-3</v>
      </c>
      <c r="AG49" s="336">
        <f>SUM(AG11:AG48)</f>
        <v>0.94736844112348839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37803444.990735248</v>
      </c>
      <c r="D51" s="130">
        <f>C51/SUM($C$51,$E$51,$G$51,$I$51,$K$51)</f>
        <v>1.3557894131557554E-2</v>
      </c>
      <c r="E51" s="317">
        <f>SUM(E11,E15,E19,E23,E27,E31,E35,E39,E43,E47)</f>
        <v>35674172.317923456</v>
      </c>
      <c r="F51" s="130">
        <f>E51/SUM($C$51,$E$51,$G$51,$I$51,$K$51)</f>
        <v>1.2794248027815531E-2</v>
      </c>
      <c r="G51" s="317">
        <f>SUM(G11,G15,G19,G23,G27,G31,G35,G39,G43,G47)</f>
        <v>946666666.1601361</v>
      </c>
      <c r="H51" s="130">
        <f>G51/SUM($C$51,$E$51,$G$51,$I$51,$K$51)</f>
        <v>0.339514201439027</v>
      </c>
      <c r="I51" s="317">
        <f>SUM(I11,I15,I19,I23,I27,I31,I35,I39,I43,I47)</f>
        <v>627146452.24843943</v>
      </c>
      <c r="J51" s="130">
        <f>I51/SUM($C$51,$E$51,$G$51,$I$51,$K$51)</f>
        <v>0.22492090883913074</v>
      </c>
      <c r="K51" s="317">
        <f>SUM(K11,K15,K19,K23,K27,K31,K35,K39,K43,K47)</f>
        <v>1141006961.8391581</v>
      </c>
      <c r="L51" s="130">
        <f>K51/SUM($C$51,$E$51,$G$51,$I$51,$K$51)</f>
        <v>0.40921274756246923</v>
      </c>
      <c r="M51" s="199"/>
      <c r="N51" s="199"/>
      <c r="O51" s="199"/>
      <c r="P51" s="199"/>
      <c r="Q51" s="199"/>
      <c r="R51" s="199"/>
      <c r="S51" s="328">
        <f>SUM(S11,S15,S19,S23,S27,S35,S39,S43,S47)</f>
        <v>8.3601951724576109E-7</v>
      </c>
      <c r="T51" s="328">
        <f>SUM(T11,T15,T19,T23,T27,T35,T39,T43,T47)</f>
        <v>2.2085029214373095E-8</v>
      </c>
      <c r="U51" s="328">
        <f>SUM(U11,U15,U19,U23,U27,U35,U39,U43,U47)</f>
        <v>2.6099980516297277E-10</v>
      </c>
      <c r="V51" s="328">
        <f>SUM(V11,V15,V19,V23,V27,V35,V39,V43,V47)</f>
        <v>1.8477439952583447E-11</v>
      </c>
      <c r="W51" s="328">
        <f>SUM(W11,W15,W19,W23,W27,W35,W39,W43,W47)</f>
        <v>1.0032711412700768E-11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7.855375295894207E-8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2.2267541706948716E-4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5.185081566794886E-4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5.1927360297211702E-5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1.1333591252214138E-3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1.1128764077856081E-4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1.0617808248989912E-4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2.9421949885881122E-4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1.0617808248989917E-4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1-aminoanthraquinone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2.3115156586422877E-2</v>
      </c>
      <c r="AY72" s="75"/>
      <c r="AZ72" s="256">
        <f>output!AF22</f>
        <v>5.4792398634937155E-6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0.17012326899956581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2.5160781846251767E-2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4.192748414381348E-4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1.8973349227600564E-7</v>
      </c>
      <c r="BE84" s="2"/>
      <c r="BF84" s="304">
        <f>IF(output!AK30&lt;0,"",output!AK30)</f>
        <v>7.0271663805927964E-8</v>
      </c>
      <c r="BG84" s="75"/>
      <c r="BH84" s="311">
        <f>IF(output!AK29&lt;0,"",output!AK29)</f>
        <v>4.0004767544054662E-7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4.5174759788494366E-8</v>
      </c>
      <c r="AV85" s="87"/>
      <c r="AW85" s="75"/>
      <c r="AX85" s="304">
        <f>output!AL24</f>
        <v>4.3840598974708794E-2</v>
      </c>
      <c r="AY85" s="87"/>
      <c r="AZ85" s="201"/>
      <c r="BA85" s="311">
        <f>IF(output!AI23&lt;0,"",output!AI23)</f>
        <v>4.4939939504792893E-9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1.4493421082101682E-2</v>
      </c>
      <c r="BE86" s="87"/>
      <c r="BF86" s="304">
        <f>IF(output!AJ30&lt;0,"",output!AJ30)</f>
        <v>5.3679337341117316E-3</v>
      </c>
      <c r="BG86" s="75"/>
      <c r="BH86" s="311">
        <f>IF(output!AJ29&lt;0,"",output!AJ29)</f>
        <v>3.2207602404670396E-2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6.7862556298207657E-2</v>
      </c>
      <c r="AV87" s="200"/>
      <c r="AW87" s="84"/>
      <c r="AX87" s="304">
        <f>IF(output!AH24&lt;0,"",output!AH24)</f>
        <v>1.7518521693753088E-3</v>
      </c>
      <c r="AY87" s="291">
        <f>output!AL24</f>
        <v>4.3840598974708794E-2</v>
      </c>
      <c r="AZ87" s="75"/>
      <c r="BA87" s="311">
        <f>IF(output!AH23&lt;0,"",output!AH23)</f>
        <v>1.592592881250281E-4</v>
      </c>
      <c r="BB87" s="291">
        <f>output!AL23</f>
        <v>3.9855089977008E-3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3.8032780784607802E-3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4.9189485945218929E-2</v>
      </c>
      <c r="AT89" s="83"/>
      <c r="AU89" s="302"/>
      <c r="AV89" s="75"/>
      <c r="AW89" s="81"/>
      <c r="AX89" s="265">
        <f>output!AD24</f>
        <v>3.8032780784607802E-3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1.0113917508549954</v>
      </c>
      <c r="AT90" s="81"/>
      <c r="AU90" s="278">
        <f>output!AD25</f>
        <v>0.95041038028577507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3.4148571337109759E-4</v>
      </c>
      <c r="BB91" s="309">
        <f>IF(ISERROR(output!F15),0,output!F15)</f>
        <v>4.4472238066777206E-2</v>
      </c>
      <c r="BC91" s="2"/>
      <c r="BD91" s="295">
        <f>output!AG28</f>
        <v>6.5293043008685266E-4</v>
      </c>
      <c r="BE91" s="2"/>
      <c r="BF91" s="312">
        <f>output!AG30</f>
        <v>2.418260852173527E-4</v>
      </c>
      <c r="BG91" s="75"/>
      <c r="BH91" s="295">
        <f>output!AG29</f>
        <v>3.0253212698211334E-3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1.8980914353066536E-2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1.4573111390523465E-4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6.9833388341096325E-3</v>
      </c>
      <c r="AZ96" s="75"/>
      <c r="BA96" s="75"/>
      <c r="BB96" s="43"/>
      <c r="BC96" s="2"/>
      <c r="BD96" s="277">
        <f>IF(ISERROR(output!F39),0,output!F39)</f>
        <v>6.8441976045726226E-3</v>
      </c>
      <c r="BE96" s="43"/>
      <c r="BF96" s="277">
        <f>IF(ISERROR(output!F47),0,output!F47)</f>
        <v>2.5348880016935623E-3</v>
      </c>
      <c r="BG96" s="43"/>
      <c r="BH96" s="277">
        <f>IF(ISERROR(output!F43),0,output!F43)</f>
        <v>3.1712255446905903E-2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6.8654009074029651E-3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7.0437870695514567E-3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5.1453723033674614E-6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0.89412321429402875</v>
      </c>
      <c r="AW101" s="56"/>
      <c r="AX101" s="307"/>
      <c r="AY101" s="276">
        <f>IF(ISERROR(output!F23),0,output!F23)</f>
        <v>5.3935217552438886E-4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4.6070813786733712E-3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4.6228210254977723E-3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3.7366521599301218E-4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3.5647332862483748E-6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1.2174913538154578E-5</v>
      </c>
      <c r="AW111" s="75"/>
      <c r="AX111" s="290">
        <f>output!AF26</f>
        <v>5.530286313845457E-5</v>
      </c>
      <c r="AY111" s="75"/>
      <c r="AZ111" s="75"/>
      <c r="BA111" s="75"/>
      <c r="BB111" s="76"/>
      <c r="BC111" s="2"/>
      <c r="BD111" s="295">
        <f>output!AF28</f>
        <v>9.2591562221528917E-5</v>
      </c>
      <c r="BE111" s="76"/>
      <c r="BF111" s="295">
        <f>output!AF30</f>
        <v>3.4293171193158836E-5</v>
      </c>
      <c r="BG111" s="43"/>
      <c r="BH111" s="294">
        <f>output!AF29</f>
        <v>1.9522667710267897E-4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2.0776168270353237E-9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1.8205199138892496E-6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2.3545593267134507E-6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4.2948537355396771E-8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5.1466139238681764E-6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9.2044759637601775E-8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3.0520124908386604E-6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1.5909019726571763E-6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3.0520124908386596E-6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1-aminoanthraquinone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2.2187255743144857E-3</v>
      </c>
      <c r="AT136" s="81">
        <f>output!AD32</f>
        <v>2.0769037878532921E-2</v>
      </c>
      <c r="AU136" s="268">
        <f>output!AF32</f>
        <v>6.9791944601055556E-7</v>
      </c>
      <c r="AV136" s="221"/>
      <c r="AW136" s="221"/>
      <c r="AX136" s="221"/>
      <c r="AY136" s="279">
        <f>output!AE38</f>
        <v>5.5447039026521516E-5</v>
      </c>
      <c r="AZ136" s="266">
        <f>output!AD38</f>
        <v>7.2268129347825459E-4</v>
      </c>
      <c r="BA136" s="268">
        <f>output!AF38</f>
        <v>2.9337653646488583E-8</v>
      </c>
      <c r="BB136" s="75"/>
      <c r="BC136" s="75"/>
      <c r="BD136" s="75"/>
      <c r="BE136" s="279">
        <f>output!AE44</f>
        <v>4.5826096878003671E-5</v>
      </c>
      <c r="BF136" s="266">
        <f>output!AD44</f>
        <v>1.2517207179839314E-3</v>
      </c>
      <c r="BG136" s="268">
        <f>output!AF44</f>
        <v>4.1997217201753952E-8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2.9442984211603684E-3</v>
      </c>
      <c r="AV141" s="223" t="s">
        <v>446</v>
      </c>
      <c r="AW141" s="221"/>
      <c r="AX141" s="221"/>
      <c r="AY141" s="2"/>
      <c r="AZ141" s="202"/>
      <c r="BA141" s="269">
        <f>output!AG38</f>
        <v>1.9694601089667943E-5</v>
      </c>
      <c r="BB141" s="47" t="s">
        <v>446</v>
      </c>
      <c r="BC141" s="75"/>
      <c r="BD141" s="75"/>
      <c r="BE141" s="2"/>
      <c r="BF141" s="202"/>
      <c r="BG141" s="269">
        <f>output!AG44</f>
        <v>2.2179886797929398E-4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2.012521878429362E-6</v>
      </c>
      <c r="AW142" s="221"/>
      <c r="AX142" s="221"/>
      <c r="AY142" s="203"/>
      <c r="AZ142" s="202"/>
      <c r="BA142" s="75"/>
      <c r="BB142" s="277">
        <f>IF(ISERROR(output!J11),0,output!J11)</f>
        <v>1.276993843638127E-7</v>
      </c>
      <c r="BC142" s="75"/>
      <c r="BD142" s="75"/>
      <c r="BE142" s="203"/>
      <c r="BF142" s="75"/>
      <c r="BG142" s="75"/>
      <c r="BH142" s="277">
        <f>IF(ISERROR(output!L11),0,output!L11)</f>
        <v>1.0047652728167803E-7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9.3515363452215307E-8</v>
      </c>
      <c r="AY144" s="2"/>
      <c r="AZ144" s="75"/>
      <c r="BA144" s="75"/>
      <c r="BB144" s="75"/>
      <c r="BC144" s="75"/>
      <c r="BD144" s="270">
        <f>k.sA.aA*M.sA*Molweight</f>
        <v>2.8898585967105696E-10</v>
      </c>
      <c r="BE144" s="2"/>
      <c r="BF144" s="75"/>
      <c r="BG144" s="75"/>
      <c r="BH144" s="75"/>
      <c r="BI144" s="75"/>
      <c r="BJ144" s="270">
        <f>k.sT.aT*M.sT*Molweight</f>
        <v>1.1023166896348271E-8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8.8635400617604605E-8</v>
      </c>
      <c r="AV145" s="221"/>
      <c r="AW145" s="221"/>
      <c r="AX145" s="221"/>
      <c r="AY145" s="2"/>
      <c r="AZ145" s="75"/>
      <c r="BA145" s="270">
        <f>k.w2A.aA*M.w2A*Molweight</f>
        <v>2.1246267615367448E-9</v>
      </c>
      <c r="BB145" s="75"/>
      <c r="BC145" s="75"/>
      <c r="BD145" s="221"/>
      <c r="BE145" s="2"/>
      <c r="BF145" s="75"/>
      <c r="BG145" s="270">
        <f>k.w2T.aT*M.w2T*Molweight</f>
        <v>5.9748895800742114E-7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7.1434806996916369E-3</v>
      </c>
      <c r="AY146" s="2"/>
      <c r="AZ146" s="75"/>
      <c r="BA146" s="221"/>
      <c r="BB146" s="75"/>
      <c r="BC146" s="75"/>
      <c r="BD146" s="270">
        <f>IF(output!AJ42&lt;0,"",output!AJ42)</f>
        <v>2.5394301848398557E-4</v>
      </c>
      <c r="BE146" s="2"/>
      <c r="BF146" s="75"/>
      <c r="BG146" s="221"/>
      <c r="BH146" s="75"/>
      <c r="BI146" s="75"/>
      <c r="BJ146" s="270">
        <f>IF(output!AJ48&lt;0,"",output!AJ48)</f>
        <v>2.5786120533681463E-4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9.1952778038444709</v>
      </c>
      <c r="AT147" s="81">
        <f>output!AD33</f>
        <v>9.1867750887965585</v>
      </c>
      <c r="AU147" s="270">
        <f>IF(output!AH33&lt;0,"",output!AH33)</f>
        <v>8.462017414684499E-3</v>
      </c>
      <c r="AV147" s="272">
        <f>output!AL33</f>
        <v>6.7759361916962706E-3</v>
      </c>
      <c r="AW147" s="221"/>
      <c r="AX147" s="221"/>
      <c r="AY147" s="279">
        <f>output!AE39</f>
        <v>6.6177008238689252</v>
      </c>
      <c r="AZ147" s="266">
        <f>output!AD39</f>
        <v>6.6182133374185703</v>
      </c>
      <c r="BA147" s="270">
        <f>IF(output!AH39&lt;0,"",output!AH39)</f>
        <v>3.9356971083705418E-4</v>
      </c>
      <c r="BB147" s="272">
        <f>output!AL39</f>
        <v>2.4520142024706622E-4</v>
      </c>
      <c r="BC147" s="75"/>
      <c r="BD147" s="75"/>
      <c r="BE147" s="279">
        <f>output!AE45</f>
        <v>8.3658083309027607</v>
      </c>
      <c r="BF147" s="266">
        <f>output!AD45</f>
        <v>8.3830079755796056</v>
      </c>
      <c r="BG147" s="270">
        <f>IF(output!AH45&lt;0,"",output!AH45)</f>
        <v>7.268010626975208E-4</v>
      </c>
      <c r="BH147" s="272">
        <f>output!AL45</f>
        <v>2.4104492276567181E-4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3.3054877784431828E-2</v>
      </c>
      <c r="AW150" s="221"/>
      <c r="AX150" s="221"/>
      <c r="AY150" s="2"/>
      <c r="AZ150" s="75"/>
      <c r="BA150" s="59"/>
      <c r="BB150" s="273">
        <f>IF(ISERROR(output!J27),0,output!J27)</f>
        <v>3.9189012349824581E-2</v>
      </c>
      <c r="BC150" s="78"/>
      <c r="BD150" s="75"/>
      <c r="BE150" s="2"/>
      <c r="BF150" s="75"/>
      <c r="BG150" s="59"/>
      <c r="BH150" s="273">
        <f>IF(ISERROR(output!L27),0,output!L27)</f>
        <v>3.0042685205569301E-2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3.2181469779600437E-4</v>
      </c>
      <c r="AY151" s="2"/>
      <c r="AZ151" s="75"/>
      <c r="BA151" s="59"/>
      <c r="BB151" s="49"/>
      <c r="BC151" s="75"/>
      <c r="BD151" s="274">
        <f>output!AJ42</f>
        <v>2.5394301848398557E-4</v>
      </c>
      <c r="BE151" s="2"/>
      <c r="BF151" s="75"/>
      <c r="BG151" s="59"/>
      <c r="BH151" s="59"/>
      <c r="BI151" s="75"/>
      <c r="BJ151" s="274">
        <f>output!AG48</f>
        <v>1.5181487082134997E-5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6.7351499230673528E-3</v>
      </c>
      <c r="AW152" s="221"/>
      <c r="AX152" s="221"/>
      <c r="AY152" s="2"/>
      <c r="AZ152" s="75"/>
      <c r="BA152" s="59"/>
      <c r="BB152" s="257">
        <f>output!AG39</f>
        <v>1.1512825561018662E-3</v>
      </c>
      <c r="BC152" s="2"/>
      <c r="BD152" s="75"/>
      <c r="BE152" s="2"/>
      <c r="BF152" s="75"/>
      <c r="BG152" s="59"/>
      <c r="BH152" s="257">
        <f>output!AG45</f>
        <v>1.8166893173350893E-2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7.5997966527458836</v>
      </c>
      <c r="AU153" s="224"/>
      <c r="AV153" s="225"/>
      <c r="AW153" s="221"/>
      <c r="AX153" s="221"/>
      <c r="AY153" s="2"/>
      <c r="AZ153" s="275">
        <f>k.w3A.w2A*M.w3A*Molweight</f>
        <v>5.4080235110222654</v>
      </c>
      <c r="BA153" s="59"/>
      <c r="BB153" s="49"/>
      <c r="BC153" s="2"/>
      <c r="BD153" s="75"/>
      <c r="BE153" s="2"/>
      <c r="BF153" s="275">
        <f>k.w3T.w2T*M.w3T*Molweight</f>
        <v>8.3830079755796056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7.7951963399734989</v>
      </c>
      <c r="AU155" s="221"/>
      <c r="AV155" s="223" t="s">
        <v>2166</v>
      </c>
      <c r="AW155" s="221"/>
      <c r="AX155" s="271">
        <f>IF(ISERROR(output!H47),0,output!H47)</f>
        <v>1.2712130020176571E-4</v>
      </c>
      <c r="AY155" s="2"/>
      <c r="AZ155" s="275">
        <f>k.w2A.w3A*M.w2A*Molweight</f>
        <v>6.6177008238689252</v>
      </c>
      <c r="BA155" s="75"/>
      <c r="BB155" s="223" t="s">
        <v>2166</v>
      </c>
      <c r="BC155" s="47"/>
      <c r="BD155" s="271">
        <f>IF(ISERROR(output!J47),0,output!J47)</f>
        <v>1.9427754673275551E-5</v>
      </c>
      <c r="BE155" s="2"/>
      <c r="BF155" s="275">
        <f>k.w2T.w3T*M.w2T*Molweight</f>
        <v>7.7896921465011335</v>
      </c>
      <c r="BG155" s="75"/>
      <c r="BH155" s="223" t="s">
        <v>2166</v>
      </c>
      <c r="BI155" s="47"/>
      <c r="BJ155" s="271">
        <f>IF(ISERROR(output!L47),0,output!L47)</f>
        <v>2.020675435199056E-6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0.9667890528485521</v>
      </c>
      <c r="AW156" s="221"/>
      <c r="AX156" s="221"/>
      <c r="AY156" s="203"/>
      <c r="AZ156" s="2"/>
      <c r="BA156" s="75"/>
      <c r="BB156" s="273">
        <f>IF(ISERROR(output!J31),0,output!J31)</f>
        <v>0.96076464833758846</v>
      </c>
      <c r="BC156" s="75"/>
      <c r="BD156" s="75"/>
      <c r="BE156" s="203"/>
      <c r="BF156" s="2"/>
      <c r="BG156" s="75"/>
      <c r="BH156" s="273">
        <f>IF(ISERROR(output!L31),0,output!L31)</f>
        <v>0.96992820107494193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8.7796510387952562</v>
      </c>
      <c r="AT157" s="266">
        <f>output!AD34</f>
        <v>8.9766475961512207</v>
      </c>
      <c r="AU157" s="221"/>
      <c r="AV157" s="225"/>
      <c r="AW157" s="226"/>
      <c r="AX157" s="221"/>
      <c r="AY157" s="279">
        <f>output!AE40</f>
        <v>6.5894747671999871</v>
      </c>
      <c r="AZ157" s="266">
        <f>output!AD40</f>
        <v>6.6177008238689252</v>
      </c>
      <c r="BA157" s="75"/>
      <c r="BB157" s="2"/>
      <c r="BC157" s="76"/>
      <c r="BD157" s="75"/>
      <c r="BE157" s="279">
        <f>output!AE46</f>
        <v>8.3830079755796056</v>
      </c>
      <c r="BF157" s="266">
        <f>output!AD46</f>
        <v>8.9695465325505079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0.19698966238447424</v>
      </c>
      <c r="AW158" s="226"/>
      <c r="AX158" s="221"/>
      <c r="AY158" s="2"/>
      <c r="AZ158" s="75"/>
      <c r="BA158" s="75"/>
      <c r="BB158" s="274">
        <f>output!AG40</f>
        <v>2.8225043547323806E-2</v>
      </c>
      <c r="BC158" s="2"/>
      <c r="BD158" s="75"/>
      <c r="BE158" s="2"/>
      <c r="BF158" s="75"/>
      <c r="BG158" s="75"/>
      <c r="BH158" s="274">
        <f>output!AG46</f>
        <v>0.58651821214311373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8.835977332295155E-3</v>
      </c>
      <c r="AU159" s="221"/>
      <c r="AV159" s="221"/>
      <c r="AW159" s="226"/>
      <c r="AX159" s="221"/>
      <c r="AY159" s="2"/>
      <c r="AZ159" s="272">
        <f>k.sdA.w3A*M.sdA*Molweight</f>
        <v>5.8206963548387376E-3</v>
      </c>
      <c r="BA159" s="2"/>
      <c r="BB159" s="75"/>
      <c r="BC159" s="2"/>
      <c r="BD159" s="75"/>
      <c r="BE159" s="2"/>
      <c r="BF159" s="275">
        <f>k.sdT.w3T*M.sdT*Molweight</f>
        <v>1.0672479341363623E-2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8.8428723037834861E-3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5.8217094764524248E-3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1.0692824169149155E-2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2.6935544935871027E-5</v>
      </c>
      <c r="AW162" s="221"/>
      <c r="AX162" s="221"/>
      <c r="AY162" s="2"/>
      <c r="AZ162" s="75"/>
      <c r="BA162" s="47"/>
      <c r="BB162" s="276">
        <f>IF(ISERROR(output!J35),0,output!J35)</f>
        <v>2.678385852946194E-5</v>
      </c>
      <c r="BC162" s="75"/>
      <c r="BD162" s="75"/>
      <c r="BE162" s="2"/>
      <c r="BF162" s="75"/>
      <c r="BG162" s="47"/>
      <c r="BH162" s="276">
        <f>IF(ISERROR(output!L35),0,output!L35)</f>
        <v>2.6992567526393287E-5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6.8188841993826861E-6</v>
      </c>
      <c r="AV164" s="269">
        <f>output!AF35</f>
        <v>7.6087288947097513E-8</v>
      </c>
      <c r="AW164" s="221"/>
      <c r="AX164" s="274">
        <f>output!AF36</f>
        <v>4.5636294835910211E-5</v>
      </c>
      <c r="AY164" s="2"/>
      <c r="AZ164" s="2"/>
      <c r="BA164" s="269">
        <f>output!AG41</f>
        <v>9.7761213911003112E-7</v>
      </c>
      <c r="BB164" s="269">
        <f>output!AF41</f>
        <v>3.550947457778619E-8</v>
      </c>
      <c r="BC164" s="75"/>
      <c r="BD164" s="274">
        <f>output!AF42</f>
        <v>1.6501693455252356E-6</v>
      </c>
      <c r="BE164" s="2"/>
      <c r="BF164" s="2"/>
      <c r="BG164" s="269">
        <f>output!AG47</f>
        <v>2.0279719745057834E-5</v>
      </c>
      <c r="BH164" s="269">
        <f>output!AF47</f>
        <v>6.510804047338169E-8</v>
      </c>
      <c r="BI164" s="75"/>
      <c r="BJ164" s="274">
        <f>output!AF48</f>
        <v>1.6237723221114153E-6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1905.187377227059</v>
      </c>
      <c r="BA172" s="128">
        <f>output!I11</f>
        <v>80.086215858074965</v>
      </c>
      <c r="BB172" s="128">
        <f>output!K11</f>
        <v>114.64441712981672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31291950.952518828</v>
      </c>
      <c r="BA173" s="128">
        <f>output!I27</f>
        <v>24577250.062312767</v>
      </c>
      <c r="BB173" s="128">
        <f>output!K27</f>
        <v>34278912.97189685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915226969.54025447</v>
      </c>
      <c r="BA174" s="128">
        <f>output!I31</f>
        <v>602540140.6506381</v>
      </c>
      <c r="BB174" s="128">
        <f>output!K31</f>
        <v>1106694829.9106395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25498.982525647563</v>
      </c>
      <c r="BA175" s="128">
        <f>output!I35</f>
        <v>16797.401854276159</v>
      </c>
      <c r="BB175" s="128">
        <f>output!K35</f>
        <v>30798.707465528321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120341.49745994738</v>
      </c>
      <c r="BA176" s="128">
        <f>output!I47</f>
        <v>12184.047418497801</v>
      </c>
      <c r="BB176" s="128">
        <f>output!K47</f>
        <v>2305.6047391794937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1-aminoanthraquinone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92.943256585213064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278.82976975563912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278.82976975563912</v>
      </c>
      <c r="G11" s="508">
        <f>2*Scale*(M.tot/Emis.tot)/(3600*24*365)</f>
        <v>557.65953951127824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1.4219637660880982</v>
      </c>
      <c r="H15" s="482">
        <v>0</v>
      </c>
      <c r="I15" s="482">
        <v>1.4219637660880982</v>
      </c>
      <c r="J15" s="482">
        <v>0</v>
      </c>
      <c r="K15" s="482">
        <v>0</v>
      </c>
      <c r="L15" s="482">
        <v>0</v>
      </c>
      <c r="M15" s="482">
        <v>0</v>
      </c>
      <c r="N15" s="482">
        <v>1.4219637660880982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55" activePane="bottomLeft" state="frozen"/>
      <selection pane="bottomLeft" activeCell="B74" sqref="B74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67</v>
      </c>
      <c r="B6" s="439" t="str">
        <f t="shared" ref="B6:Z6" si="0">IF(ISBLANK(VLOOKUP($A6,$A$8:$Z$1041,COLUMN(),0)),"",VLOOKUP($A6,$A$8:$Z$1041,COLUMN(),0))</f>
        <v>1-aminoanthraquinone</v>
      </c>
      <c r="C6" s="439" t="str">
        <f t="shared" si="0"/>
        <v>82-45-1</v>
      </c>
      <c r="D6" s="439" t="str">
        <f t="shared" si="0"/>
        <v/>
      </c>
      <c r="E6" s="544" t="str">
        <f t="shared" si="0"/>
        <v/>
      </c>
      <c r="F6" s="544">
        <f t="shared" si="0"/>
        <v>223</v>
      </c>
      <c r="G6" s="544">
        <f t="shared" si="0"/>
        <v>260</v>
      </c>
      <c r="H6" s="545">
        <f t="shared" si="0"/>
        <v>9.9999999999999995E-8</v>
      </c>
      <c r="I6" s="545">
        <f t="shared" si="0"/>
        <v>20</v>
      </c>
      <c r="J6" s="545" t="str">
        <f t="shared" si="0"/>
        <v/>
      </c>
      <c r="K6" s="545">
        <f t="shared" si="0"/>
        <v>160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 t="str">
        <f t="shared" si="0"/>
        <v/>
      </c>
      <c r="R6" s="545">
        <f t="shared" si="0"/>
        <v>5.3000000000000003E-10</v>
      </c>
      <c r="S6" s="545" t="str">
        <f t="shared" si="0"/>
        <v/>
      </c>
      <c r="T6" s="545" t="str">
        <f t="shared" si="0"/>
        <v/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0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0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0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9.5852946805328521E-2</v>
      </c>
      <c r="M220" s="452">
        <f t="shared" si="0"/>
        <v>9.5852946805328521E-2</v>
      </c>
      <c r="N220" s="452">
        <f t="shared" si="0"/>
        <v>9.5852946805328521E-2</v>
      </c>
      <c r="O220" s="452">
        <f t="shared" si="0"/>
        <v>9.5852946805328521E-2</v>
      </c>
      <c r="P220" s="452">
        <f t="shared" si="0"/>
        <v>9.5852946805328521E-2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0.90414705319467148</v>
      </c>
      <c r="M222" s="452">
        <f>(0.00015*0.172)/((IF(Tm&gt;298,EXP(-6.79*(1-Tm/298))*Pvap25*EXP((H0vap/8.314)*(1/298-1/TEMP.R)),Pvap25*EXP((H0vap/8.314)*(1/298-1/TEMP.R))))+(0.00015*0.172))</f>
        <v>0.90414705319467148</v>
      </c>
      <c r="N222" s="452">
        <f>(0.00015*0.172)/((IF(Tm&gt;298,EXP(-6.79*(1-Tm/298))*Pvap25*EXP((H0vap/8.314)*(1/298-1/TEMP.R)),Pvap25*EXP((H0vap/8.314)*(1/298-1/TEMP.R))))+(0.00015*0.172))</f>
        <v>0.90414705319467148</v>
      </c>
      <c r="O222" s="452">
        <f>(0.00015*0.172)/((IF(Tm&gt;298,EXP(-6.79*(1-Tm/298))*Pvap25*EXP((H0vap/8.314)*(1/298-1/TEMP.R)),Pvap25*EXP((H0vap/8.314)*(1/298-1/TEMP.R))))+(0.00015*0.172))</f>
        <v>0.90414705319467148</v>
      </c>
      <c r="P222" s="452">
        <f>(0.00015*0.172)/((IF(Tm&gt;298,EXP(-6.79*(1-Tm/298))*Pvap25*EXP((H0vap/8.314)*(1/298-1/TEMP.R)),Pvap25*EXP((H0vap/8.314)*(1/298-1/TEMP.R))))+(0.00015*0.172))</f>
        <v>0.90414705319467148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0.99998815707520883</v>
      </c>
      <c r="M226" s="452">
        <f t="shared" si="1"/>
        <v>0.99998815707520883</v>
      </c>
      <c r="N226" s="452">
        <f t="shared" si="1"/>
        <v>0.99998815707520883</v>
      </c>
      <c r="O226" s="452">
        <f t="shared" si="1"/>
        <v>0.99998815707520883</v>
      </c>
      <c r="P226" s="452">
        <f t="shared" si="1"/>
        <v>0.99998815707520883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0.99987672324759713</v>
      </c>
      <c r="M232" s="452">
        <f t="shared" si="2"/>
        <v>0.99987672324759713</v>
      </c>
      <c r="N232" s="452">
        <f t="shared" si="2"/>
        <v>0.99987672324759713</v>
      </c>
      <c r="O232" s="452">
        <f t="shared" si="2"/>
        <v>0.99987672324759713</v>
      </c>
      <c r="P232" s="452">
        <f t="shared" si="2"/>
        <v>0.99987672324759713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0.99995357150522701</v>
      </c>
      <c r="M238" s="452">
        <f t="shared" si="3"/>
        <v>0.99995357150522701</v>
      </c>
      <c r="N238" s="452">
        <f t="shared" si="3"/>
        <v>0.99995357150522701</v>
      </c>
      <c r="O238" s="452">
        <f t="shared" si="3"/>
        <v>0.99995357150522701</v>
      </c>
      <c r="P238" s="452">
        <f t="shared" si="3"/>
        <v>0.99995357150522701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6.1679374174024746E-3</v>
      </c>
      <c r="M268" s="451">
        <f>((DRYDEPaerosol.R+AerosolWashout.R+GasWashout.R+GASABS.aR.wR)/HEIGHT.aR)*AREAFRAC.w0R</f>
        <v>6.1679374174024746E-3</v>
      </c>
      <c r="N268" s="451">
        <f>((DRYDEPaerosol.R+AerosolWashout.R+GasWashout.R+GASABS.aR.wR)/HEIGHT.aR)*AREAFRAC.w0R</f>
        <v>6.1679374174024746E-3</v>
      </c>
      <c r="O268" s="451">
        <f>((DRYDEPaerosol.R+AerosolWashout.R+GasWashout.R+GASABS.aR.wR)/HEIGHT.aR)*AREAFRAC.w0R</f>
        <v>6.1679374174024746E-3</v>
      </c>
      <c r="P268" s="451">
        <f>((DRYDEPaerosol.R+AerosolWashout.R+GasWashout.R+GASABS.aR.wR)/HEIGHT.aR)*AREAFRAC.w0R</f>
        <v>6.1679374174024746E-3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6.784731159142722E-2</v>
      </c>
      <c r="M269" s="451">
        <f>((DRYDEPaerosol.R+AerosolWashout.R+GasWashout.R+GASABS.aR.wR)/HEIGHT.aR)*AREAFRAC.w1R</f>
        <v>6.784731159142722E-2</v>
      </c>
      <c r="N269" s="451">
        <f>((DRYDEPaerosol.R+AerosolWashout.R+GasWashout.R+GASABS.aR.wR)/HEIGHT.aR)*AREAFRAC.w1R</f>
        <v>6.784731159142722E-2</v>
      </c>
      <c r="O269" s="451">
        <f>((DRYDEPaerosol.R+AerosolWashout.R+GasWashout.R+GASABS.aR.wR)/HEIGHT.aR)*AREAFRAC.w1R</f>
        <v>6.784731159142722E-2</v>
      </c>
      <c r="P269" s="451">
        <f>((DRYDEPaerosol.R+AerosolWashout.R+GasWashout.R+GASABS.aR.wR)/HEIGHT.aR)*AREAFRAC.w1R</f>
        <v>6.784731159142722E-2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1.0793957942691484E-2</v>
      </c>
      <c r="M270" s="451">
        <f>((DRYDEPaerosol.R+AerosolWashout.R+GasWashout.R+GASABS.aR.wR)/HEIGHT.aR)*AREAFRAC.w2R</f>
        <v>1.0793957942691484E-2</v>
      </c>
      <c r="N270" s="451">
        <f>((DRYDEPaerosol.R+AerosolWashout.R+GasWashout.R+GASABS.aR.wR)/HEIGHT.aR)*AREAFRAC.w2R</f>
        <v>1.0793957942691484E-2</v>
      </c>
      <c r="O270" s="451">
        <f>((DRYDEPaerosol.R+AerosolWashout.R+GasWashout.R+GASABS.aR.wR)/HEIGHT.aR)*AREAFRAC.w2R</f>
        <v>1.0793957942691484E-2</v>
      </c>
      <c r="P270" s="451">
        <f>((DRYDEPaerosol.R+AerosolWashout.R+GasWashout.R+GASABS.aR.wR)/HEIGHT.aR)*AREAFRAC.w2R</f>
        <v>1.0793957942691484E-2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0.66613686898570845</v>
      </c>
      <c r="M271" s="451">
        <f>((DRYDEPaerosol.R+AerosolWashout.R+GasWashout.R+GASABS.aR.sR)/HEIGHT.aR)*AREAFRAC.s1R</f>
        <v>0.66613686898570845</v>
      </c>
      <c r="N271" s="451">
        <f>((DRYDEPaerosol.R+AerosolWashout.R+GasWashout.R+GASABS.aR.sR)/HEIGHT.aR)*AREAFRAC.s1R</f>
        <v>0.66613686898570845</v>
      </c>
      <c r="O271" s="451">
        <f>((DRYDEPaerosol.R+AerosolWashout.R+GasWashout.R+GASABS.aR.sR)/HEIGHT.aR)*AREAFRAC.s1R</f>
        <v>0.66613686898570845</v>
      </c>
      <c r="P271" s="451">
        <f>((DRYDEPaerosol.R+AerosolWashout.R+GasWashout.R+GASABS.aR.sR)/HEIGHT.aR)*AREAFRAC.s1R</f>
        <v>0.66613686898570845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1.4803041533015742</v>
      </c>
      <c r="M272" s="451">
        <f>((DRYDEPaerosol.R+AerosolWashout.R+GasWashout.R+GASABS.aR.sR)/HEIGHT.aR)*AREAFRAC.s2R</f>
        <v>1.4803041533015742</v>
      </c>
      <c r="N272" s="451">
        <f>((DRYDEPaerosol.R+AerosolWashout.R+GasWashout.R+GASABS.aR.sR)/HEIGHT.aR)*AREAFRAC.s2R</f>
        <v>1.4803041533015742</v>
      </c>
      <c r="O272" s="451">
        <f>((DRYDEPaerosol.R+AerosolWashout.R+GasWashout.R+GASABS.aR.sR)/HEIGHT.aR)*AREAFRAC.s2R</f>
        <v>1.4803041533015742</v>
      </c>
      <c r="P272" s="451">
        <f>((DRYDEPaerosol.R+AerosolWashout.R+GasWashout.R+GASABS.aR.sR)/HEIGHT.aR)*AREAFRAC.s2R</f>
        <v>1.4803041533015742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0.24671735888359572</v>
      </c>
      <c r="M273" s="451">
        <f>((DRYDEPaerosol.R+AerosolWashout.R+GasWashout.R+GASABS.aR.sR)/HEIGHT.aR)*AREAFRAC.s3R</f>
        <v>0.24671735888359572</v>
      </c>
      <c r="N273" s="451">
        <f>((DRYDEPaerosol.R+AerosolWashout.R+GasWashout.R+GASABS.aR.sR)/HEIGHT.aR)*AREAFRAC.s3R</f>
        <v>0.24671735888359572</v>
      </c>
      <c r="O273" s="451">
        <f>((DRYDEPaerosol.R+AerosolWashout.R+GasWashout.R+GASABS.aR.sR)/HEIGHT.aR)*AREAFRAC.s3R</f>
        <v>0.24671735888359572</v>
      </c>
      <c r="P273" s="451">
        <f>((DRYDEPaerosol.R+AerosolWashout.R+GasWashout.R+GASABS.aR.sR)/HEIGHT.aR)*AREAFRAC.s3R</f>
        <v>0.24671735888359572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3.7617999830720028E-4</v>
      </c>
      <c r="M286" s="451">
        <f>AEROSOLdeprate.R*FRaers.aR</f>
        <v>3.7617999830720028E-4</v>
      </c>
      <c r="N286" s="451">
        <f>AEROSOLdeprate.R*FRaers.aR</f>
        <v>3.7617999830720028E-4</v>
      </c>
      <c r="O286" s="451">
        <f>AEROSOLdeprate.R*FRaers.aR</f>
        <v>3.7617999830720028E-4</v>
      </c>
      <c r="P286" s="451">
        <f>AEROSOLdeprate.R*FRaers.aR</f>
        <v>3.7617999830720028E-4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2.2647078134374441E-3</v>
      </c>
      <c r="M287" s="452">
        <f t="shared" si="4"/>
        <v>2.2647078134374441E-3</v>
      </c>
      <c r="N287" s="452">
        <f t="shared" si="4"/>
        <v>2.2647078134374441E-3</v>
      </c>
      <c r="O287" s="452">
        <f t="shared" si="4"/>
        <v>2.2647078134374441E-3</v>
      </c>
      <c r="P287" s="452">
        <f t="shared" si="4"/>
        <v>2.2647078134374441E-3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148.67632104226283</v>
      </c>
      <c r="M288" s="452">
        <f t="shared" si="5"/>
        <v>148.67632104226283</v>
      </c>
      <c r="N288" s="452">
        <f t="shared" si="5"/>
        <v>148.67632104226283</v>
      </c>
      <c r="O288" s="452">
        <f t="shared" si="5"/>
        <v>148.67632104226283</v>
      </c>
      <c r="P288" s="452">
        <f t="shared" si="5"/>
        <v>148.67632104226283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0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9.5852946805328521E-2</v>
      </c>
      <c r="M445" s="452">
        <f t="shared" si="6"/>
        <v>9.5852946805328521E-2</v>
      </c>
      <c r="N445" s="452">
        <f t="shared" si="6"/>
        <v>9.5852946805328521E-2</v>
      </c>
      <c r="O445" s="452">
        <f t="shared" si="6"/>
        <v>9.5852946805328521E-2</v>
      </c>
      <c r="P445" s="452">
        <f t="shared" si="6"/>
        <v>9.5852946805328521E-2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0.90414705319467148</v>
      </c>
      <c r="M447" s="452">
        <f t="shared" si="7"/>
        <v>0.90414705319467148</v>
      </c>
      <c r="N447" s="452">
        <f t="shared" si="7"/>
        <v>0.90414705319467148</v>
      </c>
      <c r="O447" s="452">
        <f t="shared" si="7"/>
        <v>0.90414705319467148</v>
      </c>
      <c r="P447" s="452">
        <f t="shared" si="7"/>
        <v>0.90414705319467148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0.99998815707520883</v>
      </c>
      <c r="M451" s="452">
        <f t="shared" si="8"/>
        <v>0.99998815707520883</v>
      </c>
      <c r="N451" s="452">
        <f t="shared" si="8"/>
        <v>0.99998815707520883</v>
      </c>
      <c r="O451" s="452">
        <f t="shared" si="8"/>
        <v>0.99998815707520883</v>
      </c>
      <c r="P451" s="452">
        <f t="shared" si="8"/>
        <v>0.99998815707520883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0.99987672324759713</v>
      </c>
      <c r="M457" s="452">
        <f t="shared" si="9"/>
        <v>0.99987672324759713</v>
      </c>
      <c r="N457" s="452">
        <f t="shared" si="9"/>
        <v>0.99987672324759713</v>
      </c>
      <c r="O457" s="452">
        <f t="shared" si="9"/>
        <v>0.99987672324759713</v>
      </c>
      <c r="P457" s="452">
        <f t="shared" si="9"/>
        <v>0.99987672324759713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0.99995357150522701</v>
      </c>
      <c r="M463" s="452">
        <f t="shared" si="10"/>
        <v>0.99995357150522701</v>
      </c>
      <c r="N463" s="452">
        <f t="shared" si="10"/>
        <v>0.99995357150522701</v>
      </c>
      <c r="O463" s="452">
        <f t="shared" si="10"/>
        <v>0.99995357150522701</v>
      </c>
      <c r="P463" s="452">
        <f t="shared" si="10"/>
        <v>0.99995357150522701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2.9995496743363023E-3</v>
      </c>
      <c r="M493" s="451">
        <f>((DRYDEPaerosol.C+AerosolWashout.C+GasWashout.C+GASABS.aC.wC)/HEIGHT.aC)*AREAFRAC.w0C</f>
        <v>2.9995496743363023E-3</v>
      </c>
      <c r="N493" s="451">
        <f>((DRYDEPaerosol.C+AerosolWashout.C+GasWashout.C+GASABS.aC.wC)/HEIGHT.aC)*AREAFRAC.w0C</f>
        <v>2.9995496743363023E-3</v>
      </c>
      <c r="O493" s="451">
        <f>((DRYDEPaerosol.C+AerosolWashout.C+GasWashout.C+GASABS.aC.wC)/HEIGHT.aC)*AREAFRAC.w0C</f>
        <v>2.9995496743363023E-3</v>
      </c>
      <c r="P493" s="451">
        <f>((DRYDEPaerosol.C+AerosolWashout.C+GasWashout.C+GASABS.aC.wC)/HEIGHT.aC)*AREAFRAC.w0C</f>
        <v>2.9995496743363023E-3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3.299504641769932E-2</v>
      </c>
      <c r="M494" s="451">
        <f>((DRYDEPaerosol.C+AerosolWashout.C+GasWashout.C+GASABS.aC.wC)/HEIGHT.aC)*AREAFRAC.w1C</f>
        <v>3.299504641769932E-2</v>
      </c>
      <c r="N494" s="451">
        <f>((DRYDEPaerosol.C+AerosolWashout.C+GasWashout.C+GASABS.aC.wC)/HEIGHT.aC)*AREAFRAC.w1C</f>
        <v>3.299504641769932E-2</v>
      </c>
      <c r="O494" s="451">
        <f>((DRYDEPaerosol.C+AerosolWashout.C+GasWashout.C+GASABS.aC.wC)/HEIGHT.aC)*AREAFRAC.w1C</f>
        <v>3.299504641769932E-2</v>
      </c>
      <c r="P494" s="451">
        <f>((DRYDEPaerosol.C+AerosolWashout.C+GasWashout.C+GASABS.aC.wC)/HEIGHT.aC)*AREAFRAC.w1C</f>
        <v>3.299504641769932E-2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1.2781490551691606</v>
      </c>
      <c r="M495" s="451">
        <f>((DRYDEPaerosol.C+AerosolWashout.C+GasWashout.C+GASABS.aC.wC)/HEIGHT.aC)*AREAFRAC.w2C</f>
        <v>1.2781490551691606</v>
      </c>
      <c r="N495" s="451">
        <f>((DRYDEPaerosol.C+AerosolWashout.C+GasWashout.C+GASABS.aC.wC)/HEIGHT.aC)*AREAFRAC.w2C</f>
        <v>1.2781490551691606</v>
      </c>
      <c r="O495" s="451">
        <f>((DRYDEPaerosol.C+AerosolWashout.C+GasWashout.C+GASABS.aC.wC)/HEIGHT.aC)*AREAFRAC.w2C</f>
        <v>1.2781490551691606</v>
      </c>
      <c r="P495" s="451">
        <f>((DRYDEPaerosol.C+AerosolWashout.C+GasWashout.C+GASABS.aC.wC)/HEIGHT.aC)*AREAFRAC.w2C</f>
        <v>1.2781490551691606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0.32395118387419652</v>
      </c>
      <c r="M496" s="451">
        <f>((DRYDEPaerosol.C+AerosolWashout.C+GasWashout.C+GASABS.aC.sC)/HEIGHT.aC)*AREAFRAC.s1C</f>
        <v>0.32395118387419652</v>
      </c>
      <c r="N496" s="451">
        <f>((DRYDEPaerosol.C+AerosolWashout.C+GasWashout.C+GASABS.aC.sC)/HEIGHT.aC)*AREAFRAC.s1C</f>
        <v>0.32395118387419652</v>
      </c>
      <c r="O496" s="451">
        <f>((DRYDEPaerosol.C+AerosolWashout.C+GasWashout.C+GASABS.aC.sC)/HEIGHT.aC)*AREAFRAC.s1C</f>
        <v>0.32395118387419652</v>
      </c>
      <c r="P496" s="451">
        <f>((DRYDEPaerosol.C+AerosolWashout.C+GasWashout.C+GASABS.aC.sC)/HEIGHT.aC)*AREAFRAC.s1C</f>
        <v>0.32395118387419652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0.71989151972043663</v>
      </c>
      <c r="M497" s="451">
        <f>((DRYDEPaerosol.C+AerosolWashout.C+GasWashout.C+GASABS.aC.sC)/HEIGHT.aC)*AREAFRAC.s2C</f>
        <v>0.71989151972043663</v>
      </c>
      <c r="N497" s="451">
        <f>((DRYDEPaerosol.C+AerosolWashout.C+GasWashout.C+GASABS.aC.sC)/HEIGHT.aC)*AREAFRAC.s2C</f>
        <v>0.71989151972043663</v>
      </c>
      <c r="O497" s="451">
        <f>((DRYDEPaerosol.C+AerosolWashout.C+GasWashout.C+GASABS.aC.sC)/HEIGHT.aC)*AREAFRAC.s2C</f>
        <v>0.71989151972043663</v>
      </c>
      <c r="P497" s="451">
        <f>((DRYDEPaerosol.C+AerosolWashout.C+GasWashout.C+GASABS.aC.sC)/HEIGHT.aC)*AREAFRAC.s2C</f>
        <v>0.71989151972043663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0.11998191995340608</v>
      </c>
      <c r="M498" s="451">
        <f>((DRYDEPaerosol.C+AerosolWashout.C+GasWashout.C+GASABS.aC.sC)/HEIGHT.aC)*AREAFRAC.s3C</f>
        <v>0.11998191995340608</v>
      </c>
      <c r="N498" s="451">
        <f>((DRYDEPaerosol.C+AerosolWashout.C+GasWashout.C+GASABS.aC.sC)/HEIGHT.aC)*AREAFRAC.s3C</f>
        <v>0.11998191995340608</v>
      </c>
      <c r="O498" s="451">
        <f>((DRYDEPaerosol.C+AerosolWashout.C+GasWashout.C+GASABS.aC.sC)/HEIGHT.aC)*AREAFRAC.s3C</f>
        <v>0.11998191995340608</v>
      </c>
      <c r="P498" s="451">
        <f>((DRYDEPaerosol.C+AerosolWashout.C+GasWashout.C+GASABS.aC.sC)/HEIGHT.aC)*AREAFRAC.s3C</f>
        <v>0.11998191995340608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3.7617999830720028E-4</v>
      </c>
      <c r="M511" s="452">
        <f>AEROSOLdeprate.C*FRaers.aC</f>
        <v>3.7617999830720028E-4</v>
      </c>
      <c r="N511" s="452">
        <f>AEROSOLdeprate.C*FRaers.aC</f>
        <v>3.7617999830720028E-4</v>
      </c>
      <c r="O511" s="452">
        <f>AEROSOLdeprate.C*FRaers.aC</f>
        <v>3.7617999830720028E-4</v>
      </c>
      <c r="P511" s="452">
        <f>AEROSOLdeprate.C*FRaers.aC</f>
        <v>3.7617999830720028E-4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2.2647078134374441E-3</v>
      </c>
      <c r="M512" s="452">
        <f t="shared" si="11"/>
        <v>2.2647078134374441E-3</v>
      </c>
      <c r="N512" s="452">
        <f t="shared" si="11"/>
        <v>2.2647078134374441E-3</v>
      </c>
      <c r="O512" s="452">
        <f t="shared" si="11"/>
        <v>2.2647078134374441E-3</v>
      </c>
      <c r="P512" s="452">
        <f t="shared" si="11"/>
        <v>2.2647078134374441E-3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148.67632104226283</v>
      </c>
      <c r="M513" s="452">
        <f t="shared" si="12"/>
        <v>148.67632104226283</v>
      </c>
      <c r="N513" s="452">
        <f t="shared" si="12"/>
        <v>148.67632104226283</v>
      </c>
      <c r="O513" s="452">
        <f t="shared" si="12"/>
        <v>148.67632104226283</v>
      </c>
      <c r="P513" s="452">
        <f t="shared" si="12"/>
        <v>148.67632104226283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0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9.5852946805328521E-2</v>
      </c>
      <c r="M650" s="452">
        <f t="shared" si="13"/>
        <v>9.5852946805328521E-2</v>
      </c>
      <c r="N650" s="452">
        <f t="shared" si="13"/>
        <v>9.5852946805328521E-2</v>
      </c>
      <c r="O650" s="452">
        <f t="shared" si="13"/>
        <v>9.5852946805328521E-2</v>
      </c>
      <c r="P650" s="452">
        <f t="shared" si="13"/>
        <v>9.5852946805328521E-2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0.90414705319467148</v>
      </c>
      <c r="M652" s="452">
        <f t="shared" si="14"/>
        <v>0.90414705319467148</v>
      </c>
      <c r="N652" s="452">
        <f t="shared" si="14"/>
        <v>0.90414705319467148</v>
      </c>
      <c r="O652" s="452">
        <f t="shared" si="14"/>
        <v>0.90414705319467148</v>
      </c>
      <c r="P652" s="452">
        <f t="shared" si="14"/>
        <v>0.90414705319467148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0.99995357150522701</v>
      </c>
      <c r="M657" s="452">
        <f t="shared" si="15"/>
        <v>0.99995357150522701</v>
      </c>
      <c r="N657" s="452">
        <f t="shared" si="15"/>
        <v>0.99995357150522701</v>
      </c>
      <c r="O657" s="452">
        <f t="shared" si="15"/>
        <v>0.99995357150522701</v>
      </c>
      <c r="P657" s="452">
        <f t="shared" si="15"/>
        <v>0.99995357150522701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0.99995357150522701</v>
      </c>
      <c r="M658" s="452">
        <f t="shared" si="16"/>
        <v>0.99995357150522701</v>
      </c>
      <c r="N658" s="452">
        <f t="shared" si="16"/>
        <v>0.99995357150522701</v>
      </c>
      <c r="O658" s="452">
        <f t="shared" si="16"/>
        <v>0.99995357150522701</v>
      </c>
      <c r="P658" s="452">
        <f t="shared" si="16"/>
        <v>0.99995357150522701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1.2389844624518407</v>
      </c>
      <c r="M680" s="451">
        <f>((DRYDEPaerosol.M+AerosolWashout.M+GasWashout.M+GASABS.aM.wM)/HEIGHT.aC)*AREAFRAC.wM</f>
        <v>1.2389844624518407</v>
      </c>
      <c r="N680" s="451">
        <f>((DRYDEPaerosol.M+AerosolWashout.M+GasWashout.M+GASABS.aM.wM)/HEIGHT.aC)*AREAFRAC.wM</f>
        <v>1.2389844624518407</v>
      </c>
      <c r="O680" s="451">
        <f>((DRYDEPaerosol.M+AerosolWashout.M+GasWashout.M+GASABS.aM.wM)/HEIGHT.aC)*AREAFRAC.wM</f>
        <v>1.2389844624518407</v>
      </c>
      <c r="P680" s="451">
        <f>((DRYDEPaerosol.M+AerosolWashout.M+GasWashout.M+GASABS.aM.wM)/HEIGHT.aC)*AREAFRAC.wM</f>
        <v>1.2389844624518407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1.2389837703746569</v>
      </c>
      <c r="M681" s="452">
        <f>((DRYDEPaerosol.M+AerosolWashout.M+GasWashout.M+GASABS.aM.sM)/HEIGHT.aC)*AREAFRAC.sM</f>
        <v>1.2389837703746569</v>
      </c>
      <c r="N681" s="452">
        <f>((DRYDEPaerosol.M+AerosolWashout.M+GasWashout.M+GASABS.aM.sM)/HEIGHT.aC)*AREAFRAC.sM</f>
        <v>1.2389837703746569</v>
      </c>
      <c r="O681" s="452">
        <f>((DRYDEPaerosol.M+AerosolWashout.M+GasWashout.M+GASABS.aM.sM)/HEIGHT.aC)*AREAFRAC.sM</f>
        <v>1.2389837703746569</v>
      </c>
      <c r="P681" s="452">
        <f>((DRYDEPaerosol.M+AerosolWashout.M+GasWashout.M+GASABS.aM.sM)/HEIGHT.aC)*AREAFRAC.sM</f>
        <v>1.2389837703746569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3.7617999830720028E-4</v>
      </c>
      <c r="M690" s="452">
        <f>AEROSOLdeprate.M*FRaers.aM</f>
        <v>3.7617999830720028E-4</v>
      </c>
      <c r="N690" s="452">
        <f>AEROSOLdeprate.M*FRaers.aM</f>
        <v>3.7617999830720028E-4</v>
      </c>
      <c r="O690" s="452">
        <f>AEROSOLdeprate.M*FRaers.aM</f>
        <v>3.7617999830720028E-4</v>
      </c>
      <c r="P690" s="452">
        <f>AEROSOLdeprate.M*FRaers.aM</f>
        <v>3.7617999830720028E-4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2.2647078134374441E-3</v>
      </c>
      <c r="M691" s="452">
        <f t="shared" si="17"/>
        <v>2.2647078134374441E-3</v>
      </c>
      <c r="N691" s="452">
        <f t="shared" si="17"/>
        <v>2.2647078134374441E-3</v>
      </c>
      <c r="O691" s="452">
        <f t="shared" si="17"/>
        <v>2.2647078134374441E-3</v>
      </c>
      <c r="P691" s="452">
        <f t="shared" si="17"/>
        <v>2.2647078134374441E-3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148.67632104226283</v>
      </c>
      <c r="M692" s="452">
        <f t="shared" si="18"/>
        <v>148.67632104226283</v>
      </c>
      <c r="N692" s="452">
        <f t="shared" si="18"/>
        <v>148.67632104226283</v>
      </c>
      <c r="O692" s="452">
        <f t="shared" si="18"/>
        <v>148.67632104226283</v>
      </c>
      <c r="P692" s="452">
        <f t="shared" si="18"/>
        <v>148.67632104226283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2.0932585285350358E-3</v>
      </c>
      <c r="M786" s="452">
        <f t="shared" si="19"/>
        <v>2.0932585285350358E-3</v>
      </c>
      <c r="N786" s="452">
        <f t="shared" si="19"/>
        <v>2.0932585285350358E-3</v>
      </c>
      <c r="O786" s="452">
        <f t="shared" si="19"/>
        <v>2.0932585285350358E-3</v>
      </c>
      <c r="P786" s="452">
        <f t="shared" si="19"/>
        <v>2.0932585285350358E-3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0.99790674147146496</v>
      </c>
      <c r="M788" s="452">
        <f t="shared" si="20"/>
        <v>0.99790674147146496</v>
      </c>
      <c r="N788" s="452">
        <f t="shared" si="20"/>
        <v>0.99790674147146496</v>
      </c>
      <c r="O788" s="452">
        <f t="shared" si="20"/>
        <v>0.99790674147146496</v>
      </c>
      <c r="P788" s="452">
        <f t="shared" si="20"/>
        <v>0.99790674147146496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0.99995357150522701</v>
      </c>
      <c r="M793" s="452">
        <f t="shared" si="21"/>
        <v>0.99995357150522701</v>
      </c>
      <c r="N793" s="452">
        <f t="shared" si="21"/>
        <v>0.99995357150522701</v>
      </c>
      <c r="O793" s="452">
        <f t="shared" si="21"/>
        <v>0.99995357150522701</v>
      </c>
      <c r="P793" s="452">
        <f t="shared" si="21"/>
        <v>0.99995357150522701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0.99995357150522701</v>
      </c>
      <c r="M794" s="452">
        <f t="shared" si="22"/>
        <v>0.99995357150522701</v>
      </c>
      <c r="N794" s="452">
        <f t="shared" si="22"/>
        <v>0.99995357150522701</v>
      </c>
      <c r="O794" s="452">
        <f t="shared" si="22"/>
        <v>0.99995357150522701</v>
      </c>
      <c r="P794" s="452">
        <f t="shared" si="22"/>
        <v>0.99995357150522701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3.3105483780890705</v>
      </c>
      <c r="M816" s="451">
        <f>((DRYDEPaerosol.A+AerosolWashout.A+GasWashout.A+GASABS.aA.wA)/HEIGHT.aC)*AREAFRAC.wA</f>
        <v>3.3105483780890705</v>
      </c>
      <c r="N816" s="451">
        <f>((DRYDEPaerosol.A+AerosolWashout.A+GasWashout.A+GASABS.aA.wA)/HEIGHT.aC)*AREAFRAC.wA</f>
        <v>3.3105483780890705</v>
      </c>
      <c r="O816" s="451">
        <f>((DRYDEPaerosol.A+AerosolWashout.A+GasWashout.A+GASABS.aA.wA)/HEIGHT.aC)*AREAFRAC.wA</f>
        <v>3.3105483780890705</v>
      </c>
      <c r="P816" s="451">
        <f>((DRYDEPaerosol.A+AerosolWashout.A+GasWashout.A+GASABS.aA.wA)/HEIGHT.aC)*AREAFRAC.wA</f>
        <v>3.3105483780890705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2.2070321467130531</v>
      </c>
      <c r="M817" s="451">
        <f>((DRYDEPaerosol.A+AerosolWashout.A+GasWashout.A+GASABS.aA.sA)/HEIGHT.aC)*AREAFRAC.sA</f>
        <v>2.2070321467130531</v>
      </c>
      <c r="N817" s="451">
        <f>((DRYDEPaerosol.A+AerosolWashout.A+GasWashout.A+GASABS.aA.sA)/HEIGHT.aC)*AREAFRAC.sA</f>
        <v>2.2070321467130531</v>
      </c>
      <c r="O817" s="451">
        <f>((DRYDEPaerosol.A+AerosolWashout.A+GasWashout.A+GASABS.aA.sA)/HEIGHT.aC)*AREAFRAC.sA</f>
        <v>2.2070321467130531</v>
      </c>
      <c r="P817" s="451">
        <f>((DRYDEPaerosol.A+AerosolWashout.A+GasWashout.A+GASABS.aA.sA)/HEIGHT.aC)*AREAFRAC.sA</f>
        <v>2.2070321467130531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7.1579123842754208E-5</v>
      </c>
      <c r="M826" s="451">
        <f>AEROSOLdeprate.A*FRaers.aA</f>
        <v>7.1579123842754208E-5</v>
      </c>
      <c r="N826" s="451">
        <f>AEROSOLdeprate.A*FRaers.aA</f>
        <v>7.1579123842754208E-5</v>
      </c>
      <c r="O826" s="451">
        <f>AEROSOLdeprate.A*FRaers.aA</f>
        <v>7.1579123842754208E-5</v>
      </c>
      <c r="P826" s="451">
        <f>AEROSOLdeprate.A*FRaers.aA</f>
        <v>7.1579123842754208E-5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1.4377065493797064E-3</v>
      </c>
      <c r="M827" s="452">
        <f t="shared" si="23"/>
        <v>1.4377065493797064E-3</v>
      </c>
      <c r="N827" s="452">
        <f t="shared" si="23"/>
        <v>1.4377065493797064E-3</v>
      </c>
      <c r="O827" s="452">
        <f t="shared" si="23"/>
        <v>1.4377065493797064E-3</v>
      </c>
      <c r="P827" s="452">
        <f t="shared" si="23"/>
        <v>1.4377065493797064E-3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331.05464825200329</v>
      </c>
      <c r="M828" s="452">
        <f t="shared" si="24"/>
        <v>331.05464825200329</v>
      </c>
      <c r="N828" s="452">
        <f t="shared" si="24"/>
        <v>331.05464825200329</v>
      </c>
      <c r="O828" s="452">
        <f t="shared" si="24"/>
        <v>331.05464825200329</v>
      </c>
      <c r="P828" s="452">
        <f t="shared" si="24"/>
        <v>331.05464825200329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0.45055478663124349</v>
      </c>
      <c r="M922" s="452">
        <f t="shared" si="25"/>
        <v>0.45055478663124349</v>
      </c>
      <c r="N922" s="452">
        <f t="shared" si="25"/>
        <v>0.45055478663124349</v>
      </c>
      <c r="O922" s="452">
        <f t="shared" si="25"/>
        <v>0.45055478663124349</v>
      </c>
      <c r="P922" s="452">
        <f t="shared" si="25"/>
        <v>0.45055478663124349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0.54944521336875651</v>
      </c>
      <c r="M924" s="452">
        <f t="shared" si="26"/>
        <v>0.54944521336875651</v>
      </c>
      <c r="N924" s="452">
        <f t="shared" si="26"/>
        <v>0.54944521336875651</v>
      </c>
      <c r="O924" s="452">
        <f t="shared" si="26"/>
        <v>0.54944521336875651</v>
      </c>
      <c r="P924" s="452">
        <f t="shared" si="26"/>
        <v>0.54944521336875651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0.99995357150522701</v>
      </c>
      <c r="M929" s="452">
        <f t="shared" si="27"/>
        <v>0.99995357150522701</v>
      </c>
      <c r="N929" s="452">
        <f t="shared" si="27"/>
        <v>0.99995357150522701</v>
      </c>
      <c r="O929" s="452">
        <f t="shared" si="27"/>
        <v>0.99995357150522701</v>
      </c>
      <c r="P929" s="452">
        <f t="shared" si="27"/>
        <v>0.99995357150522701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0.99995357150522701</v>
      </c>
      <c r="M930" s="452">
        <f t="shared" si="28"/>
        <v>0.99995357150522701</v>
      </c>
      <c r="N930" s="452">
        <f t="shared" si="28"/>
        <v>0.99995357150522701</v>
      </c>
      <c r="O930" s="452">
        <f t="shared" si="28"/>
        <v>0.99995357150522701</v>
      </c>
      <c r="P930" s="452">
        <f t="shared" si="28"/>
        <v>0.99995357150522701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0.58968185833366038</v>
      </c>
      <c r="M952" s="451">
        <f>((DRYDEPaerosol.T+AerosolWashout.T+GasWashout.T+GASABS.aT.wT)/HEIGHT.aT)*AREAFRAC.wT</f>
        <v>0.58968185833366038</v>
      </c>
      <c r="N952" s="451">
        <f>((DRYDEPaerosol.T+AerosolWashout.T+GasWashout.T+GASABS.aT.wT)/HEIGHT.aT)*AREAFRAC.wT</f>
        <v>0.58968185833366038</v>
      </c>
      <c r="O952" s="451">
        <f>((DRYDEPaerosol.T+AerosolWashout.T+GasWashout.T+GASABS.aT.wT)/HEIGHT.aT)*AREAFRAC.wT</f>
        <v>0.58968185833366038</v>
      </c>
      <c r="P952" s="451">
        <f>((DRYDEPaerosol.T+AerosolWashout.T+GasWashout.T+GASABS.aT.wT)/HEIGHT.aT)*AREAFRAC.wT</f>
        <v>0.58968185833366038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0.25272032867837774</v>
      </c>
      <c r="M953" s="451">
        <f>((DRYDEPaerosol.T+AerosolWashout.T+GasWashout.T+GASABS.aT.sT)/HEIGHT.aT)*AREAFRAC.sT</f>
        <v>0.25272032867837774</v>
      </c>
      <c r="N953" s="451">
        <f>((DRYDEPaerosol.T+AerosolWashout.T+GasWashout.T+GASABS.aT.sT)/HEIGHT.aT)*AREAFRAC.sT</f>
        <v>0.25272032867837774</v>
      </c>
      <c r="O953" s="451">
        <f>((DRYDEPaerosol.T+AerosolWashout.T+GasWashout.T+GASABS.aT.sT)/HEIGHT.aT)*AREAFRAC.sT</f>
        <v>0.25272032867837774</v>
      </c>
      <c r="P953" s="451">
        <f>((DRYDEPaerosol.T+AerosolWashout.T+GasWashout.T+GASABS.aT.sT)/HEIGHT.aT)*AREAFRAC.sT</f>
        <v>0.25272032867837774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4.2371770895409567E-4</v>
      </c>
      <c r="M962" s="451">
        <f>AEROSOLdeprate.T*FRaers.aT</f>
        <v>4.2371770895409567E-4</v>
      </c>
      <c r="N962" s="451">
        <f>AEROSOLdeprate.T*FRaers.aT</f>
        <v>4.2371770895409567E-4</v>
      </c>
      <c r="O962" s="451">
        <f>AEROSOLdeprate.T*FRaers.aT</f>
        <v>4.2371770895409567E-4</v>
      </c>
      <c r="P962" s="451">
        <f>AEROSOLdeprate.T*FRaers.aT</f>
        <v>4.2371770895409567E-4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3.6955221500182653E-3</v>
      </c>
      <c r="M963" s="452">
        <f t="shared" si="29"/>
        <v>3.6955221500182653E-3</v>
      </c>
      <c r="N963" s="452">
        <f t="shared" si="29"/>
        <v>3.6955221500182653E-3</v>
      </c>
      <c r="O963" s="452">
        <f t="shared" si="29"/>
        <v>3.6955221500182653E-3</v>
      </c>
      <c r="P963" s="452">
        <f t="shared" si="29"/>
        <v>3.6955221500182653E-3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50.540510804407361</v>
      </c>
      <c r="M964" s="452">
        <f t="shared" si="30"/>
        <v>50.540510804407361</v>
      </c>
      <c r="N964" s="452">
        <f t="shared" si="30"/>
        <v>50.540510804407361</v>
      </c>
      <c r="O964" s="452">
        <f t="shared" si="30"/>
        <v>50.540510804407361</v>
      </c>
      <c r="P964" s="452">
        <f t="shared" si="30"/>
        <v>50.540510804407361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2" priority="73" operator="equal">
      <formula>0</formula>
    </cfRule>
  </conditionalFormatting>
  <conditionalFormatting sqref="J343:Q343">
    <cfRule type="cellIs" dxfId="151" priority="72" operator="equal">
      <formula>0</formula>
    </cfRule>
  </conditionalFormatting>
  <conditionalFormatting sqref="J517:Q520">
    <cfRule type="cellIs" dxfId="150" priority="68" operator="equal">
      <formula>0</formula>
    </cfRule>
  </conditionalFormatting>
  <conditionalFormatting sqref="J532:Q532">
    <cfRule type="cellIs" dxfId="149" priority="67" operator="equal">
      <formula>0</formula>
    </cfRule>
  </conditionalFormatting>
  <conditionalFormatting sqref="J535:Q535">
    <cfRule type="cellIs" dxfId="148" priority="66" operator="equal">
      <formula>0</formula>
    </cfRule>
  </conditionalFormatting>
  <conditionalFormatting sqref="J538:Q538">
    <cfRule type="cellIs" dxfId="147" priority="65" operator="equal">
      <formula>0</formula>
    </cfRule>
  </conditionalFormatting>
  <conditionalFormatting sqref="L703:O703 Q703">
    <cfRule type="cellIs" dxfId="146" priority="58" operator="equal">
      <formula>0</formula>
    </cfRule>
  </conditionalFormatting>
  <conditionalFormatting sqref="L839:Q839">
    <cfRule type="cellIs" dxfId="145" priority="55" operator="equal">
      <formula>0</formula>
    </cfRule>
  </conditionalFormatting>
  <conditionalFormatting sqref="L975:Q975">
    <cfRule type="cellIs" dxfId="144" priority="52" operator="equal">
      <formula>0</formula>
    </cfRule>
  </conditionalFormatting>
  <conditionalFormatting sqref="L493:P498">
    <cfRule type="cellIs" dxfId="143" priority="49" operator="equal">
      <formula>0</formula>
    </cfRule>
  </conditionalFormatting>
  <conditionalFormatting sqref="M493:P498">
    <cfRule type="cellIs" dxfId="142" priority="48" operator="equal">
      <formula>0</formula>
    </cfRule>
  </conditionalFormatting>
  <conditionalFormatting sqref="M493:P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30" transitionEvaluation="1" transitionEntry="1" codeName="Sheet2"/>
  <dimension ref="A1:O219"/>
  <sheetViews>
    <sheetView tabSelected="1" topLeftCell="A130" zoomScaleNormal="100" workbookViewId="0">
      <selection activeCell="K159" sqref="K159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9.570312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0.48985838853883401</v>
      </c>
      <c r="L60" s="664">
        <f t="shared" ref="L60:L65" si="2">IF(ISBLANK(I60),IF(ISNUMBER(J60)=FALSE,K60,J60),I60)</f>
        <v>0.48985838853883401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0.13396161315396571</v>
      </c>
      <c r="L61" s="664">
        <f t="shared" si="2"/>
        <v>0.13396161315396571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0.37617999830720028</v>
      </c>
      <c r="L62" s="664">
        <f t="shared" si="2"/>
        <v>0.37617999830720028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7.3134142984054159E-11</v>
      </c>
      <c r="L63" s="664">
        <f t="shared" si="2"/>
        <v>7.3134142984054159E-11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13673504046.092884</v>
      </c>
      <c r="L64" s="664">
        <f t="shared" si="2"/>
        <v>13673504046.092884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38396810905.829605</v>
      </c>
      <c r="L65" s="664">
        <f t="shared" si="2"/>
        <v>38396810905.829605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0.99998335721193932</v>
      </c>
      <c r="L66" s="664">
        <f>IF(ISBLANK(I66),IF(ISNUMBER(J66)=FALSE,K66,J66),I66)</f>
        <v>0.99998335721193932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7.6861300956135628</v>
      </c>
      <c r="L67" s="664">
        <f>IF(ISBLANK(I67),IF(ISNUMBER(J67)=FALSE,K67,J67),I67)</f>
        <v>7.6861300956135628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12.8</v>
      </c>
      <c r="L70" s="664">
        <f>IF(ISBLANK(I70),IF(ISNUMBER(J70)=FALSE,K70,J70),I70)</f>
        <v>12.8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0.99987192445401252</v>
      </c>
      <c r="L72" s="664">
        <f t="shared" ref="L72:L104" si="3">IF(ISBLANK(I72),IF(ISNUMBER(J72)=FALSE,K72,J72),I72)</f>
        <v>0.99987192445401252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7.6861300956135628</v>
      </c>
      <c r="L73" s="664">
        <f t="shared" si="3"/>
        <v>7.6861300956135628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12.8</v>
      </c>
      <c r="L76" s="664">
        <f t="shared" si="3"/>
        <v>12.8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0.99994877197396703</v>
      </c>
      <c r="L78" s="664">
        <f t="shared" si="3"/>
        <v>0.99994877197396703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7.6861300956135628</v>
      </c>
      <c r="L79" s="664">
        <f t="shared" si="3"/>
        <v>7.6861300956135628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12.8</v>
      </c>
      <c r="L82" s="664">
        <f t="shared" si="3"/>
        <v>12.8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2.7215325239033903</v>
      </c>
      <c r="L84" s="664">
        <f t="shared" si="3"/>
        <v>2.7215325239033903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3.8430650478067814</v>
      </c>
      <c r="L85" s="664">
        <f t="shared" si="3"/>
        <v>3.8430650478067814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2.7215325239033903</v>
      </c>
      <c r="L87" s="664">
        <f t="shared" si="3"/>
        <v>2.7215325239033903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3.8430650478067814</v>
      </c>
      <c r="L88" s="664">
        <f t="shared" si="3"/>
        <v>3.8430650478067814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2.5058390286986958</v>
      </c>
      <c r="L90" s="664">
        <f t="shared" si="3"/>
        <v>2.5058390286986958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7.9813586471219486E-2</v>
      </c>
      <c r="L91" s="664">
        <f t="shared" si="3"/>
        <v>7.9813586471219486E-2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0.9201864135229435</v>
      </c>
      <c r="L92" s="664">
        <f t="shared" si="3"/>
        <v>0.9201864135229435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1.5372260191227125</v>
      </c>
      <c r="L93" s="664">
        <f t="shared" si="3"/>
        <v>1.5372260191227125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2.5058390286986958</v>
      </c>
      <c r="L95" s="664">
        <f t="shared" si="3"/>
        <v>2.5058390286986958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7.9813586471219486E-2</v>
      </c>
      <c r="L96" s="664">
        <f t="shared" si="3"/>
        <v>7.9813586471219486E-2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0.9201864135229435</v>
      </c>
      <c r="L97" s="664">
        <f t="shared" si="3"/>
        <v>0.9201864135229435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1.5372260191227125</v>
      </c>
      <c r="L98" s="664">
        <f t="shared" si="3"/>
        <v>1.5372260191227125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2.5058390286986958</v>
      </c>
      <c r="L100" s="664">
        <f t="shared" si="3"/>
        <v>2.5058390286986958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7.9813586471219486E-2</v>
      </c>
      <c r="L101" s="664">
        <f t="shared" si="3"/>
        <v>7.9813586471219486E-2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0.9201864135229435</v>
      </c>
      <c r="L102" s="664">
        <f t="shared" si="3"/>
        <v>0.9201864135229435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1.5372260191227125</v>
      </c>
      <c r="L103" s="664">
        <f t="shared" si="3"/>
        <v>1.5372260191227125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2.042092426847822E-8</v>
      </c>
      <c r="L108" s="664">
        <f>IF(ISBLANK(I108),IF(ISNUMBER(J108)=FALSE,K108,J108),I108)</f>
        <v>2.042092426847822E-8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2.2463016695326045E-7</v>
      </c>
      <c r="L109" s="664">
        <f t="shared" ref="L109:L137" si="4">IF(ISBLANK(I109),IF(ISNUMBER(J109)=FALSE,K109,J109),I109)</f>
        <v>2.2463016695326045E-7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3.573684082509208E-8</v>
      </c>
      <c r="L110" s="664">
        <f t="shared" si="4"/>
        <v>3.573684082509208E-8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1.8333660620144195E-6</v>
      </c>
      <c r="L111" s="664">
        <f t="shared" si="4"/>
        <v>1.8333660620144195E-6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4.074146804476487E-6</v>
      </c>
      <c r="L112" s="664">
        <f t="shared" si="4"/>
        <v>4.074146804476487E-6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6.7902446741274783E-7</v>
      </c>
      <c r="L113" s="664">
        <f t="shared" si="4"/>
        <v>6.7902446741274783E-7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2.832628313446183E-15</v>
      </c>
      <c r="L114" s="664">
        <f>IF(ISBLANK(I114),IF(ISNUMBER(J114)=FALSE,K114,J114),I114)</f>
        <v>2.832628313446183E-15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9.4410422020256369E-14</v>
      </c>
      <c r="L115" s="664">
        <f t="shared" si="4"/>
        <v>9.4410422020256369E-14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2.8325303446914023E-14</v>
      </c>
      <c r="L116" s="664">
        <f t="shared" si="4"/>
        <v>2.8325303446914023E-14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7.7708326243272425E-13</v>
      </c>
      <c r="L117" s="664">
        <f t="shared" si="4"/>
        <v>7.7708326243272425E-13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3.5361502868102846E-13</v>
      </c>
      <c r="L118" s="664">
        <f t="shared" si="4"/>
        <v>3.5361502868102846E-13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7.7708326243272425E-13</v>
      </c>
      <c r="L119" s="664">
        <f t="shared" si="4"/>
        <v>7.7708326243272425E-13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6.3067576793670387E-6</v>
      </c>
      <c r="L120" s="664">
        <f t="shared" si="4"/>
        <v>6.3067576793670387E-6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1.7832879473444691E-5</v>
      </c>
      <c r="L121" s="664">
        <f t="shared" si="4"/>
        <v>1.7832879473444691E-5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1.2036263405538818E-5</v>
      </c>
      <c r="L122" s="664">
        <f t="shared" si="4"/>
        <v>1.2036263405538818E-5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2.4779780435349954</v>
      </c>
      <c r="L123" s="664">
        <f t="shared" si="4"/>
        <v>2.4779780435349954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5.1014161146116597E-4</v>
      </c>
      <c r="L126" s="664">
        <f t="shared" si="4"/>
        <v>5.1014161146116597E-4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2.7833375487806549E-2</v>
      </c>
      <c r="L127" s="664">
        <f t="shared" si="4"/>
        <v>2.7833375487806549E-2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2477.9386840377138</v>
      </c>
      <c r="L128" s="664">
        <f t="shared" si="4"/>
        <v>2477.9386840377138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1.8973488688493413E-3</v>
      </c>
      <c r="L131" s="664">
        <f t="shared" ref="L131:L134" si="5">IF(ISBLANK(I131),IF(ISNUMBER(J131)=FALSE,K131,J131),I131)</f>
        <v>1.8973488688493413E-3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5.1319450088166082E-4</v>
      </c>
      <c r="L132" s="664">
        <f t="shared" si="5"/>
        <v>5.1319450088166082E-4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2.8326283134461829E-13</v>
      </c>
      <c r="L133" s="664">
        <f t="shared" si="5"/>
        <v>2.8326283134461829E-13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2.8323126606076911E-13</v>
      </c>
      <c r="L134" s="664">
        <f t="shared" si="5"/>
        <v>2.8323126606076911E-13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2.8325303446914023E-13</v>
      </c>
      <c r="L135" s="664">
        <f t="shared" si="4"/>
        <v>2.8325303446914023E-13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3.8732601668996416E-3</v>
      </c>
      <c r="L136" s="664">
        <f t="shared" si="4"/>
        <v>3.8732601668996416E-3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4.6776192822663505E-6</v>
      </c>
      <c r="L137" s="664">
        <f t="shared" si="4"/>
        <v>4.6776192822663505E-6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3.8854163121636212E-14</v>
      </c>
      <c r="L138" s="664">
        <f t="shared" ref="L138:L145" si="6">IF(ISBLANK(I138),IF(ISNUMBER(J138)=FALSE,K138,J138),I138)</f>
        <v>3.8854163121636212E-14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7.0723005736205698E-14</v>
      </c>
      <c r="L139" s="664">
        <f t="shared" si="6"/>
        <v>7.0723005736205698E-14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3.8854163121636212E-14</v>
      </c>
      <c r="L140" s="664">
        <f t="shared" si="6"/>
        <v>3.8854163121636212E-14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2.6741789373454676E-10</v>
      </c>
      <c r="L142" s="664">
        <f t="shared" si="6"/>
        <v>2.6741789373454676E-10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1.0402439141446337E-8</v>
      </c>
      <c r="L147" s="664">
        <f t="shared" ref="L147:L167" si="7">IF(ISBLANK(I147),IF(ISNUMBER(J147)=FALSE,K147,J147),I147)</f>
        <v>1.0402439141446337E-8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2.8985833890664925E-9</v>
      </c>
      <c r="L148" s="664">
        <f t="shared" si="7"/>
        <v>2.8985833890664925E-9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3.6292048071500488E-7</v>
      </c>
      <c r="L149" s="664">
        <f t="shared" si="7"/>
        <v>3.6292048071500488E-7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3.4365239218126566E-7</v>
      </c>
      <c r="L150" s="664">
        <f t="shared" si="7"/>
        <v>3.4365239218126566E-7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L157*(1-L72)</f>
        <v>3.705889640841514E-9</v>
      </c>
      <c r="L151" s="664">
        <f t="shared" si="7"/>
        <v>3.705889640841514E-9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7.8119450786402858E-10</v>
      </c>
      <c r="L152" s="664">
        <f t="shared" si="7"/>
        <v>7.8119450786402858E-10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63">
        <f>L157*(1-L78)</f>
        <v>1.482292419935412E-9</v>
      </c>
      <c r="L153" s="664">
        <f t="shared" si="7"/>
        <v>1.482292419935412E-9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2.031518518518519E-10</v>
      </c>
      <c r="L154" s="664">
        <f t="shared" si="7"/>
        <v>2.031518518518519E-10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8.6805555555555575E-10</v>
      </c>
      <c r="L155" s="664">
        <f t="shared" si="7"/>
        <v>8.6805555555555575E-10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2.893518518518519E-10</v>
      </c>
      <c r="L156" s="664">
        <f t="shared" si="7"/>
        <v>2.893518518518519E-10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61"/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64">
        <f t="shared" si="7"/>
        <v>2.8935185185185186E-5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/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 t="shared" si="7"/>
        <v>8.6861047691527155E-11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/>
      <c r="J159" s="662" t="str">
        <f>IF(ISBLANK(HLOOKUP(CaseName,CaseData,MATCH($G159,cases!$G$3:$G$2464,0),FALSE)),"",HLOOKUP(CaseName,CaseData,MATCH($G159,cases!$G$3:$G$2464,0),FALSE))</f>
        <v/>
      </c>
      <c r="K159" s="692">
        <v>8.6199999999999997E-11</v>
      </c>
      <c r="L159" s="664">
        <f t="shared" si="7"/>
        <v>8.6199999999999997E-11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2.7501427783497495E-8</v>
      </c>
      <c r="L162" s="664">
        <f t="shared" si="7"/>
        <v>2.7501427783497495E-8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1.0106419913586117E-8</v>
      </c>
      <c r="L163" s="664">
        <f t="shared" si="7"/>
        <v>1.0106419913586117E-8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2.7503541470729513E-8</v>
      </c>
      <c r="L164" s="664">
        <f t="shared" si="7"/>
        <v>2.7503541470729513E-8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1.0106419913586117E-8</v>
      </c>
      <c r="L165" s="664">
        <f t="shared" si="7"/>
        <v>1.0106419913586117E-8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5.1613740675410114E-8</v>
      </c>
      <c r="L169" s="664">
        <f t="shared" ref="L169:L183" si="8">IF(ISBLANK(I169),IF(ISNUMBER(J169)=FALSE,K169,J169),I169)</f>
        <v>5.1613740675410114E-8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2.3487051222970356E-8</v>
      </c>
      <c r="L170" s="664">
        <f t="shared" si="8"/>
        <v>2.3487051222970356E-8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5.1613740675410114E-8</v>
      </c>
      <c r="L171" s="664">
        <f t="shared" si="8"/>
        <v>5.1613740675410114E-8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4.6921582432191008E-9</v>
      </c>
      <c r="L172" s="664">
        <f t="shared" si="8"/>
        <v>4.6921582432191008E-9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2.1351864748154871E-9</v>
      </c>
      <c r="L173" s="664">
        <f t="shared" si="8"/>
        <v>2.1351864748154871E-9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4.6921582432191008E-9</v>
      </c>
      <c r="L174" s="664">
        <f t="shared" si="8"/>
        <v>4.6921582432191008E-9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1.5457777937268982E-6</v>
      </c>
      <c r="L187" s="664">
        <f t="shared" ref="L187:L211" si="9">IF(ISBLANK(I187),IF(ISNUMBER(J187)=FALSE,K187,J187),I187)</f>
        <v>1.5457777937268982E-6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2.1524330272611406E-10</v>
      </c>
      <c r="L188" s="664">
        <f>IF(ISBLANK(I188),IF(ISNUMBER(J188)=FALSE,K188,J188),I188)</f>
        <v>2.1524330272611406E-10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2.1521931717207951E-10</v>
      </c>
      <c r="L189" s="664">
        <f t="shared" si="9"/>
        <v>2.1521931717207951E-10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2.1523585836137233E-10</v>
      </c>
      <c r="L190" s="664">
        <f t="shared" si="9"/>
        <v>2.1523585836137233E-10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3.1627861501187856E-9</v>
      </c>
      <c r="L191" s="664">
        <f t="shared" si="9"/>
        <v>3.1627861501187856E-9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3.1407512270678803E-9</v>
      </c>
      <c r="L192" s="664">
        <f t="shared" si="9"/>
        <v>3.1407512270678803E-9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3.0534021961477695E-9</v>
      </c>
      <c r="L193" s="664">
        <f t="shared" si="9"/>
        <v>3.0534021961477695E-9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2.8467460868656887E-9</v>
      </c>
      <c r="L194" s="664">
        <f t="shared" si="9"/>
        <v>2.8467460868656887E-9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3.0534021961477695E-9</v>
      </c>
      <c r="L195" s="664">
        <f t="shared" si="9"/>
        <v>3.0534021961477695E-9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1.54541146784507E-6</v>
      </c>
      <c r="L197" s="664">
        <f t="shared" si="9"/>
        <v>1.54541146784507E-6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2.1524330272611406E-10</v>
      </c>
      <c r="L200" s="664">
        <f>IF(ISBLANK(I200),IF(ISNUMBER(J200)=FALSE,K200,J200),I200)</f>
        <v>2.1524330272611406E-10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2.1521931717207951E-10</v>
      </c>
      <c r="L201" s="664">
        <f t="shared" si="9"/>
        <v>2.1521931717207951E-10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2.1523585836137233E-10</v>
      </c>
      <c r="L202" s="664">
        <f t="shared" si="9"/>
        <v>2.1523585836137233E-10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2.6741789373454681E-10</v>
      </c>
      <c r="L207" s="664">
        <f t="shared" si="9"/>
        <v>2.6741789373454681E-10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2.6741789373454681E-10</v>
      </c>
      <c r="L208" s="664">
        <f t="shared" si="9"/>
        <v>2.6741789373454681E-10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2.6741789373454676E-9</v>
      </c>
      <c r="L209" s="664">
        <f t="shared" si="9"/>
        <v>2.6741789373454676E-9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2.6741789373454676E-9</v>
      </c>
      <c r="L210" s="664">
        <f t="shared" si="9"/>
        <v>2.6741789373454676E-9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2.6741789373454676E-9</v>
      </c>
      <c r="L211" s="664">
        <f t="shared" si="9"/>
        <v>2.6741789373454676E-9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F187" transitionEvaluation="1" transitionEntry="1" codeName="Sheet3"/>
  <dimension ref="A1:O225"/>
  <sheetViews>
    <sheetView topLeftCell="F187" zoomScaleNormal="100" workbookViewId="0">
      <selection activeCell="K222" sqref="K222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0" width="9.140625" style="675" customWidth="1"/>
    <col min="11" max="11" width="17.28515625" style="675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7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7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0.48985838853883401</v>
      </c>
      <c r="L66" s="664">
        <f t="shared" ref="L66:L110" si="2">IF(ISBLANK(I66),IF(ISNUMBER(J66)=FALSE,K66,J66),I66)</f>
        <v>0.48985838853883401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426">
        <f>L31*L70/(1+L31*L70+L30*L71)</f>
        <v>0.13396161315396571</v>
      </c>
      <c r="L67" s="664">
        <f t="shared" si="2"/>
        <v>0.13396161315396571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426">
        <f>L30*L71/(1+L31*L70+L30*L71)</f>
        <v>0.37617999830720028</v>
      </c>
      <c r="L68" s="664">
        <f t="shared" si="2"/>
        <v>0.37617999830720028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7.3134142984054159E-11</v>
      </c>
      <c r="L69" s="664">
        <f t="shared" ref="L69:L71" si="3">IF(ISBLANK(I69),IF(ISNUMBER(J69)=FALSE,K69,J69),I69)</f>
        <v>7.3134142984054159E-11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426">
        <f>1/(L69*FRorig.aerw)</f>
        <v>13673504046.092884</v>
      </c>
      <c r="L70" s="664">
        <f t="shared" si="3"/>
        <v>13673504046.092884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38396810905.829605</v>
      </c>
      <c r="L71" s="664">
        <f t="shared" si="3"/>
        <v>38396810905.829605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0.99998335721193932</v>
      </c>
      <c r="L72" s="664">
        <f t="shared" si="2"/>
        <v>0.99998335721193932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7.6861300956135628</v>
      </c>
      <c r="L73" s="664">
        <f t="shared" si="2"/>
        <v>7.6861300956135628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12.8</v>
      </c>
      <c r="L76" s="664">
        <f>IF(ISBLANK(I76),IF(ISNUMBER(J76)=FALSE,K76,J76),I76)</f>
        <v>12.8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0.99987192445401252</v>
      </c>
      <c r="L78" s="677">
        <f t="shared" si="2"/>
        <v>0.99987192445401252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7.6861300956135628</v>
      </c>
      <c r="L79" s="664">
        <f t="shared" si="2"/>
        <v>7.6861300956135628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12.8</v>
      </c>
      <c r="L82" s="664">
        <f t="shared" si="2"/>
        <v>12.8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67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0.99994877197396703</v>
      </c>
      <c r="L84" s="664">
        <f t="shared" si="2"/>
        <v>0.99994877197396703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7.6861300956135628</v>
      </c>
      <c r="L85" s="664">
        <f t="shared" si="2"/>
        <v>7.6861300956135628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12.8</v>
      </c>
      <c r="L88" s="664">
        <f t="shared" si="2"/>
        <v>12.8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2.7215325239033903</v>
      </c>
      <c r="L90" s="664">
        <f t="shared" si="2"/>
        <v>2.7215325239033903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3.8430650478067814</v>
      </c>
      <c r="L91" s="664">
        <f t="shared" si="2"/>
        <v>3.8430650478067814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2.7215325239033903</v>
      </c>
      <c r="L93" s="664">
        <f t="shared" si="2"/>
        <v>2.7215325239033903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3.8430650478067814</v>
      </c>
      <c r="L94" s="664">
        <f t="shared" si="2"/>
        <v>3.8430650478067814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2.5058390286986958</v>
      </c>
      <c r="L96" s="664">
        <f t="shared" si="2"/>
        <v>2.5058390286986958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7.9813586471219486E-2</v>
      </c>
      <c r="L97" s="664">
        <f t="shared" si="2"/>
        <v>7.9813586471219486E-2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0.9201864135229435</v>
      </c>
      <c r="L98" s="664">
        <f t="shared" si="2"/>
        <v>0.9201864135229435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1.5372260191227125</v>
      </c>
      <c r="L99" s="664">
        <f t="shared" si="2"/>
        <v>1.5372260191227125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2.5058390286986958</v>
      </c>
      <c r="L101" s="664">
        <f t="shared" si="2"/>
        <v>2.5058390286986958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7.9813586471219486E-2</v>
      </c>
      <c r="L102" s="664">
        <f t="shared" si="2"/>
        <v>7.9813586471219486E-2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0.9201864135229435</v>
      </c>
      <c r="L103" s="664">
        <f t="shared" si="2"/>
        <v>0.9201864135229435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1.5372260191227125</v>
      </c>
      <c r="L104" s="664">
        <f t="shared" si="2"/>
        <v>1.5372260191227125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2.5058390286986958</v>
      </c>
      <c r="L106" s="664">
        <f t="shared" si="2"/>
        <v>2.5058390286986958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7.9813586471219486E-2</v>
      </c>
      <c r="L107" s="664">
        <f t="shared" si="2"/>
        <v>7.9813586471219486E-2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0.9201864135229435</v>
      </c>
      <c r="L108" s="664">
        <f t="shared" si="2"/>
        <v>0.9201864135229435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1.5372260191227125</v>
      </c>
      <c r="L109" s="664">
        <f t="shared" si="2"/>
        <v>1.5372260191227125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1.0647608174708385E-8</v>
      </c>
      <c r="L114" s="664">
        <f>IF(ISBLANK(I114),IF(ISNUMBER(J114)=FALSE,K114,J114),I114)</f>
        <v>1.0647608174708385E-8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1.1712368992179221E-7</v>
      </c>
      <c r="L115" s="664">
        <f t="shared" ref="L115:L136" si="4">IF(ISBLANK(I115),IF(ISNUMBER(J115)=FALSE,K115,J115),I115)</f>
        <v>1.1712368992179221E-7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4.537091165635125E-6</v>
      </c>
      <c r="L116" s="664">
        <f t="shared" si="4"/>
        <v>4.537091165635125E-6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9.6898755865419947E-7</v>
      </c>
      <c r="L117" s="664">
        <f t="shared" si="4"/>
        <v>9.6898755865419947E-7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2.1533056858982208E-6</v>
      </c>
      <c r="L118" s="664">
        <f t="shared" si="4"/>
        <v>2.1533056858982208E-6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3.5888428098303675E-7</v>
      </c>
      <c r="L119" s="664">
        <f t="shared" si="4"/>
        <v>3.5888428098303675E-7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2.832628313446183E-15</v>
      </c>
      <c r="L120" s="664">
        <f>IF(ISBLANK(I120),IF(ISNUMBER(J120)=FALSE,K120,J120),I120)</f>
        <v>2.832628313446183E-15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9.4410422020256369E-14</v>
      </c>
      <c r="L121" s="664">
        <f t="shared" si="4"/>
        <v>9.4410422020256369E-14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1.4162651723457011E-15</v>
      </c>
      <c r="L122" s="664">
        <f t="shared" si="4"/>
        <v>1.4162651723457011E-15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7.7708326243272425E-13</v>
      </c>
      <c r="L123" s="664">
        <f t="shared" si="4"/>
        <v>7.7708326243272425E-13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3.5361502868102846E-13</v>
      </c>
      <c r="L124" s="664">
        <f t="shared" si="4"/>
        <v>3.5361502868102846E-13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7.7708326243272425E-13</v>
      </c>
      <c r="L125" s="664">
        <f t="shared" si="4"/>
        <v>7.7708326243272425E-13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63">
        <f>L127-SUM((L137*(L15+L16+L20)+L138*(L17+L18+L19))/L21,L203,L44,L45)</f>
        <v>6.8987855666691368E-6</v>
      </c>
      <c r="L126" s="664">
        <f t="shared" si="4"/>
        <v>6.8987855666691368E-6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63">
        <f>((1/L128)*L130/(L130+L131)+(1/L129)*L131/(L130+L131)-((1/L129-1/L128)^2/(L130+L131))*(1-EXP(-L128*L130))*(1-EXP(-L129*L131))/(1-EXP(-L128*L130-L129*L131)))^-1</f>
        <v>1.1373627420738747E-5</v>
      </c>
      <c r="L127" s="664">
        <f t="shared" si="4"/>
        <v>1.1373627420738747E-5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63">
        <f>L132/L21 + SUM((L137*(L15+L16+L20)+L138*(L17+L18+L19))/L21,L203,L44,L45)</f>
        <v>4.9849834655307764E-6</v>
      </c>
      <c r="L128" s="664">
        <f t="shared" si="4"/>
        <v>4.9849834655307764E-6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63">
        <f>(L133+L134)/L21 + SUM((L137*(L15+L16+L20)+L138*(L17+L18+L19))/L21,L203,L44,L45)</f>
        <v>2.4779709922550555</v>
      </c>
      <c r="L129" s="664">
        <f t="shared" si="4"/>
        <v>2.4779709922550555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63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63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63">
        <f>L135*(L67+L68)</f>
        <v>5.1014161146116597E-4</v>
      </c>
      <c r="L132" s="664">
        <f t="shared" si="4"/>
        <v>5.1014161146116597E-4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2.7833375487806553E-2</v>
      </c>
      <c r="L133" s="664">
        <f t="shared" si="4"/>
        <v>2.7833375487806553E-2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2477.9386840377138</v>
      </c>
      <c r="L134" s="664">
        <f t="shared" si="4"/>
        <v>2477.9386840377138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6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63">
        <f>L66*(L142*L143/(FRorig.w1*L142*L69+L143))</f>
        <v>1.8973488688493413E-3</v>
      </c>
      <c r="L137" s="664">
        <f t="shared" ref="L137:L151" si="5">IF(ISBLANK(I137),IF(ISNUMBER(J137)=FALSE,K137,J137),I137)</f>
        <v>1.8973488688493413E-3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5.1319450088166082E-4</v>
      </c>
      <c r="L138" s="664">
        <f t="shared" si="5"/>
        <v>5.1319450088166082E-4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2.8326283134461829E-13</v>
      </c>
      <c r="L139" s="664">
        <f t="shared" si="5"/>
        <v>2.8326283134461829E-13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2.8323126606076911E-13</v>
      </c>
      <c r="L140" s="664">
        <f t="shared" si="5"/>
        <v>2.8323126606076911E-13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2.8325303446914023E-13</v>
      </c>
      <c r="L141" s="664">
        <f t="shared" si="5"/>
        <v>2.8325303446914023E-13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3.8732601668996416E-3</v>
      </c>
      <c r="L142" s="664">
        <f t="shared" si="5"/>
        <v>3.8732601668996416E-3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4.6776192822663505E-6</v>
      </c>
      <c r="L143" s="664">
        <f t="shared" si="5"/>
        <v>4.6776192822663505E-6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3.8854163121636212E-14</v>
      </c>
      <c r="L144" s="664">
        <f t="shared" si="5"/>
        <v>3.8854163121636212E-14</v>
      </c>
      <c r="M144" s="636" t="s">
        <v>4047</v>
      </c>
      <c r="N144" s="678"/>
      <c r="O144" s="636"/>
    </row>
    <row r="145" spans="1:15" ht="12.75" customHeight="1" x14ac:dyDescent="0.2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92">
        <f>(L147*L148)/(L147+L148/((L69*FRorig.s2w)/L96))*L150</f>
        <v>7.0723005736205698E-14</v>
      </c>
      <c r="L145" s="664">
        <f t="shared" si="5"/>
        <v>7.0723005736205698E-14</v>
      </c>
      <c r="M145" s="636" t="s">
        <v>4047</v>
      </c>
      <c r="N145" s="629"/>
      <c r="O145" s="636"/>
    </row>
    <row r="146" spans="1:15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92">
        <f>(L147*L148)/(L147+L148/((L69*FRorig.s3w)/L96))*L151</f>
        <v>3.8854163121636212E-14</v>
      </c>
      <c r="L146" s="664">
        <f t="shared" si="5"/>
        <v>3.8854163121636212E-14</v>
      </c>
      <c r="M146" s="636" t="s">
        <v>4047</v>
      </c>
      <c r="N146" s="629"/>
      <c r="O146" s="636"/>
    </row>
    <row r="147" spans="1:15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2.6741789373454676E-10</v>
      </c>
      <c r="L148" s="664">
        <f t="shared" si="5"/>
        <v>2.6741789373454676E-10</v>
      </c>
      <c r="M148" s="629" t="s">
        <v>1490</v>
      </c>
      <c r="N148" s="629" t="s">
        <v>1415</v>
      </c>
      <c r="O148" s="636"/>
    </row>
    <row r="149" spans="1:15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5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1.0402439141446335E-8</v>
      </c>
      <c r="L153" s="664">
        <f t="shared" ref="L153:L173" si="6">IF(ISBLANK(I153),IF(ISNUMBER(J153)=FALSE,K153,J153),I153)</f>
        <v>1.0402439141446335E-8</v>
      </c>
      <c r="M153" s="629" t="s">
        <v>1488</v>
      </c>
      <c r="N153" s="629"/>
      <c r="O153" s="636"/>
    </row>
    <row r="154" spans="1:15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1.4492916945332459E-10</v>
      </c>
      <c r="L154" s="664">
        <f t="shared" si="6"/>
        <v>1.4492916945332459E-10</v>
      </c>
      <c r="M154" s="629" t="s">
        <v>1488</v>
      </c>
      <c r="N154" s="629"/>
      <c r="O154" s="636"/>
    </row>
    <row r="155" spans="1:15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3.6294162057623545E-7</v>
      </c>
      <c r="L155" s="664">
        <f t="shared" si="6"/>
        <v>3.6294162057623545E-7</v>
      </c>
      <c r="M155" s="629" t="s">
        <v>1488</v>
      </c>
      <c r="N155" s="629"/>
      <c r="O155" s="636"/>
    </row>
    <row r="156" spans="1:15" ht="12.75" customHeight="1" x14ac:dyDescent="0.2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63">
        <f>(L160+L171)/L26</f>
        <v>3.4561239218126556E-7</v>
      </c>
      <c r="L156" s="664">
        <f t="shared" si="6"/>
        <v>3.4561239218126556E-7</v>
      </c>
      <c r="M156" s="629" t="s">
        <v>1488</v>
      </c>
      <c r="N156" s="629"/>
      <c r="O156" s="636"/>
    </row>
    <row r="157" spans="1:15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3.705889640841514E-9</v>
      </c>
      <c r="L157" s="664">
        <f t="shared" si="6"/>
        <v>3.705889640841514E-9</v>
      </c>
      <c r="M157" s="636" t="s">
        <v>4047</v>
      </c>
      <c r="N157" s="631"/>
      <c r="O157" s="636"/>
    </row>
    <row r="158" spans="1:15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7.8182870370094893E-10</v>
      </c>
      <c r="L158" s="664">
        <f t="shared" si="6"/>
        <v>7.8182870370094893E-10</v>
      </c>
      <c r="M158" s="636" t="s">
        <v>4047</v>
      </c>
      <c r="N158" s="629"/>
      <c r="O158" s="636"/>
    </row>
    <row r="159" spans="1:15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1.482292419935412E-9</v>
      </c>
      <c r="L159" s="664">
        <f t="shared" si="6"/>
        <v>1.482292419935412E-9</v>
      </c>
      <c r="M159" s="636" t="s">
        <v>4047</v>
      </c>
      <c r="N159" s="631"/>
      <c r="O159" s="636"/>
    </row>
    <row r="160" spans="1:15" ht="12.75" customHeight="1" x14ac:dyDescent="0.2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63">
        <f>L162-L165</f>
        <v>2.6195185185185192E-10</v>
      </c>
      <c r="L160" s="664">
        <f t="shared" si="6"/>
        <v>2.6195185185185192E-10</v>
      </c>
      <c r="M160" s="636" t="s">
        <v>4047</v>
      </c>
      <c r="N160" s="629"/>
      <c r="O160" s="636"/>
    </row>
    <row r="161" spans="1:15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8.6805555555555575E-10</v>
      </c>
      <c r="L161" s="664">
        <f t="shared" si="6"/>
        <v>8.6805555555555575E-10</v>
      </c>
      <c r="M161" s="629" t="s">
        <v>1490</v>
      </c>
      <c r="N161" s="629"/>
      <c r="O161" s="636"/>
    </row>
    <row r="162" spans="1:15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f>IF(L163*L87/(L42*RHOsolid)&gt;L165,L163*L87/(L42*RHOsolid),L165)</f>
        <v>2.893518518518519E-10</v>
      </c>
      <c r="L162" s="664">
        <f t="shared" si="6"/>
        <v>2.893518518518519E-10</v>
      </c>
      <c r="M162" s="629" t="s">
        <v>1490</v>
      </c>
      <c r="N162" s="629"/>
      <c r="O162" s="636"/>
    </row>
    <row r="163" spans="1:15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f>2.5/(24*3600)</f>
        <v>2.8935185185185186E-5</v>
      </c>
      <c r="L163" s="664">
        <f t="shared" si="6"/>
        <v>2.8935185185185186E-5</v>
      </c>
      <c r="M163" s="629" t="s">
        <v>1490</v>
      </c>
      <c r="N163" s="629"/>
      <c r="O163" s="636"/>
    </row>
    <row r="164" spans="1:15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8.6226851854606775E-11</v>
      </c>
      <c r="L164" s="664">
        <f t="shared" si="6"/>
        <v>8.6226851854606775E-11</v>
      </c>
      <c r="M164" s="629" t="s">
        <v>1490</v>
      </c>
      <c r="N164" s="629" t="s">
        <v>923</v>
      </c>
      <c r="O164" s="636"/>
    </row>
    <row r="165" spans="1:15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92">
        <v>2.74E-11</v>
      </c>
      <c r="L165" s="664">
        <f t="shared" si="6"/>
        <v>2.74E-11</v>
      </c>
      <c r="M165" s="629" t="s">
        <v>1490</v>
      </c>
      <c r="N165" s="629" t="s">
        <v>923</v>
      </c>
      <c r="O165" s="636"/>
    </row>
    <row r="166" spans="1:15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2.7501427783497492E-8</v>
      </c>
      <c r="L168" s="664">
        <f t="shared" si="6"/>
        <v>2.7501427783497492E-8</v>
      </c>
      <c r="M168" s="636" t="s">
        <v>4047</v>
      </c>
      <c r="N168" s="629"/>
      <c r="O168" s="636"/>
    </row>
    <row r="169" spans="1:15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1.0106419913586115E-8</v>
      </c>
      <c r="L169" s="664">
        <f t="shared" si="6"/>
        <v>1.0106419913586115E-8</v>
      </c>
      <c r="M169" s="636" t="s">
        <v>4047</v>
      </c>
      <c r="N169" s="629"/>
      <c r="O169" s="636"/>
    </row>
    <row r="170" spans="1:15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2.750354147072951E-8</v>
      </c>
      <c r="L170" s="664">
        <f t="shared" si="6"/>
        <v>2.750354147072951E-8</v>
      </c>
      <c r="M170" s="636" t="s">
        <v>4047</v>
      </c>
      <c r="N170" s="629"/>
      <c r="O170" s="636"/>
    </row>
    <row r="171" spans="1:15" ht="12.75" customHeight="1" x14ac:dyDescent="0.2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63">
        <f>((L172*L173)/(L172+L173))/L93</f>
        <v>1.0106419913586115E-8</v>
      </c>
      <c r="L171" s="664">
        <f t="shared" si="6"/>
        <v>1.0106419913586115E-8</v>
      </c>
      <c r="M171" s="636" t="s">
        <v>4047</v>
      </c>
      <c r="N171" s="629"/>
      <c r="O171" s="636"/>
    </row>
    <row r="172" spans="1:15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5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5.1613740675410107E-8</v>
      </c>
      <c r="L175" s="664">
        <f t="shared" ref="L175:L177" si="7">IF(ISBLANK(I175),IF(ISNUMBER(J175)=FALSE,K175,J175),I175)</f>
        <v>5.1613740675410107E-8</v>
      </c>
      <c r="M175" s="629" t="s">
        <v>1488</v>
      </c>
      <c r="N175" s="629"/>
      <c r="O175" s="636"/>
    </row>
    <row r="176" spans="1:15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2.3487051222970356E-8</v>
      </c>
      <c r="L176" s="664">
        <f t="shared" si="7"/>
        <v>2.3487051222970356E-8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5.1613740675410107E-8</v>
      </c>
      <c r="L177" s="664">
        <f t="shared" si="7"/>
        <v>5.1613740675410107E-8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4.6921582432191016E-9</v>
      </c>
      <c r="L178" s="664">
        <f t="shared" ref="L178:L180" si="8">IF(ISBLANK(I178),IF(ISNUMBER(J178)=FALSE,K178,J178),I178)</f>
        <v>4.6921582432191016E-9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2.1351864748154871E-9</v>
      </c>
      <c r="L179" s="664">
        <f t="shared" si="8"/>
        <v>2.1351864748154871E-9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4.6921582432191016E-9</v>
      </c>
      <c r="L180" s="664">
        <f t="shared" si="8"/>
        <v>4.6921582432191016E-9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1.5457777937268982E-6</v>
      </c>
      <c r="L193" s="664">
        <f t="shared" ref="L193:L217" si="11">IF(ISBLANK(I193),IF(ISNUMBER(J193)=FALSE,K193,J193),I193)</f>
        <v>1.5457777937268982E-6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2.1524330272611406E-10</v>
      </c>
      <c r="L194" s="664">
        <f>IF(ISBLANK(I194),IF(ISNUMBER(J194)=FALSE,K194,J194),I194)</f>
        <v>2.1524330272611406E-10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2.1521931717207951E-10</v>
      </c>
      <c r="L195" s="664">
        <f t="shared" si="11"/>
        <v>2.1521931717207951E-10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2.1523585836137233E-10</v>
      </c>
      <c r="L196" s="664">
        <f t="shared" si="11"/>
        <v>2.1523585836137233E-10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3.1416462888881063E-9</v>
      </c>
      <c r="L197" s="664">
        <f t="shared" si="11"/>
        <v>3.1416462888881063E-9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1.1807512270678802E-9</v>
      </c>
      <c r="L198" s="664">
        <f t="shared" si="11"/>
        <v>1.1807512270678802E-9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3.0534021961477695E-9</v>
      </c>
      <c r="L199" s="664">
        <f t="shared" si="11"/>
        <v>3.0534021961477695E-9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2.8467460868656887E-9</v>
      </c>
      <c r="L200" s="664">
        <f t="shared" si="11"/>
        <v>2.8467460868656887E-9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3.0534021961477695E-9</v>
      </c>
      <c r="L201" s="664">
        <f t="shared" si="11"/>
        <v>3.0534021961477695E-9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1.54541146784507E-6</v>
      </c>
      <c r="L203" s="664">
        <f t="shared" si="11"/>
        <v>1.54541146784507E-6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2.1524330272611406E-10</v>
      </c>
      <c r="L206" s="664">
        <f>IF(ISBLANK(I206),IF(ISNUMBER(J206)=FALSE,K206,J206),I206)</f>
        <v>2.1524330272611406E-10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2.1521931717207951E-10</v>
      </c>
      <c r="L207" s="664">
        <f t="shared" si="11"/>
        <v>2.1521931717207951E-10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2.1523585836137233E-10</v>
      </c>
      <c r="L208" s="664">
        <f t="shared" si="11"/>
        <v>2.1523585836137233E-10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2.6741789373454681E-10</v>
      </c>
      <c r="L213" s="664">
        <f t="shared" si="11"/>
        <v>2.6741789373454681E-10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2.6741789373454681E-10</v>
      </c>
      <c r="L214" s="664">
        <f t="shared" si="11"/>
        <v>2.6741789373454681E-10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2.6741789373454676E-9</v>
      </c>
      <c r="L215" s="664">
        <f t="shared" si="11"/>
        <v>2.6741789373454676E-9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693">
        <f>L212*kdeg.soil</f>
        <v>2.6741789373454676E-9</v>
      </c>
      <c r="L216" s="664">
        <f t="shared" si="11"/>
        <v>2.6741789373454676E-9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2.6741789373454676E-9</v>
      </c>
      <c r="L217" s="664">
        <f t="shared" si="11"/>
        <v>2.6741789373454676E-9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94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2" transitionEvaluation="1" transitionEntry="1" codeName="Sheet4"/>
  <dimension ref="A1:O414"/>
  <sheetViews>
    <sheetView topLeftCell="A82" zoomScaleNormal="100" workbookViewId="0">
      <selection activeCell="K95" sqref="K95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0.48985838853883401</v>
      </c>
      <c r="L46" s="664">
        <f>IF(ISBLANK(I46),IF(ISNUMBER(J46)=FALSE,K46,J46),I46)</f>
        <v>0.48985838853883401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0.13396161315396571</v>
      </c>
      <c r="L47" s="664">
        <f>IF(ISBLANK(I47),IF(ISNUMBER(J47)=FALSE,K47,J47),I47)</f>
        <v>0.13396161315396571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0.37617999830720028</v>
      </c>
      <c r="L48" s="664">
        <f>IF(ISBLANK(I48),IF(ISNUMBER(J48)=FALSE,K48,J48),I48)</f>
        <v>0.37617999830720028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7.3134142984054159E-11</v>
      </c>
      <c r="L49" s="664">
        <f>IF(ISBLANK(I49),IF(ISNUMBER(J49)=FALSE,K49,J49),I49)</f>
        <v>7.3134142984054159E-11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13673504046.092884</v>
      </c>
      <c r="L51" s="664">
        <f t="shared" ref="L51:L58" si="2">IF(ISBLANK(I51),IF(ISNUMBER(J51)=FALSE,K51,J51),I51)</f>
        <v>13673504046.092884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38396810905.829605</v>
      </c>
      <c r="L52" s="664">
        <f t="shared" si="2"/>
        <v>38396810905.829605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0.99994877197396703</v>
      </c>
      <c r="L53" s="664">
        <f t="shared" si="2"/>
        <v>0.99994877197396703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0.99994877197396703</v>
      </c>
      <c r="L54" s="664">
        <f t="shared" si="2"/>
        <v>0.99994877197396703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7.6861300956135628</v>
      </c>
      <c r="L55" s="664">
        <f t="shared" si="2"/>
        <v>7.6861300956135628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7.6861300956135628</v>
      </c>
      <c r="L56" s="664">
        <f t="shared" si="2"/>
        <v>7.6861300956135628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12.8</v>
      </c>
      <c r="L61" s="664">
        <f>IF(ISBLANK(I61),IF(ISNUMBER(J61)=FALSE,K61,J61),I61)</f>
        <v>12.8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12.8</v>
      </c>
      <c r="L62" s="664">
        <f>IF(ISBLANK(I62),IF(ISNUMBER(J62)=FALSE,K62,J62),I62)</f>
        <v>12.8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2.7215325239033903</v>
      </c>
      <c r="L65" s="664">
        <f t="shared" ref="L65:L72" si="3">IF(ISBLANK(I65),IF(ISNUMBER(J65)=FALSE,K65,J65),I65)</f>
        <v>2.7215325239033903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3.8430650478067814</v>
      </c>
      <c r="L66" s="664">
        <f t="shared" si="3"/>
        <v>3.8430650478067814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2.5058390286986958</v>
      </c>
      <c r="L68" s="664">
        <f t="shared" si="3"/>
        <v>2.5058390286986958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7.9813586471219486E-2</v>
      </c>
      <c r="L69" s="664">
        <f t="shared" si="3"/>
        <v>7.9813586471219486E-2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0.9201864135229435</v>
      </c>
      <c r="L70" s="664">
        <f t="shared" si="3"/>
        <v>0.9201864135229435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1.5372260191227125</v>
      </c>
      <c r="L71" s="664">
        <f t="shared" si="3"/>
        <v>1.5372260191227125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4.4415670163638715E-6</v>
      </c>
      <c r="L76" s="664">
        <f t="shared" ref="L76:L89" si="4">IF(ISBLANK(I76),IF(ISNUMBER(J76)=FALSE,K76,J76),I76)</f>
        <v>4.4415670163638715E-6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3.7494898323800317E-6</v>
      </c>
      <c r="L77" s="664">
        <f t="shared" si="4"/>
        <v>3.7494898323800317E-6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2.8325303446914022E-15</v>
      </c>
      <c r="L78" s="664">
        <f t="shared" si="4"/>
        <v>2.8325303446914022E-15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7.7708326243272425E-13</v>
      </c>
      <c r="L79" s="664">
        <f t="shared" si="4"/>
        <v>7.7708326243272425E-13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6.9857851638784026E-6</v>
      </c>
      <c r="L80" s="664">
        <f t="shared" si="4"/>
        <v>6.9857851638784026E-6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1.0901039109380899E-5</v>
      </c>
      <c r="L81" s="664">
        <f t="shared" si="4"/>
        <v>1.0901039109380899E-5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4.425395556963663E-6</v>
      </c>
      <c r="L82" s="664">
        <f t="shared" si="4"/>
        <v>4.425395556963663E-6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2.477970432667147</v>
      </c>
      <c r="L83" s="664">
        <f t="shared" si="4"/>
        <v>2.477970432667147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5.1014161146116597E-4</v>
      </c>
      <c r="L86" s="664">
        <f t="shared" si="4"/>
        <v>5.1014161146116597E-4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2.7833375487806553E-2</v>
      </c>
      <c r="L87" s="664">
        <f t="shared" si="4"/>
        <v>2.7833375487806553E-2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2477.9386840377138</v>
      </c>
      <c r="L88" s="664">
        <f t="shared" si="4"/>
        <v>2477.9386840377138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1.8973488688493413E-3</v>
      </c>
      <c r="L92" s="664">
        <f t="shared" si="5"/>
        <v>1.8973488688493413E-3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5.1319450088166082E-4</v>
      </c>
      <c r="L93" s="664">
        <f>IF(ISBLANK(I93),IF(ISNUMBER(J93)=FALSE,K93,J93),I93)</f>
        <v>5.1319450088166082E-4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2.8325303446914023E-13</v>
      </c>
      <c r="L94" s="664">
        <f>IF(ISBLANK(I94),IF(ISNUMBER(J94)=FALSE,K94,J94),I94)</f>
        <v>2.8325303446914023E-13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3.8854163121636212E-14</v>
      </c>
      <c r="L95" s="664">
        <f>IF(ISBLANK(I95),IF(ISNUMBER(J95)=FALSE,K95,J95),I95)</f>
        <v>3.8854163121636212E-14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3.8732601668996416E-3</v>
      </c>
      <c r="L96" s="664">
        <f t="shared" si="5"/>
        <v>3.8732601668996416E-3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4.6776192822663505E-6</v>
      </c>
      <c r="L97" s="664">
        <f t="shared" si="5"/>
        <v>4.6776192822663505E-6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2.6741789373454676E-10</v>
      </c>
      <c r="L100" s="664">
        <f>IF(ISBLANK(I100),IF(ISNUMBER(J100)=FALSE,K100,J100),I100)</f>
        <v>2.6741789373454676E-10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9.66194463022164E-12</v>
      </c>
      <c r="L103" s="664">
        <f t="shared" ref="L103:L109" si="6">IF(ISBLANK(I103),IF(ISNUMBER(J103)=FALSE,K103,J103),I103)</f>
        <v>9.66194463022164E-12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3.4652274158028427E-7</v>
      </c>
      <c r="L104" s="664">
        <f t="shared" si="6"/>
        <v>3.4652274158028427E-7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1.482292419935412E-9</v>
      </c>
      <c r="L105" s="664">
        <f t="shared" si="6"/>
        <v>1.482292419935412E-9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2.8926233382241219E-10</v>
      </c>
      <c r="L106" s="664">
        <f t="shared" si="6"/>
        <v>2.8926233382241219E-10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2.893518518518519E-10</v>
      </c>
      <c r="L107" s="664">
        <f t="shared" si="6"/>
        <v>2.893518518518519E-10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68"/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2.8935185185185186E-5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/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8.9518029439684741E-14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2.750354147072951E-8</v>
      </c>
      <c r="L111" s="664">
        <f>IF(ISBLANK(I111),IF(ISNUMBER(J111)=FALSE,K111,J111),I111)</f>
        <v>2.750354147072951E-8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1.0106419913586115E-8</v>
      </c>
      <c r="L112" s="664">
        <f>IF(ISBLANK(I112),IF(ISNUMBER(J112)=FALSE,K112,J112),I112)</f>
        <v>1.0106419913586115E-8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5.630589891862921E-8</v>
      </c>
      <c r="L116" s="664">
        <f>IF(ISBLANK(I116),IF(ISNUMBER(J116)=FALSE,K116,J116),I116)</f>
        <v>5.630589891862921E-8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1.5457777937268982E-6</v>
      </c>
      <c r="L123" s="664">
        <f t="shared" ref="L123:L138" si="7">IF(ISBLANK(I123),IF(ISNUMBER(J123)=FALSE,K123,J123),I123)</f>
        <v>1.5457777937268982E-6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2.1523585836137233E-10</v>
      </c>
      <c r="L124" s="664">
        <f t="shared" si="7"/>
        <v>2.1523585836137233E-10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2.1523585836137233E-10</v>
      </c>
      <c r="L125" s="664">
        <f t="shared" si="7"/>
        <v>2.1523585836137233E-10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2.7040182804920299E-10</v>
      </c>
      <c r="L126" s="664">
        <f t="shared" si="7"/>
        <v>2.7040182804920299E-10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3.0534021961477695E-9</v>
      </c>
      <c r="L127" s="664">
        <f t="shared" si="7"/>
        <v>3.0534021961477695E-9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1.54541146784507E-6</v>
      </c>
      <c r="L129" s="664">
        <f t="shared" si="7"/>
        <v>1.54541146784507E-6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2.1523585836137233E-10</v>
      </c>
      <c r="L132" s="664">
        <f t="shared" si="7"/>
        <v>2.1523585836137233E-10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2.1523585836137233E-10</v>
      </c>
      <c r="L133" s="664">
        <f t="shared" si="7"/>
        <v>2.1523585836137233E-10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2.6741789373454681E-10</v>
      </c>
      <c r="L137" s="664">
        <f t="shared" si="7"/>
        <v>2.6741789373454681E-10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2.6741789373454676E-9</v>
      </c>
      <c r="L138" s="664">
        <f t="shared" si="7"/>
        <v>2.6741789373454676E-9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9.3209725175231531E-2</v>
      </c>
      <c r="L182" s="664">
        <f>IF(ISBLANK(I182),IF(ISNUMBER(J182)=FALSE,K182,J182),I182)</f>
        <v>9.3209725175231531E-2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0.83521115098201426</v>
      </c>
      <c r="L183" s="664">
        <f>IF(ISBLANK(I183),IF(ISNUMBER(J183)=FALSE,K183,J183),I183)</f>
        <v>0.83521115098201426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7.1579123842754208E-2</v>
      </c>
      <c r="L184" s="664">
        <f>IF(ISBLANK(I184),IF(ISNUMBER(J184)=FALSE,K184,J184),I184)</f>
        <v>7.1579123842754208E-2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2.2320038487426459E-12</v>
      </c>
      <c r="L185" s="664">
        <f>IF(ISBLANK(I185),IF(ISNUMBER(J185)=FALSE,K185,J185),I185)</f>
        <v>2.2320038487426459E-12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448027901279.52948</v>
      </c>
      <c r="L187" s="664">
        <f t="shared" ref="L187:L194" si="10">IF(ISBLANK(I187),IF(ISNUMBER(J187)=FALSE,K187,J187),I187)</f>
        <v>448027901279.52948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38396810905.829605</v>
      </c>
      <c r="L188" s="664">
        <f t="shared" si="10"/>
        <v>38396810905.829605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0.99994877197396703</v>
      </c>
      <c r="L189" s="664">
        <f t="shared" si="10"/>
        <v>0.99994877197396703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0.99994877197396703</v>
      </c>
      <c r="L190" s="664">
        <f t="shared" si="10"/>
        <v>0.99994877197396703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7.6861300956135628</v>
      </c>
      <c r="L191" s="664">
        <f t="shared" si="10"/>
        <v>7.6861300956135628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7.6861300956135628</v>
      </c>
      <c r="L192" s="664">
        <f t="shared" si="10"/>
        <v>7.6861300956135628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12.8</v>
      </c>
      <c r="L197" s="664">
        <f>IF(ISBLANK(I197),IF(ISNUMBER(J197)=FALSE,K197,J197),I197)</f>
        <v>12.8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12.8</v>
      </c>
      <c r="L198" s="664">
        <f>IF(ISBLANK(I198),IF(ISNUMBER(J198)=FALSE,K198,J198),I198)</f>
        <v>12.8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2.7215325239033903</v>
      </c>
      <c r="L201" s="664">
        <f t="shared" ref="L201:L208" si="11">IF(ISBLANK(I201),IF(ISNUMBER(J201)=FALSE,K201,J201),I201)</f>
        <v>2.7215325239033903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3.8430650478067814</v>
      </c>
      <c r="L202" s="664">
        <f t="shared" si="11"/>
        <v>3.8430650478067814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2.5058390286845156</v>
      </c>
      <c r="L204" s="664">
        <f t="shared" si="11"/>
        <v>2.5058390286845156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7.9813586471671139E-2</v>
      </c>
      <c r="L205" s="664">
        <f t="shared" si="11"/>
        <v>7.9813586471671139E-2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0.92018641352815067</v>
      </c>
      <c r="L206" s="664">
        <f t="shared" si="11"/>
        <v>0.92018641352815067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1.5372260191227125</v>
      </c>
      <c r="L207" s="664">
        <f t="shared" si="11"/>
        <v>1.5372260191227125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4.9143252258855628E-6</v>
      </c>
      <c r="L212" s="664">
        <f t="shared" ref="L212:L225" si="12">IF(ISBLANK(I212),IF(ISNUMBER(J212)=FALSE,K212,J212),I212)</f>
        <v>4.9143252258855628E-6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3.1708704895485567E-6</v>
      </c>
      <c r="L213" s="664">
        <f t="shared" si="12"/>
        <v>3.1708704895485567E-6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8.6446887106979018E-17</v>
      </c>
      <c r="L214" s="664">
        <f t="shared" si="12"/>
        <v>8.6446887106979018E-17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2.3718379430493608E-14</v>
      </c>
      <c r="L215" s="664">
        <f t="shared" si="12"/>
        <v>2.3718379430493608E-14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7.8295165281209622E-6</v>
      </c>
      <c r="L216" s="664">
        <f t="shared" si="12"/>
        <v>7.8295165281209622E-6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9.0234550564591957E-6</v>
      </c>
      <c r="L217" s="664">
        <f t="shared" si="12"/>
        <v>9.0234550564591957E-6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2.1007288031630026E-6</v>
      </c>
      <c r="L218" s="664">
        <f t="shared" si="12"/>
        <v>2.1007288031630026E-6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5.5175805562711906</v>
      </c>
      <c r="L219" s="664">
        <f t="shared" si="12"/>
        <v>5.5175805562711906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9.067902748247685E-4</v>
      </c>
      <c r="L222" s="664">
        <f t="shared" si="12"/>
        <v>9.067902748247685E-4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1.8914659395282167E-3</v>
      </c>
      <c r="L223" s="664">
        <f t="shared" si="12"/>
        <v>1.8914659395282167E-3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5517.5774708667223</v>
      </c>
      <c r="L224" s="664">
        <f t="shared" si="12"/>
        <v>5517.5774708667223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3.6102551502164307E-4</v>
      </c>
      <c r="L228" s="664">
        <f t="shared" si="13"/>
        <v>3.6102551502164307E-4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9.7659695750429052E-5</v>
      </c>
      <c r="L229" s="664">
        <f>IF(ISBLANK(I229),IF(ISNUMBER(J229)=FALSE,K229,J229),I229)</f>
        <v>9.7659695750429052E-5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8.644688710697902E-15</v>
      </c>
      <c r="L230" s="664">
        <f t="shared" si="13"/>
        <v>8.644688710697902E-15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1.1859189715246805E-15</v>
      </c>
      <c r="L231" s="664">
        <f>IF(ISBLANK(I231),IF(ISNUMBER(J231)=FALSE,K231,J231),I231)</f>
        <v>1.1859189715246805E-15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3.8732601668996416E-3</v>
      </c>
      <c r="L232" s="664">
        <f t="shared" si="13"/>
        <v>3.8732601668996416E-3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4.6776192822663505E-6</v>
      </c>
      <c r="L233" s="664">
        <f t="shared" si="13"/>
        <v>4.6776192822663505E-6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5.8200199506518189E-11</v>
      </c>
      <c r="L236" s="664">
        <f>IF(ISBLANK(I236),IF(ISNUMBER(J236)=FALSE,K236,J236),I236)</f>
        <v>5.8200199506518189E-11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9.66194463022164E-12</v>
      </c>
      <c r="L239" s="664">
        <f t="shared" ref="L239:L245" si="14">IF(ISBLANK(I239),IF(ISNUMBER(J239)=FALSE,K239,J239),I239)</f>
        <v>9.66194463022164E-12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3.4652361152846669E-7</v>
      </c>
      <c r="L240" s="664">
        <f t="shared" si="14"/>
        <v>3.4652361152846669E-7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1.482292419935412E-9</v>
      </c>
      <c r="L241" s="664">
        <f t="shared" si="14"/>
        <v>1.482292419935412E-9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2.8928843226788437E-10</v>
      </c>
      <c r="L242" s="664">
        <f t="shared" si="14"/>
        <v>2.8928843226788437E-10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2.893518518518519E-10</v>
      </c>
      <c r="L243" s="687">
        <f t="shared" si="14"/>
        <v>2.893518518518519E-10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67"/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2.8935185185185186E-5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/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6.3419583967528499E-14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2.750354147072951E-8</v>
      </c>
      <c r="L247" s="664">
        <f>IF(ISBLANK(I247),IF(ISNUMBER(J247)=FALSE,K247,J247),I247)</f>
        <v>2.750354147072951E-8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1.0106419913586115E-8</v>
      </c>
      <c r="L248" s="664">
        <f>IF(ISBLANK(I248),IF(ISNUMBER(J248)=FALSE,K248,J248),I248)</f>
        <v>1.0106419913586115E-8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2.0124792019013467E-8</v>
      </c>
      <c r="L252" s="664">
        <f>IF(ISBLANK(I252),IF(ISNUMBER(J252)=FALSE,K252,J252),I252)</f>
        <v>2.0124792019013467E-8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2.4628381466129294E-7</v>
      </c>
      <c r="L259" s="664">
        <f t="shared" ref="L259:L274" si="15">IF(ISBLANK(I259),IF(ISNUMBER(J259)=FALSE,K259,J259),I259)</f>
        <v>2.4628381466129294E-7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4.6843424434504381E-11</v>
      </c>
      <c r="L260" s="664">
        <f t="shared" si="15"/>
        <v>4.6843424434504381E-11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4.6843424434504381E-11</v>
      </c>
      <c r="L261" s="664">
        <f t="shared" si="15"/>
        <v>4.6843424434504381E-11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6.031418563876915E-11</v>
      </c>
      <c r="L262" s="664">
        <f t="shared" si="15"/>
        <v>6.031418563876915E-11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7.1743887320962765E-10</v>
      </c>
      <c r="L263" s="664">
        <f t="shared" si="15"/>
        <v>7.1743887320962765E-10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2.4591748877946477E-7</v>
      </c>
      <c r="L265" s="664">
        <f t="shared" si="15"/>
        <v>2.4591748877946477E-7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4.6843424434504381E-11</v>
      </c>
      <c r="L268" s="664">
        <f t="shared" si="15"/>
        <v>4.6843424434504381E-11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4.6843424434504381E-11</v>
      </c>
      <c r="L269" s="664">
        <f t="shared" si="15"/>
        <v>4.6843424434504381E-11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5.8200199506518201E-11</v>
      </c>
      <c r="L273" s="664">
        <f t="shared" si="15"/>
        <v>5.8200199506518201E-11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5.8200199506518189E-10</v>
      </c>
      <c r="L274" s="664">
        <f t="shared" si="15"/>
        <v>5.8200199506518189E-10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0.55176159029624605</v>
      </c>
      <c r="L318" s="664">
        <f>IF(ISBLANK(I318),IF(ISNUMBER(J318)=FALSE,K318,J318),I318)</f>
        <v>0.55176159029624605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2.4520700749658307E-2</v>
      </c>
      <c r="L319" s="664">
        <f>IF(ISBLANK(I319),IF(ISNUMBER(J319)=FALSE,K319,J319),I319)</f>
        <v>2.4520700749658307E-2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0.42371770895409566</v>
      </c>
      <c r="L320" s="664">
        <f>IF(ISBLANK(I320),IF(ISNUMBER(J320)=FALSE,K320,J320),I320)</f>
        <v>0.42371770895409566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4.5003737530130299E-10</v>
      </c>
      <c r="L321" s="664">
        <f>IF(ISBLANK(I321),IF(ISNUMBER(J321)=FALSE,K321,J321),I321)</f>
        <v>4.5003737530130299E-10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2222037668.1614351</v>
      </c>
      <c r="L323" s="664">
        <f t="shared" ref="L323:L330" si="18">IF(ISBLANK(I323),IF(ISNUMBER(J323)=FALSE,K323,J323),I323)</f>
        <v>2222037668.1614351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38396810905.829605</v>
      </c>
      <c r="L324" s="664">
        <f t="shared" si="18"/>
        <v>38396810905.829605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0.99994877197396703</v>
      </c>
      <c r="L325" s="664">
        <f t="shared" si="18"/>
        <v>0.99994877197396703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0.99994877197396703</v>
      </c>
      <c r="L326" s="664">
        <f t="shared" si="18"/>
        <v>0.99994877197396703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7.6861300956135628</v>
      </c>
      <c r="L327" s="664">
        <f t="shared" si="18"/>
        <v>7.6861300956135628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7.6861300956135628</v>
      </c>
      <c r="L328" s="664">
        <f t="shared" si="18"/>
        <v>7.6861300956135628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12.8</v>
      </c>
      <c r="L333" s="664">
        <f>IF(ISBLANK(I333),IF(ISNUMBER(J333)=FALSE,K333,J333),I333)</f>
        <v>12.8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12.8</v>
      </c>
      <c r="L334" s="664">
        <f>IF(ISBLANK(I334),IF(ISNUMBER(J334)=FALSE,K334,J334),I334)</f>
        <v>12.8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2.7215325239033903</v>
      </c>
      <c r="L337" s="664">
        <f t="shared" ref="L337:L344" si="19">IF(ISBLANK(I337),IF(ISNUMBER(J337)=FALSE,K337,J337),I337)</f>
        <v>2.7215325239033903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3.8430650478067814</v>
      </c>
      <c r="L338" s="664">
        <f t="shared" si="19"/>
        <v>3.8430650478067814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2.5058390287740764</v>
      </c>
      <c r="L340" s="664">
        <f t="shared" si="19"/>
        <v>2.5058390287740764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7.9813586468818545E-2</v>
      </c>
      <c r="L341" s="664">
        <f t="shared" si="19"/>
        <v>7.9813586468818545E-2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0.92018641349526231</v>
      </c>
      <c r="L342" s="664">
        <f t="shared" si="19"/>
        <v>0.92018641349526231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1.5372260191227125</v>
      </c>
      <c r="L343" s="664">
        <f t="shared" si="19"/>
        <v>1.5372260191227125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6.3396114777620021E-6</v>
      </c>
      <c r="L348" s="664">
        <f t="shared" ref="L348:L361" si="20">IF(ISBLANK(I348),IF(ISNUMBER(J348)=FALSE,K348,J348),I348)</f>
        <v>6.3396114777620021E-6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2.2492260137257923E-6</v>
      </c>
      <c r="L349" s="664">
        <f t="shared" si="20"/>
        <v>2.2492260137257923E-6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1.7430218936559197E-14</v>
      </c>
      <c r="L350" s="664">
        <f t="shared" si="20"/>
        <v>1.7430218936559197E-14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4.7810306376587074E-12</v>
      </c>
      <c r="L351" s="664">
        <f t="shared" si="20"/>
        <v>4.7810306376587074E-12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6.9194724324493268E-6</v>
      </c>
      <c r="L352" s="664">
        <f t="shared" si="20"/>
        <v>6.9194724324493268E-6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1.0923229096045866E-5</v>
      </c>
      <c r="L353" s="664">
        <f t="shared" si="20"/>
        <v>1.0923229096045866E-5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4.4519950733002928E-6</v>
      </c>
      <c r="L354" s="664">
        <f t="shared" si="20"/>
        <v>4.4519950733002928E-6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0.84240407316523302</v>
      </c>
      <c r="L355" s="664">
        <f t="shared" si="20"/>
        <v>0.84240407316523302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4.4823840970375394E-4</v>
      </c>
      <c r="L358" s="664">
        <f t="shared" si="20"/>
        <v>4.4823840970375394E-4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5.8222668446677277E-2</v>
      </c>
      <c r="L359" s="664">
        <f t="shared" si="20"/>
        <v>5.8222668446677277E-2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842.34184674012272</v>
      </c>
      <c r="L360" s="664">
        <f t="shared" si="20"/>
        <v>842.34184674012272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2.1371153929249623E-3</v>
      </c>
      <c r="L364" s="664">
        <f t="shared" si="21"/>
        <v>2.1371153929249623E-3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5.7794761330331329E-4</v>
      </c>
      <c r="L365" s="664">
        <f>IF(ISBLANK(I365),IF(ISNUMBER(J365)=FALSE,K365,J365),I365)</f>
        <v>5.7794761330331329E-4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1.7430218936559196E-12</v>
      </c>
      <c r="L366" s="664">
        <f t="shared" si="21"/>
        <v>1.7430218936559196E-12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2.3905153188293539E-13</v>
      </c>
      <c r="L367" s="664">
        <f>IF(ISBLANK(I367),IF(ISNUMBER(J367)=FALSE,K367,J367),I367)</f>
        <v>2.3905153188293539E-13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3.8732601668996416E-3</v>
      </c>
      <c r="L368" s="664">
        <f t="shared" si="21"/>
        <v>3.8732601668996416E-3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4.6776192822663505E-6</v>
      </c>
      <c r="L369" s="664">
        <f t="shared" si="21"/>
        <v>4.6776192822663505E-6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6.5846009179950351E-10</v>
      </c>
      <c r="L372" s="664">
        <f>IF(ISBLANK(I372),IF(ISNUMBER(J372)=FALSE,K372,J372),I372)</f>
        <v>6.5846009179950351E-10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9.66194463022164E-12</v>
      </c>
      <c r="L375" s="664">
        <f t="shared" ref="L375:L381" si="22">IF(ISBLANK(I375),IF(ISNUMBER(J375)=FALSE,K375,J375),I375)</f>
        <v>9.66194463022164E-12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3.4652361152846669E-7</v>
      </c>
      <c r="L376" s="664">
        <f t="shared" si="22"/>
        <v>3.4652361152846669E-7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1.482292419935412E-9</v>
      </c>
      <c r="L377" s="664">
        <f t="shared" si="22"/>
        <v>1.482292419935412E-9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2.8928843226788437E-10</v>
      </c>
      <c r="L378" s="664">
        <f t="shared" si="22"/>
        <v>2.8928843226788437E-10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2.893518518518519E-10</v>
      </c>
      <c r="L379" s="687">
        <f t="shared" si="22"/>
        <v>2.893518518518519E-10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68"/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2.8935185185185186E-5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/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6.3419583967529484E-14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2.750354147072951E-8</v>
      </c>
      <c r="L383" s="664">
        <f>IF(ISBLANK(I383),IF(ISNUMBER(J383)=FALSE,K383,J383),I383)</f>
        <v>2.750354147072951E-8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1.0106419913586115E-8</v>
      </c>
      <c r="L384" s="664">
        <f>IF(ISBLANK(I384),IF(ISNUMBER(J384)=FALSE,K384,J384),I384)</f>
        <v>1.0106419913586115E-8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1.0454737478179092E-7</v>
      </c>
      <c r="L388" s="664">
        <f>IF(ISBLANK(I388),IF(ISNUMBER(J388)=FALSE,K388,J388),I388)</f>
        <v>1.0454737478179092E-7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1.9350341756746508E-6</v>
      </c>
      <c r="L395" s="664">
        <f t="shared" ref="L395:L410" si="23">IF(ISBLANK(I395),IF(ISNUMBER(J395)=FALSE,K395,J395),I395)</f>
        <v>1.9350341756746508E-6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5.2997284914620253E-10</v>
      </c>
      <c r="L396" s="664">
        <f t="shared" si="23"/>
        <v>5.2997284914620253E-10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5.2997284914620253E-10</v>
      </c>
      <c r="L397" s="664">
        <f t="shared" si="23"/>
        <v>5.2997284914620253E-10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6.6057407793175462E-10</v>
      </c>
      <c r="L398" s="664">
        <f t="shared" si="23"/>
        <v>6.6057407793175462E-10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7.2888726843209816E-9</v>
      </c>
      <c r="L399" s="664">
        <f t="shared" si="23"/>
        <v>7.2888726843209816E-9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1.9346678497928229E-6</v>
      </c>
      <c r="L401" s="664">
        <f t="shared" si="23"/>
        <v>1.9346678497928229E-6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5.2997284914620253E-10</v>
      </c>
      <c r="L404" s="664">
        <f t="shared" si="23"/>
        <v>5.2997284914620253E-10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5.2997284914620253E-10</v>
      </c>
      <c r="L405" s="664">
        <f t="shared" si="23"/>
        <v>5.2997284914620253E-10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6.5846009179950362E-10</v>
      </c>
      <c r="L409" s="664">
        <f t="shared" si="23"/>
        <v>6.5846009179950362E-10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6.5846009179950347E-9</v>
      </c>
      <c r="L410" s="664">
        <f t="shared" si="23"/>
        <v>6.5846009179950347E-9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K27" sqref="K27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1.4219637660880982</v>
      </c>
      <c r="E5" s="372">
        <v>0</v>
      </c>
      <c r="F5" s="372">
        <f>E.w1R</f>
        <v>1.4219637660880982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1.4219637660880982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-1.7833245799326521E-5</v>
      </c>
      <c r="E9" s="179">
        <f>k.w0R.aR</f>
        <v>2.832628313446183E-15</v>
      </c>
      <c r="F9" s="179">
        <f>k.w1R.aR</f>
        <v>9.4410422020256369E-14</v>
      </c>
      <c r="G9" s="179">
        <f>k.w2R.aR</f>
        <v>2.8325303446914023E-14</v>
      </c>
      <c r="H9" s="376">
        <v>0</v>
      </c>
      <c r="I9" s="376">
        <v>0</v>
      </c>
      <c r="J9" s="179">
        <f>k.s1R.aR</f>
        <v>7.7708326243272425E-13</v>
      </c>
      <c r="K9" s="179">
        <f>k.s2R.aR</f>
        <v>3.5361502868102846E-13</v>
      </c>
      <c r="L9" s="179">
        <f>k.s3R.aR</f>
        <v>7.7708326243272425E-13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2.042092426847822E-8</v>
      </c>
      <c r="E10" s="378">
        <f>-k.w0R-SUM(E9,E11:E41)</f>
        <v>-2.6125064093270299E-9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4.6921582432191008E-9</v>
      </c>
      <c r="K10" s="689">
        <f>k.s2R.w0R</f>
        <v>2.1351864748154871E-9</v>
      </c>
      <c r="L10" s="689">
        <f>k.s3R.w0R</f>
        <v>4.6921582432191008E-9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2.2463016695326045E-7</v>
      </c>
      <c r="E11" s="179">
        <f>k.w0R.w1R</f>
        <v>2.3972602739726025E-9</v>
      </c>
      <c r="F11" s="378">
        <f>-k.w1R-SUM(F9:F10,F12:F41)</f>
        <v>-8.3262003595482935E-8</v>
      </c>
      <c r="G11" s="376">
        <v>0</v>
      </c>
      <c r="H11" s="179">
        <f>k.sd1R.w1R</f>
        <v>3.6292048071500488E-7</v>
      </c>
      <c r="I11" s="376">
        <v>0</v>
      </c>
      <c r="J11" s="179">
        <f>k.s1R.w1R</f>
        <v>5.1613740675410114E-8</v>
      </c>
      <c r="K11" s="179">
        <f>k.s2R.w1R</f>
        <v>2.3487051222970356E-8</v>
      </c>
      <c r="L11" s="179">
        <f>k.s3R.w1R</f>
        <v>5.1613740675410114E-8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3.573684082509208E-8</v>
      </c>
      <c r="E12" s="179">
        <f>k.w0R.w2R</f>
        <v>0</v>
      </c>
      <c r="F12" s="179">
        <f>k.w1R.w2R</f>
        <v>7.26442507264425E-8</v>
      </c>
      <c r="G12" s="378">
        <f>-k.w2R-SUM(G9:G11,G13:G41)</f>
        <v>-1.3729682996275241E-6</v>
      </c>
      <c r="H12" s="376">
        <v>0</v>
      </c>
      <c r="I12" s="179">
        <f>k.sd2R.w2R</f>
        <v>3.4365239218126566E-7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1.0402439141446337E-8</v>
      </c>
      <c r="G13" s="376">
        <v>0</v>
      </c>
      <c r="H13" s="378">
        <f>-k.sd1R-SUM(H9:H12,H14:H41)</f>
        <v>-3.6608326686512366E-7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2.8985833890664925E-9</v>
      </c>
      <c r="H14" s="376">
        <v>0</v>
      </c>
      <c r="I14" s="378">
        <f>-k.sd2R-SUM(I9:I13,I15:I41)</f>
        <v>-3.4679314340833353E-7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1.8333660620144195E-6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-5.9360078198039415E-8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4.074146804476487E-6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-2.8469337399680212E-8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6.7902446741274783E-7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-5.9360078198039415E-8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-1.1373993746620577E-5</v>
      </c>
      <c r="N18" s="179">
        <f>k.w0C.aC</f>
        <v>2.832628313446183E-15</v>
      </c>
      <c r="O18" s="179">
        <f>k.w1C.aC</f>
        <v>9.4410422020256369E-14</v>
      </c>
      <c r="P18" s="179">
        <f>k.w2C.aC</f>
        <v>1.4162651723457011E-15</v>
      </c>
      <c r="Q18" s="376">
        <v>0</v>
      </c>
      <c r="R18" s="376">
        <v>0</v>
      </c>
      <c r="S18" s="691">
        <f>k.s1C.aC</f>
        <v>7.7708326243272425E-13</v>
      </c>
      <c r="T18" s="691">
        <f>k.s2C.aC</f>
        <v>3.5361502868102846E-13</v>
      </c>
      <c r="U18" s="691">
        <f>k.s3C.aC</f>
        <v>7.7708326243272425E-13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1.0647608174708385E-8</v>
      </c>
      <c r="N19" s="378">
        <f>-k.w0C-SUM(N9:N18,N20:N41)</f>
        <v>-2.6125064093270303E-9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4.6921582432191016E-9</v>
      </c>
      <c r="T19" s="691">
        <f>k.s2C.w0C</f>
        <v>2.1351864748154871E-9</v>
      </c>
      <c r="U19" s="691">
        <f>k.s3C.w0C</f>
        <v>4.6921582432191016E-9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1.1712368992179221E-7</v>
      </c>
      <c r="N20" s="179">
        <f>k.w0C.w1C</f>
        <v>2.3972602739726029E-9</v>
      </c>
      <c r="O20" s="378">
        <f>-k.w1C-SUM(O9:O19,O21:O41)</f>
        <v>-8.3262003595482935E-8</v>
      </c>
      <c r="P20" s="376">
        <v>0</v>
      </c>
      <c r="Q20" s="179">
        <f>k.sd1C.w1C</f>
        <v>3.6294162057623545E-7</v>
      </c>
      <c r="R20" s="376">
        <v>0</v>
      </c>
      <c r="S20" s="691">
        <f>k.s1C.w1C</f>
        <v>5.1613740675410107E-8</v>
      </c>
      <c r="T20" s="691">
        <f>k.s2C.w1C</f>
        <v>2.3487051222970356E-8</v>
      </c>
      <c r="U20" s="691">
        <f>k.s3C.w1C</f>
        <v>5.1613740675410107E-8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4.537091165635125E-6</v>
      </c>
      <c r="N21" s="179">
        <f>k.w0C.w2C</f>
        <v>0</v>
      </c>
      <c r="O21" s="179">
        <f>k.w1C.w2C</f>
        <v>7.2644250726442513E-8</v>
      </c>
      <c r="P21" s="378">
        <f>-k.w2C-SUM(P9:P20,P22:P41)</f>
        <v>-3.2068113958135949E-8</v>
      </c>
      <c r="Q21" s="376">
        <v>0</v>
      </c>
      <c r="R21" s="179">
        <f>k.sd2C.w2C</f>
        <v>3.4561239218126556E-7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1.0402439141446335E-8</v>
      </c>
      <c r="P22" s="376">
        <v>0</v>
      </c>
      <c r="Q22" s="378">
        <f>-k.sd1C-SUM(Q9:Q21,Q23:Q41)</f>
        <v>-3.6608326686512355E-7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1.4492916945332459E-10</v>
      </c>
      <c r="Q23" s="376">
        <v>0</v>
      </c>
      <c r="R23" s="378">
        <f>-k.sd2C-SUM(R9:R22,R24:R41)</f>
        <v>-3.4679314340833342E-7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9.6898755865419947E-7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-5.9360078198039409E-8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2.1533056858982208E-6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-2.8469337399680212E-8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3.5888428098303675E-7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-5.9360078198039409E-8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-1.0901405435262727E-5</v>
      </c>
      <c r="W27" s="179">
        <f>k.w2M.aM</f>
        <v>2.8325303446914022E-15</v>
      </c>
      <c r="X27" s="376">
        <v>0</v>
      </c>
      <c r="Y27" s="376">
        <v>0</v>
      </c>
      <c r="Z27" s="179">
        <f>k.sM.aM</f>
        <v>7.7708326243272425E-13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4.4415670163638715E-6</v>
      </c>
      <c r="W28" s="378">
        <f>-k.w2M-SUM(W9:W27,W29:W41)</f>
        <v>-2.9406964929625865E-7</v>
      </c>
      <c r="X28" s="376">
        <f>k.w3M.w2M</f>
        <v>8.3037289171706622E-9</v>
      </c>
      <c r="Y28" s="179">
        <v>0</v>
      </c>
      <c r="Z28" s="179">
        <f>k.sM.w2M</f>
        <v>5.630589891862921E-8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-9.8177652894092363E-9</v>
      </c>
      <c r="Y29" s="376">
        <f>k.sdM.w3M</f>
        <v>3.4652274158028427E-7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9.66194463022164E-12</v>
      </c>
      <c r="Y30" s="378">
        <f>-k.sdM-SUM(Y9:Y29,Y31:Y41)</f>
        <v>-3.4679314340833348E-7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3.7494898323800317E-6</v>
      </c>
      <c r="W31" s="376">
        <v>0</v>
      </c>
      <c r="X31" s="376">
        <v>0</v>
      </c>
      <c r="Y31" s="376">
        <v>0</v>
      </c>
      <c r="Z31" s="378">
        <f>-k.sM-SUM(Z9:Z30,Z32:Z41)</f>
        <v>-5.9360078198039409E-8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-9.0238213823410237E-6</v>
      </c>
      <c r="AB32" s="179">
        <f>k.w2A.aA</f>
        <v>8.6446887106979018E-17</v>
      </c>
      <c r="AC32" s="376">
        <v>0</v>
      </c>
      <c r="AD32" s="376">
        <v>0</v>
      </c>
      <c r="AE32" s="179">
        <f>k.sA.aA</f>
        <v>2.3718379430493608E-14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4.9143252258855628E-6</v>
      </c>
      <c r="AB33" s="378">
        <f>-k.w2A-SUM(AB9:AB32,AB34:AB41)</f>
        <v>-2.6930808336035651E-7</v>
      </c>
      <c r="AC33" s="376">
        <f>k.w3A.w2A</f>
        <v>8.9753746616491718E-9</v>
      </c>
      <c r="AD33" s="179">
        <v>0</v>
      </c>
      <c r="AE33" s="179">
        <f>k.sA.w2A</f>
        <v>2.0124792019013467E-8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-1.0992664344439388E-8</v>
      </c>
      <c r="AD34" s="376">
        <f>k.sdA.w3A</f>
        <v>3.4652361152846669E-7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9.66194463022164E-12</v>
      </c>
      <c r="AD35" s="378">
        <f>-k.sdA-SUM(AD9:AD34,AD36:AD41)</f>
        <v>-3.4658392571410544E-7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3.1708704895485567E-6</v>
      </c>
      <c r="AB36" s="376">
        <v>0</v>
      </c>
      <c r="AC36" s="376">
        <v>0</v>
      </c>
      <c r="AD36" s="376">
        <v>0</v>
      </c>
      <c r="AE36" s="378">
        <f>-k.sA-SUM(AE9:AE35,AE37:AE41)</f>
        <v>-2.0842254610602524E-8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-1.0923595421927693E-5</v>
      </c>
      <c r="AG37" s="179">
        <f>k.w2T.aT</f>
        <v>1.7430218936559197E-14</v>
      </c>
      <c r="AH37" s="376">
        <v>0</v>
      </c>
      <c r="AI37" s="376">
        <v>0</v>
      </c>
      <c r="AJ37" s="380">
        <f>k.sT.aT</f>
        <v>4.7810306376587074E-12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6.3396114777620021E-6</v>
      </c>
      <c r="AG38" s="378">
        <f>-k.w2T-SUM(AG9:AG37,AG39:AG41)</f>
        <v>-2.4458114609522684E-7</v>
      </c>
      <c r="AH38" s="376">
        <f>k.w3T.w2T</f>
        <v>7.5748144375595357E-9</v>
      </c>
      <c r="AI38" s="179">
        <v>0</v>
      </c>
      <c r="AJ38" s="380">
        <f>k.sT.w2T</f>
        <v>1.0454737478179092E-7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-8.1144492313359607E-9</v>
      </c>
      <c r="AI39" s="376">
        <f>k.sdT.w3T</f>
        <v>3.4652361152846669E-7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9.66194463022164E-12</v>
      </c>
      <c r="AI40" s="378">
        <f>-k.sdT-SUM(AI9:AI39,AI41)</f>
        <v>-3.4718418560639846E-7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2.2492260137257923E-6</v>
      </c>
      <c r="AG41" s="373">
        <v>0</v>
      </c>
      <c r="AH41" s="373">
        <v>0</v>
      </c>
      <c r="AI41" s="373">
        <v>0</v>
      </c>
      <c r="AJ41" s="381">
        <f>-k.sT-SUM(AJ9:AJ40)</f>
        <v>-1.1184102849674956E-7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12503577119.08696</v>
      </c>
      <c r="D45" s="370">
        <f t="array" ref="D45:AJ45">TRANSPOSE(MMULT(MINVERSE(D9:AJ41),-TRANSPOSE(D5:AJ5)))</f>
        <v>80868.094469884891</v>
      </c>
      <c r="E45" s="370">
        <v>57059327.443467125</v>
      </c>
      <c r="F45" s="370">
        <v>43845386.875376835</v>
      </c>
      <c r="G45" s="370">
        <v>2328581.1792471642</v>
      </c>
      <c r="H45" s="370">
        <v>1245888.599361517</v>
      </c>
      <c r="I45" s="370">
        <v>19462.860943335767</v>
      </c>
      <c r="J45" s="370">
        <v>2497652.0314920982</v>
      </c>
      <c r="K45" s="370">
        <v>61519951.454028405</v>
      </c>
      <c r="L45" s="370">
        <v>925056.30796003656</v>
      </c>
      <c r="M45" s="370">
        <v>67073.017677282754</v>
      </c>
      <c r="N45" s="370">
        <v>7114395.8930848669</v>
      </c>
      <c r="O45" s="370">
        <v>3036450.2662916691</v>
      </c>
      <c r="P45" s="370">
        <v>143036348.07255957</v>
      </c>
      <c r="Q45" s="370">
        <v>86282.253137685868</v>
      </c>
      <c r="R45" s="370">
        <v>59776.669527124686</v>
      </c>
      <c r="S45" s="370">
        <v>1094892.7566073663</v>
      </c>
      <c r="T45" s="370">
        <v>5073132.1318516945</v>
      </c>
      <c r="U45" s="370">
        <v>405515.83578050579</v>
      </c>
      <c r="V45" s="370">
        <v>8543.4411534845694</v>
      </c>
      <c r="W45" s="370">
        <v>140322650.0112952</v>
      </c>
      <c r="X45" s="370">
        <v>4104156814.0818586</v>
      </c>
      <c r="Y45" s="370">
        <v>114345.21311949581</v>
      </c>
      <c r="Z45" s="370">
        <v>539647.97067240975</v>
      </c>
      <c r="AA45" s="370">
        <v>359.13101281647965</v>
      </c>
      <c r="AB45" s="370">
        <v>110211883.68750119</v>
      </c>
      <c r="AC45" s="370">
        <v>2701973724.8907537</v>
      </c>
      <c r="AD45" s="370">
        <v>75324.671992269767</v>
      </c>
      <c r="AE45" s="370">
        <v>54636.983939452024</v>
      </c>
      <c r="AF45" s="370">
        <v>514.10052524581488</v>
      </c>
      <c r="AG45" s="370">
        <v>153717098.52868542</v>
      </c>
      <c r="AH45" s="370">
        <v>4962757084.801074</v>
      </c>
      <c r="AI45" s="370">
        <v>138110.79580954404</v>
      </c>
      <c r="AJ45" s="371">
        <v>10339.034704840778</v>
      </c>
    </row>
    <row r="46" spans="1:36" ht="12.75" customHeight="1" x14ac:dyDescent="0.2">
      <c r="B46" s="255" t="s">
        <v>2410</v>
      </c>
      <c r="C46" s="531">
        <f>SUM(D46:AJ46)</f>
        <v>24612542651.751575</v>
      </c>
      <c r="D46" s="383">
        <f>D45</f>
        <v>80868.094469884891</v>
      </c>
      <c r="E46" s="383"/>
      <c r="F46" s="383">
        <f t="shared" ref="F46:AJ46" si="0">F45</f>
        <v>43845386.875376835</v>
      </c>
      <c r="G46" s="383">
        <f t="shared" si="0"/>
        <v>2328581.1792471642</v>
      </c>
      <c r="H46" s="383">
        <f t="shared" si="0"/>
        <v>1245888.599361517</v>
      </c>
      <c r="I46" s="383">
        <f t="shared" si="0"/>
        <v>19462.860943335767</v>
      </c>
      <c r="J46" s="383">
        <f t="shared" si="0"/>
        <v>2497652.0314920982</v>
      </c>
      <c r="K46" s="383">
        <f t="shared" si="0"/>
        <v>61519951.454028405</v>
      </c>
      <c r="L46" s="383">
        <f t="shared" si="0"/>
        <v>925056.30796003656</v>
      </c>
      <c r="M46" s="383">
        <f t="shared" si="0"/>
        <v>67073.017677282754</v>
      </c>
      <c r="N46" s="383"/>
      <c r="O46" s="383">
        <f t="shared" si="0"/>
        <v>3036450.2662916691</v>
      </c>
      <c r="P46" s="383">
        <f t="shared" si="0"/>
        <v>143036348.07255957</v>
      </c>
      <c r="Q46" s="383">
        <f t="shared" si="0"/>
        <v>86282.253137685868</v>
      </c>
      <c r="R46" s="383">
        <f t="shared" si="0"/>
        <v>59776.669527124686</v>
      </c>
      <c r="S46" s="383">
        <f t="shared" si="0"/>
        <v>1094892.7566073663</v>
      </c>
      <c r="T46" s="383">
        <f t="shared" si="0"/>
        <v>5073132.1318516945</v>
      </c>
      <c r="U46" s="383">
        <f t="shared" si="0"/>
        <v>405515.83578050579</v>
      </c>
      <c r="V46" s="383">
        <f t="shared" si="0"/>
        <v>8543.4411534845694</v>
      </c>
      <c r="W46" s="383">
        <f>SUM(W45:X45)</f>
        <v>4244479464.093154</v>
      </c>
      <c r="X46" s="383">
        <f>SUM(W45:X45)</f>
        <v>4244479464.093154</v>
      </c>
      <c r="Y46" s="383">
        <f t="shared" si="0"/>
        <v>114345.21311949581</v>
      </c>
      <c r="Z46" s="383">
        <f t="shared" si="0"/>
        <v>539647.97067240975</v>
      </c>
      <c r="AA46" s="383">
        <f t="shared" si="0"/>
        <v>359.13101281647965</v>
      </c>
      <c r="AB46" s="383">
        <f>SUM(AB45:AC45)</f>
        <v>2812185608.5782547</v>
      </c>
      <c r="AC46" s="383">
        <f>SUM(AB45:AC45)</f>
        <v>2812185608.5782547</v>
      </c>
      <c r="AD46" s="383">
        <f t="shared" si="0"/>
        <v>75324.671992269767</v>
      </c>
      <c r="AE46" s="383">
        <f t="shared" si="0"/>
        <v>54636.983939452024</v>
      </c>
      <c r="AF46" s="383">
        <f t="shared" si="0"/>
        <v>514.10052524581488</v>
      </c>
      <c r="AG46" s="383">
        <f>SUM(AG45:AH45)</f>
        <v>5116474183.3297596</v>
      </c>
      <c r="AH46" s="383">
        <f>SUM(AG45:AH45)</f>
        <v>5116474183.3297596</v>
      </c>
      <c r="AI46" s="383">
        <f t="shared" si="0"/>
        <v>138110.79580954404</v>
      </c>
      <c r="AJ46" s="384">
        <f t="shared" si="0"/>
        <v>10339.034704840778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 t="e">
        <f>IF(ABS(MIN(D48:AJ48))&lt;MAX(D48:AJ48),MAX(D48:AJ48),MIN(D48:AJ48))</f>
        <v>#DIV/0!</v>
      </c>
      <c r="D48" s="515" t="str">
        <f>IF(D49&gt;0.0001,LOG(D46/D47),"")</f>
        <v/>
      </c>
      <c r="E48" s="515" t="e">
        <f t="shared" ref="E48:AJ48" si="1">IF(E49&gt;0.0001,LOG(E46/E47),"")</f>
        <v>#DIV/0!</v>
      </c>
      <c r="F48" s="515">
        <f t="shared" si="1"/>
        <v>1.5654970484556305</v>
      </c>
      <c r="G48" s="515">
        <f t="shared" si="1"/>
        <v>1.7574301127872087</v>
      </c>
      <c r="H48" s="515" t="str">
        <f t="shared" si="1"/>
        <v/>
      </c>
      <c r="I48" s="515" t="str">
        <f t="shared" si="1"/>
        <v/>
      </c>
      <c r="J48" s="515">
        <f t="shared" si="1"/>
        <v>3.0414223745778592</v>
      </c>
      <c r="K48" s="515">
        <f t="shared" si="1"/>
        <v>0.47481722298793017</v>
      </c>
      <c r="L48" s="515" t="str">
        <f t="shared" si="1"/>
        <v/>
      </c>
      <c r="M48" s="515" t="str">
        <f t="shared" si="1"/>
        <v/>
      </c>
      <c r="N48" s="515" t="e">
        <f t="shared" si="1"/>
        <v>#DIV/0!</v>
      </c>
      <c r="O48" s="515">
        <f t="shared" si="1"/>
        <v>2.9640824575996398</v>
      </c>
      <c r="P48" s="515">
        <f t="shared" si="1"/>
        <v>1.9253383099323544</v>
      </c>
      <c r="Q48" s="515" t="str">
        <f t="shared" si="1"/>
        <v/>
      </c>
      <c r="R48" s="515" t="str">
        <f t="shared" si="1"/>
        <v/>
      </c>
      <c r="S48" s="515" t="str">
        <f t="shared" si="1"/>
        <v/>
      </c>
      <c r="T48" s="515">
        <f t="shared" si="1"/>
        <v>2.1077277409286395</v>
      </c>
      <c r="U48" s="515" t="str">
        <f t="shared" si="1"/>
        <v/>
      </c>
      <c r="V48" s="515" t="str">
        <f t="shared" si="1"/>
        <v/>
      </c>
      <c r="W48" s="515">
        <f t="shared" si="1"/>
        <v>2.9781204958403968</v>
      </c>
      <c r="X48" s="515">
        <f t="shared" si="1"/>
        <v>2.9781204958403968</v>
      </c>
      <c r="Y48" s="515" t="str">
        <f t="shared" si="1"/>
        <v/>
      </c>
      <c r="Z48" s="515" t="str">
        <f t="shared" si="1"/>
        <v/>
      </c>
      <c r="AA48" s="515" t="str">
        <f t="shared" si="1"/>
        <v/>
      </c>
      <c r="AB48" s="515">
        <f t="shared" si="1"/>
        <v>2.1431953972294262</v>
      </c>
      <c r="AC48" s="515">
        <f t="shared" si="1"/>
        <v>2.1431953972294262</v>
      </c>
      <c r="AD48" s="515" t="str">
        <f t="shared" si="1"/>
        <v/>
      </c>
      <c r="AE48" s="515" t="str">
        <f t="shared" si="1"/>
        <v/>
      </c>
      <c r="AF48" s="515" t="str">
        <f t="shared" si="1"/>
        <v/>
      </c>
      <c r="AG48" s="515">
        <f t="shared" si="1"/>
        <v>3.667493648070197</v>
      </c>
      <c r="AH48" s="515">
        <f t="shared" si="1"/>
        <v>3.667493648070197</v>
      </c>
      <c r="AI48" s="515" t="str">
        <f t="shared" si="1"/>
        <v/>
      </c>
      <c r="AJ48" s="516" t="str">
        <f t="shared" si="1"/>
        <v/>
      </c>
    </row>
    <row r="49" spans="1:36" s="220" customFormat="1" ht="12.75" customHeight="1" x14ac:dyDescent="0.2">
      <c r="A49"/>
      <c r="B49" s="146" t="s">
        <v>1307</v>
      </c>
      <c r="C49" s="252">
        <f>SUM(D49:AJ49)</f>
        <v>1.0000000000000002</v>
      </c>
      <c r="D49" s="151">
        <f t="shared" ref="D49:AJ49" si="2">D45/SUM($D45:$AJ45)</f>
        <v>6.4675967284944509E-6</v>
      </c>
      <c r="E49" s="151">
        <f t="shared" si="2"/>
        <v>4.5634402779317386E-3</v>
      </c>
      <c r="F49" s="151">
        <f t="shared" si="2"/>
        <v>3.5066274601086738E-3</v>
      </c>
      <c r="G49" s="151">
        <f t="shared" si="2"/>
        <v>1.8623320007300458E-4</v>
      </c>
      <c r="H49" s="151">
        <f t="shared" si="2"/>
        <v>9.9642573280860818E-5</v>
      </c>
      <c r="I49" s="151">
        <f t="shared" si="2"/>
        <v>1.5565834287233948E-6</v>
      </c>
      <c r="J49" s="151">
        <f t="shared" si="2"/>
        <v>1.9975499872587523E-4</v>
      </c>
      <c r="K49" s="151">
        <f t="shared" si="2"/>
        <v>4.9201881084187478E-3</v>
      </c>
      <c r="L49" s="151">
        <f t="shared" si="2"/>
        <v>7.3983332861435287E-5</v>
      </c>
      <c r="M49" s="151">
        <f t="shared" si="2"/>
        <v>5.3643063131825254E-6</v>
      </c>
      <c r="N49" s="151">
        <f t="shared" si="2"/>
        <v>5.6898884417840717E-4</v>
      </c>
      <c r="O49" s="151">
        <f t="shared" si="2"/>
        <v>2.4284652602785703E-4</v>
      </c>
      <c r="P49" s="151">
        <f t="shared" si="2"/>
        <v>1.1439634171105462E-2</v>
      </c>
      <c r="Q49" s="151">
        <f t="shared" si="2"/>
        <v>6.9006055080009297E-6</v>
      </c>
      <c r="R49" s="151">
        <f t="shared" si="2"/>
        <v>4.780765452781861E-6</v>
      </c>
      <c r="S49" s="151">
        <f t="shared" si="2"/>
        <v>8.7566361704283056E-5</v>
      </c>
      <c r="T49" s="151">
        <f t="shared" si="2"/>
        <v>4.057344617091582E-4</v>
      </c>
      <c r="U49" s="151">
        <f t="shared" si="2"/>
        <v>3.2431985816401115E-5</v>
      </c>
      <c r="V49" s="151">
        <f t="shared" si="2"/>
        <v>6.8327975843351552E-7</v>
      </c>
      <c r="W49" s="151">
        <f t="shared" si="2"/>
        <v>1.1222600434646008E-2</v>
      </c>
      <c r="X49" s="151">
        <f t="shared" si="2"/>
        <v>0.32823861323786946</v>
      </c>
      <c r="Y49" s="151">
        <f t="shared" si="2"/>
        <v>9.1450000292272815E-6</v>
      </c>
      <c r="Z49" s="151">
        <f t="shared" si="2"/>
        <v>4.3159486723893304E-5</v>
      </c>
      <c r="AA49" s="151">
        <f t="shared" si="2"/>
        <v>2.872226158930623E-8</v>
      </c>
      <c r="AB49" s="151">
        <f t="shared" si="2"/>
        <v>8.8144282742304639E-3</v>
      </c>
      <c r="AC49" s="151">
        <f t="shared" si="2"/>
        <v>0.21609605788459824</v>
      </c>
      <c r="AD49" s="151">
        <f t="shared" si="2"/>
        <v>6.0242498026652833E-6</v>
      </c>
      <c r="AE49" s="151">
        <f t="shared" si="2"/>
        <v>4.3697082378168066E-6</v>
      </c>
      <c r="AF49" s="151">
        <f t="shared" si="2"/>
        <v>4.1116275794470861E-8</v>
      </c>
      <c r="AG49" s="151">
        <f t="shared" si="2"/>
        <v>1.229384975712536E-2</v>
      </c>
      <c r="AH49" s="151">
        <f t="shared" si="2"/>
        <v>0.39690698410020014</v>
      </c>
      <c r="AI49" s="151">
        <f t="shared" si="2"/>
        <v>1.1045702721240881E-5</v>
      </c>
      <c r="AJ49" s="253">
        <f t="shared" si="2"/>
        <v>8.2688614676979403E-7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3.52258981878664E-10</v>
      </c>
      <c r="E50" s="179">
        <f t="shared" si="3"/>
        <v>9.9854447116361949E-4</v>
      </c>
      <c r="F50" s="179">
        <f t="shared" si="3"/>
        <v>2.325148684661384E-3</v>
      </c>
      <c r="G50" s="179">
        <f t="shared" si="3"/>
        <v>2.3285811792471615E-4</v>
      </c>
      <c r="H50" s="179">
        <f t="shared" si="3"/>
        <v>6.607026290528421E-3</v>
      </c>
      <c r="I50" s="179">
        <f t="shared" si="3"/>
        <v>6.4876203144452493E-4</v>
      </c>
      <c r="J50" s="179">
        <f t="shared" si="3"/>
        <v>8.0942932839833421E-4</v>
      </c>
      <c r="K50" s="179">
        <f t="shared" si="3"/>
        <v>2.2429289150671713E-3</v>
      </c>
      <c r="L50" s="179">
        <f t="shared" si="3"/>
        <v>8.0942932839833453E-4</v>
      </c>
      <c r="M50" s="179">
        <f t="shared" si="3"/>
        <v>9.3166673858086263E-12</v>
      </c>
      <c r="N50" s="179">
        <f t="shared" si="3"/>
        <v>8.1637664299966348E-6</v>
      </c>
      <c r="O50" s="179">
        <f t="shared" si="3"/>
        <v>1.055856200319933E-5</v>
      </c>
      <c r="P50" s="179">
        <f t="shared" si="3"/>
        <v>1.9259433791657744E-7</v>
      </c>
      <c r="Q50" s="179">
        <f t="shared" si="3"/>
        <v>3.0002682067392954E-5</v>
      </c>
      <c r="R50" s="179">
        <f t="shared" si="3"/>
        <v>5.365838005779476E-7</v>
      </c>
      <c r="S50" s="179">
        <f t="shared" si="3"/>
        <v>2.3266462934644497E-5</v>
      </c>
      <c r="T50" s="179">
        <f t="shared" si="3"/>
        <v>1.2127952257924665E-5</v>
      </c>
      <c r="U50" s="179">
        <f t="shared" si="3"/>
        <v>2.3266462934644493E-5</v>
      </c>
      <c r="V50" s="179">
        <f t="shared" si="3"/>
        <v>1.1013679505048871E-13</v>
      </c>
      <c r="W50" s="179">
        <f t="shared" si="3"/>
        <v>3.6179068053701179E-8</v>
      </c>
      <c r="X50" s="179">
        <f t="shared" si="3"/>
        <v>3.5272178955138224E-8</v>
      </c>
      <c r="Y50" s="179">
        <f t="shared" si="3"/>
        <v>9.8271216294071929E-8</v>
      </c>
      <c r="Z50" s="179">
        <f t="shared" si="3"/>
        <v>2.7827240512386677E-7</v>
      </c>
      <c r="AA50" s="179">
        <f t="shared" si="3"/>
        <v>8.450141478034816E-15</v>
      </c>
      <c r="AB50" s="179">
        <f t="shared" si="3"/>
        <v>4.3220346544118114E-8</v>
      </c>
      <c r="AC50" s="179">
        <f t="shared" si="3"/>
        <v>3.5319917972428153E-8</v>
      </c>
      <c r="AD50" s="179">
        <f t="shared" si="3"/>
        <v>9.8463623519306883E-8</v>
      </c>
      <c r="AE50" s="179">
        <f t="shared" si="3"/>
        <v>6.4278804634649434E-8</v>
      </c>
      <c r="AF50" s="179">
        <f t="shared" si="3"/>
        <v>4.0321609823201167E-15</v>
      </c>
      <c r="AG50" s="179">
        <f t="shared" si="3"/>
        <v>1.7223204316939546E-8</v>
      </c>
      <c r="AH50" s="179">
        <f t="shared" si="3"/>
        <v>1.8535040466110455E-8</v>
      </c>
      <c r="AI50" s="179">
        <f t="shared" si="3"/>
        <v>5.1581996567523454E-8</v>
      </c>
      <c r="AJ50" s="380">
        <f t="shared" si="3"/>
        <v>5.4060312182173987E-9</v>
      </c>
    </row>
    <row r="51" spans="1:36" ht="12.75" customHeight="1" x14ac:dyDescent="0.2">
      <c r="B51" s="141" t="s">
        <v>703</v>
      </c>
      <c r="C51" s="254"/>
      <c r="D51" s="385">
        <f>D50*8.314*TEMP.R</f>
        <v>8.3467413497167555E-7</v>
      </c>
      <c r="E51" s="385">
        <f>E50*Kaw.R*8.314*TEMP.R</f>
        <v>1.7303839096413372E-10</v>
      </c>
      <c r="F51" s="385">
        <f>F50*Kaw.R*8.314*TEMP.R</f>
        <v>4.0292645822506507E-10</v>
      </c>
      <c r="G51" s="385">
        <f>G50*Kaw.R*8.314*TEMP.R</f>
        <v>4.0352127734155766E-11</v>
      </c>
      <c r="H51" s="385">
        <f>H50*Kaw.R/Ksdw1.R*8.314*TEMP.R</f>
        <v>4.2069520581527004E-10</v>
      </c>
      <c r="I51" s="385">
        <f>I50*Kaw.R/Ksdw2.R*8.314*TEMP.R</f>
        <v>4.1309216028843507E-11</v>
      </c>
      <c r="J51" s="385">
        <f>J50*Kaw.R/Ks1w.R*8.314*TEMP.R</f>
        <v>5.5975866338442539E-11</v>
      </c>
      <c r="K51" s="385">
        <f>K50*Kaw.R/Ks2w.R*8.314*TEMP.R</f>
        <v>1.5510914264110117E-10</v>
      </c>
      <c r="L51" s="385">
        <f>L50*Kaw.R/Ks3w.R*8.314*TEMP.R</f>
        <v>5.5975866338442565E-11</v>
      </c>
      <c r="M51" s="385">
        <f>M50*8.314*TEMP.C</f>
        <v>2.2075750203999681E-8</v>
      </c>
      <c r="N51" s="385">
        <f>N50*Kaw.C*8.314*TEMP.C</f>
        <v>1.414704149938811E-12</v>
      </c>
      <c r="O51" s="385">
        <f>O50*Kaw.C*8.314*TEMP.C</f>
        <v>1.8296997606922586E-12</v>
      </c>
      <c r="P51" s="385">
        <f>P50*Kaw.C*8.314*TEMP.C</f>
        <v>3.3374792314509196E-14</v>
      </c>
      <c r="Q51" s="385">
        <f>Q50*Kaw.C/Ksdw1.C*8.314*TEMP.C</f>
        <v>1.9103881159738052E-12</v>
      </c>
      <c r="R51" s="385">
        <f>R50*Kaw.C/Ksdw2.C*8.314*TEMP.C</f>
        <v>3.4166389309648903E-14</v>
      </c>
      <c r="S51" s="385">
        <f>S50*Kaw.C/Ks1w.C*8.314*TEMP.C</f>
        <v>1.6089859530726988E-12</v>
      </c>
      <c r="T51" s="385">
        <f>T50*Kaw.C/Ks2w.C*8.314*TEMP.C</f>
        <v>8.3870525903963608E-13</v>
      </c>
      <c r="U51" s="385">
        <f>U50*Kaw.C/Ks3w.C*8.314*TEMP.C</f>
        <v>1.6089859530726986E-12</v>
      </c>
      <c r="V51" s="385">
        <f>V50*8.314*TEMP.M</f>
        <v>2.6096803450418247E-10</v>
      </c>
      <c r="W51" s="385">
        <f>W50*Kaw.M*8.314*TEMP.M</f>
        <v>6.2694931506646282E-15</v>
      </c>
      <c r="X51" s="385">
        <f>X50*Kaw.M*8.314*TEMP.M</f>
        <v>6.1123377760868908E-15</v>
      </c>
      <c r="Y51" s="385">
        <f>Y50*Kaw.M/Ksdw.M*8.314*TEMP.M</f>
        <v>6.257312707203564E-15</v>
      </c>
      <c r="Z51" s="372">
        <f>Z50*Kaw.M/Kslw.M*8.314*TEMP.M</f>
        <v>1.9243852932426755E-14</v>
      </c>
      <c r="AA51" s="385">
        <f>AA50*8.314*TEMP.A</f>
        <v>1.8476927253324325E-11</v>
      </c>
      <c r="AB51" s="385">
        <f>AB50*Kaw.A*8.314*TEMP.A</f>
        <v>2.1093514827365245E-16</v>
      </c>
      <c r="AC51" s="385">
        <f>AC50*Kaw.A*8.314*TEMP.A</f>
        <v>1.7237742707413063E-16</v>
      </c>
      <c r="AD51" s="385">
        <f>AD50*Kaw.A/Ksdw.A*8.314*TEMP.A</f>
        <v>1.7657247034179955E-16</v>
      </c>
      <c r="AE51" s="372">
        <f>AE50*Kaw.A/Kslw.A*8.314*TEMP.A</f>
        <v>1.2519164050594003E-16</v>
      </c>
      <c r="AF51" s="385">
        <f>AF50*8.314*TEMP.T</f>
        <v>9.9899691492888177E-12</v>
      </c>
      <c r="AG51" s="385">
        <f>AG50*Kaw.T*8.314*TEMP.T</f>
        <v>1.9203872813387588E-14</v>
      </c>
      <c r="AH51" s="385">
        <f>AH50*Kaw.T*8.314*TEMP.T</f>
        <v>2.0666570119713155E-14</v>
      </c>
      <c r="AI51" s="385">
        <f>AI50*Kaw.T/Ksdw.T*8.314*TEMP.T</f>
        <v>2.1132918922570363E-14</v>
      </c>
      <c r="AJ51" s="386">
        <f>AJ50*Kaw.T/Kslw.T*8.314*TEMP.T</f>
        <v>2.4054716759924214E-15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-1.2969596614355408</v>
      </c>
      <c r="E55" s="370">
        <f t="shared" ref="E55:AJ55" si="4">E9*E$45</f>
        <v>1.6162786646256179E-7</v>
      </c>
      <c r="F55" s="370">
        <f t="shared" si="4"/>
        <v>4.1394614785457367E-6</v>
      </c>
      <c r="G55" s="370">
        <f t="shared" si="4"/>
        <v>6.5957768502948821E-8</v>
      </c>
      <c r="H55" s="389">
        <f t="shared" si="4"/>
        <v>0</v>
      </c>
      <c r="I55" s="389">
        <f t="shared" si="4"/>
        <v>0</v>
      </c>
      <c r="J55" s="370">
        <f t="shared" si="4"/>
        <v>1.9408835890536011E-6</v>
      </c>
      <c r="K55" s="370">
        <f t="shared" si="4"/>
        <v>2.1754379397871733E-5</v>
      </c>
      <c r="L55" s="370">
        <f t="shared" si="4"/>
        <v>7.1884577372355611E-7</v>
      </c>
      <c r="M55" s="370">
        <f t="shared" si="4"/>
        <v>2.0148058760642917E-2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1.6514012329056618E-3</v>
      </c>
      <c r="E56" s="378">
        <f>SUM(D56,F56:AJ56)-SUM(E55,E57:E87)</f>
        <v>1.228163809026267E-2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1.1719378568258582E-2</v>
      </c>
      <c r="K56" s="376">
        <f t="shared" si="6"/>
        <v>0.1313565682759468</v>
      </c>
      <c r="L56" s="376">
        <f t="shared" si="6"/>
        <v>4.3405105808365122E-3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1.8165413561962281E-2</v>
      </c>
      <c r="E57" s="179">
        <f t="shared" ref="E57:E87" si="7">E11*E$45</f>
        <v>0.13678605893981843</v>
      </c>
      <c r="F57" s="378">
        <f>SUM(D57:E57,G57:AJ57)-SUM(F55:F56,F58:F87)</f>
        <v>-1.4125273918636347</v>
      </c>
      <c r="G57" s="376">
        <f t="shared" ref="G57:AJ57" si="8">G11*G$45</f>
        <v>0</v>
      </c>
      <c r="H57" s="179">
        <f t="shared" si="8"/>
        <v>0.45215848939762587</v>
      </c>
      <c r="I57" s="376">
        <f t="shared" si="8"/>
        <v>0</v>
      </c>
      <c r="J57" s="179">
        <f t="shared" si="8"/>
        <v>0.12891316425084443</v>
      </c>
      <c r="K57" s="179">
        <f t="shared" si="8"/>
        <v>1.4449222510354147</v>
      </c>
      <c r="L57" s="179">
        <f t="shared" si="8"/>
        <v>4.7745616389201641E-2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2.8899702198987853E-3</v>
      </c>
      <c r="E58" s="179">
        <f t="shared" si="7"/>
        <v>0</v>
      </c>
      <c r="F58" s="179">
        <f t="shared" ref="F58:F87" si="9">F12*F$45</f>
        <v>3.1851152773727462</v>
      </c>
      <c r="G58" s="378">
        <f>SUM(D58:F58,H58:AJ58)-SUM(G55:G57,G59:G87)</f>
        <v>5.0119416887905999E-4</v>
      </c>
      <c r="H58" s="376">
        <f t="shared" ref="H58:N58" si="10">H12*H$45</f>
        <v>0</v>
      </c>
      <c r="I58" s="179">
        <f t="shared" si="10"/>
        <v>6.6884587218686608E-3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2.3744359011201219E-3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0.45609896860427751</v>
      </c>
      <c r="G59" s="376">
        <f t="shared" ref="G59:G87" si="12">G13*G$45</f>
        <v>0</v>
      </c>
      <c r="H59" s="378">
        <f>SUM(D59:G59,I59:AJ59)-SUM(H55:H58,H60:H87)</f>
        <v>3.940479206651637E-3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6.7495867262586948E-3</v>
      </c>
      <c r="H60" s="376">
        <f t="shared" ref="H60:H87" si="15">H14*H$45</f>
        <v>0</v>
      </c>
      <c r="I60" s="378">
        <f>SUM(D60:H60,J60:AJ60)-SUM(I55:I59,I61:I87)</f>
        <v>6.1128004390034046E-5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0.14826081990086293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7.6263361981708799E-3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0.32946848866858419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-1.2468320850221752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5.4911414778097363E-2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2.8245689622854869E-3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0.76178899298974667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0.1036799812837953</v>
      </c>
      <c r="N64" s="179">
        <f>N18*N$45</f>
        <v>2.0152439239817439E-8</v>
      </c>
      <c r="O64" s="179">
        <f>O18*O$45</f>
        <v>2.866725510841163E-7</v>
      </c>
      <c r="P64" s="179">
        <f t="shared" ref="P64:AJ64" si="25">P18*P$45</f>
        <v>2.0257739815468327E-7</v>
      </c>
      <c r="Q64" s="376">
        <f t="shared" si="25"/>
        <v>0</v>
      </c>
      <c r="R64" s="376">
        <f t="shared" si="25"/>
        <v>0</v>
      </c>
      <c r="S64" s="179">
        <f t="shared" si="25"/>
        <v>8.5082283531841091E-7</v>
      </c>
      <c r="T64" s="179">
        <f t="shared" si="25"/>
        <v>1.793935764307384E-6</v>
      </c>
      <c r="U64" s="179">
        <f t="shared" si="25"/>
        <v>3.1511956863644827E-7</v>
      </c>
      <c r="V64" s="179">
        <f t="shared" si="25"/>
        <v>1.0956213580820594E-3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7.1416721132299592E-4</v>
      </c>
      <c r="N65" s="378">
        <f>SUM(D65:M65,O65:AJ65)-SUM(N55:N64,N66:N87)</f>
        <v>1.5313260689286887E-3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5.1374100733561391E-3</v>
      </c>
      <c r="T65" s="376">
        <f t="shared" si="27"/>
        <v>1.0832083112881596E-2</v>
      </c>
      <c r="U65" s="376">
        <f t="shared" si="27"/>
        <v>1.9027444716133838E-3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7.8558393245529538E-3</v>
      </c>
      <c r="N66" s="179">
        <f t="shared" ref="N66:N87" si="28">N20*N$45</f>
        <v>1.7055058647806189E-2</v>
      </c>
      <c r="O66" s="378">
        <f>SUM(D66:N66,P66:AJ66)-SUM(O55:O65,O67:O87)</f>
        <v>6.5350275293823978E-4</v>
      </c>
      <c r="P66" s="376">
        <f t="shared" ref="P66:AJ66" si="29">P20*P$45</f>
        <v>0</v>
      </c>
      <c r="Q66" s="179">
        <f t="shared" si="29"/>
        <v>3.1315420780760682E-2</v>
      </c>
      <c r="R66" s="376">
        <f t="shared" si="29"/>
        <v>0</v>
      </c>
      <c r="S66" s="179">
        <f t="shared" si="29"/>
        <v>5.651151080691752E-2</v>
      </c>
      <c r="T66" s="179">
        <f t="shared" si="29"/>
        <v>0.11915291424169755</v>
      </c>
      <c r="U66" s="179">
        <f t="shared" si="29"/>
        <v>2.0930189187747215E-2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3.1898172953627273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0.30431639595608817</v>
      </c>
      <c r="N67" s="179">
        <f t="shared" si="28"/>
        <v>0</v>
      </c>
      <c r="O67" s="179">
        <f t="shared" ref="O67:O87" si="30">O21*O$45</f>
        <v>0.22058065446286515</v>
      </c>
      <c r="P67" s="378">
        <f>SUM(D67:O67,Q67:AJ67)-SUM(P55:P66,P68:P87)</f>
        <v>3.07865511542742E-2</v>
      </c>
      <c r="Q67" s="376">
        <f t="shared" ref="Q67:AJ67" si="31">Q21*Q$45</f>
        <v>0</v>
      </c>
      <c r="R67" s="179">
        <f t="shared" si="31"/>
        <v>2.0659557751898525E-2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0.85153200661286099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3.1586489101127609E-2</v>
      </c>
      <c r="P68" s="376">
        <f t="shared" ref="P68:P87" si="32">P22*P$45</f>
        <v>0</v>
      </c>
      <c r="Q68" s="378">
        <f>SUM(D68:P68,R68:AJ68)-SUM(Q55:Q67,Q69:Q87)</f>
        <v>2.7106832036692674E-4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2.0730139127792702E-2</v>
      </c>
      <c r="Q69" s="376">
        <f t="shared" ref="Q69:Q87" si="34">Q23*Q$45</f>
        <v>0</v>
      </c>
      <c r="R69" s="378">
        <f>SUM(D69:Q69,S69:AJ69)-SUM(R55:R68,R70:R87)</f>
        <v>7.0581375894177012E-5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6.4992919650680187E-2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3.3431479475712067E-3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0.14442871033484483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1.4441919044501372E-2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2.4071451722474133E-2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1.2382029435448992E-3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9.268055938398384E-2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1.3206261617068907E-2</v>
      </c>
      <c r="W73" s="179">
        <f t="shared" ref="W73:AJ73" si="43">W27*W$45</f>
        <v>3.9746816420450497E-7</v>
      </c>
      <c r="X73" s="376">
        <f t="shared" si="43"/>
        <v>0</v>
      </c>
      <c r="Y73" s="376">
        <f t="shared" si="43"/>
        <v>0</v>
      </c>
      <c r="Z73" s="179">
        <f t="shared" si="43"/>
        <v>4.1935140561531525E-7</v>
      </c>
      <c r="AA73" s="179">
        <f t="shared" si="43"/>
        <v>2.4864143061220412E-4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2.0549819227804337E-4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4.5330145813858547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3.7946266433562775E-2</v>
      </c>
      <c r="W74" s="378">
        <f>SUM(D74:V74,X74:AJ74)-SUM(W55:W73,W75:W87)</f>
        <v>3.0202466022721808E-2</v>
      </c>
      <c r="X74" s="376">
        <f t="shared" ref="X74:AJ74" si="45">X28*X$45</f>
        <v>34.079805617694547</v>
      </c>
      <c r="Y74" s="376">
        <f t="shared" si="45"/>
        <v>0</v>
      </c>
      <c r="Z74" s="179">
        <f t="shared" si="45"/>
        <v>3.0385364088324082E-2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2.5834806475409318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34.9560373989843</v>
      </c>
      <c r="X75" s="378">
        <f>SUM(D75:W75,Y75:AJ75)-SUM(X55:X74,X76:X87)</f>
        <v>0.88336171472858638</v>
      </c>
      <c r="Y75" s="376">
        <f t="shared" ref="Y75:AJ75" si="47">Y29*Y$45</f>
        <v>3.9623216736749574E-2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5.2979876958642231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3.9654135891405769E-2</v>
      </c>
      <c r="Y76" s="378">
        <f>SUM(D76:X76,Z76:AJ76)-SUM(Y55:Y75,Y77:Y87)</f>
        <v>3.091915465619488E-5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3.203354573852752E-2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1.6477622987978238E-3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3.240723289140155E-3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8.8448155799616783E-5</v>
      </c>
      <c r="AB78" s="179">
        <f t="shared" ref="AB78:AJ78" si="53">AB32*AB$45</f>
        <v>9.5274742669809175E-9</v>
      </c>
      <c r="AC78" s="376">
        <f t="shared" si="53"/>
        <v>0</v>
      </c>
      <c r="AD78" s="376">
        <f t="shared" si="53"/>
        <v>0</v>
      </c>
      <c r="AE78" s="179">
        <f t="shared" si="53"/>
        <v>1.2959007160137084E-9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5.4268602080551771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1.7648865956818574E-3</v>
      </c>
      <c r="AB79" s="378">
        <f>SUM(D79:AA79,AC79:AJ79)-SUM(AB55:AB78,AB80:AB87)</f>
        <v>5.1627020453004491E-3</v>
      </c>
      <c r="AC79" s="376">
        <f t="shared" ref="AC79:AJ79" si="55">AC33*AC$45</f>
        <v>24.251226506826303</v>
      </c>
      <c r="AD79" s="376">
        <f t="shared" si="55"/>
        <v>0</v>
      </c>
      <c r="AE79" s="179">
        <f t="shared" si="55"/>
        <v>1.0995579383276512E-3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29.675788447842713</v>
      </c>
      <c r="AC80" s="378">
        <f>SUM(D80:AB80,AD80:AJ80)-SUM(AC55:AC79,AC81:AC87)</f>
        <v>0.12656970200594131</v>
      </c>
      <c r="AD80" s="376">
        <f t="shared" ref="AD80:AJ80" si="57">AD34*AD$45</f>
        <v>2.6101777375958465E-2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2.6106320522208182E-2</v>
      </c>
      <c r="AD81" s="378">
        <f>SUM(D81:AC81,AE81:AJ81)-SUM(AD55:AD80,AD82:AD87)</f>
        <v>4.5431462497164121E-6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1.1387579304214599E-3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3.9198696193092812E-5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5.6130973900624728E-3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9.9480208608294148E-4</v>
      </c>
      <c r="AG83" s="179">
        <f>AG37*AG$45</f>
        <v>2.6793226816476286E-6</v>
      </c>
      <c r="AH83" s="376">
        <f>AH37*AH$45</f>
        <v>0</v>
      </c>
      <c r="AI83" s="376">
        <f>AI37*AI$45</f>
        <v>0</v>
      </c>
      <c r="AJ83" s="380">
        <f>AJ37*AJ$45</f>
        <v>4.9431241687660411E-8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3.259197590571842E-3</v>
      </c>
      <c r="AG84" s="378">
        <f>SUM(D84:AF84,AH84:AJ84)-SUM(AG55:AG83,AG85:AG87)</f>
        <v>8.1465888669733033E-2</v>
      </c>
      <c r="AH84" s="376">
        <f>AH38*AH$45</f>
        <v>37.591964016052046</v>
      </c>
      <c r="AI84" s="179">
        <f>AI38*AI$45</f>
        <v>0</v>
      </c>
      <c r="AJ84" s="380">
        <f>AJ38*AJ$45</f>
        <v>1.0809189361689318E-3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5.2908268432707333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34.931354917045439</v>
      </c>
      <c r="AH85" s="378">
        <f>SUM(D85:AG85,AI85:AJ85)-SUM(AH55:AH84,AH86:AH87)</f>
        <v>2.6301265118525308</v>
      </c>
      <c r="AI85" s="376">
        <f>AI39*AI$45</f>
        <v>4.7858651754993826E-2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4.7949884166588137E-2</v>
      </c>
      <c r="AI86" s="378">
        <f>SUM(D86:AH86,AJ86)-SUM(AI55:AI85,AI87)</f>
        <v>9.1232411594310836E-5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1.1563282750529803E-3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7.5359907642360896E-5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4.2658912982642949</v>
      </c>
      <c r="D91" s="179">
        <f t="array" ref="D91:AJ91">D5:AJ5</f>
        <v>1.4219637660880982</v>
      </c>
      <c r="E91" s="179">
        <v>0</v>
      </c>
      <c r="F91" s="179">
        <v>1.4219637660880982</v>
      </c>
      <c r="G91" s="179">
        <v>0</v>
      </c>
      <c r="H91" s="179">
        <v>0</v>
      </c>
      <c r="I91" s="179">
        <v>0</v>
      </c>
      <c r="J91" s="179">
        <v>0</v>
      </c>
      <c r="K91" s="179">
        <v>1.4219637660880982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231.55500192123321</v>
      </c>
      <c r="D92" s="179">
        <f>SUM($D$55:$AJ$55)</f>
        <v>-1.2767828215190238</v>
      </c>
      <c r="E92" s="179">
        <f>SUM($D$56:$AJ$56)</f>
        <v>0.16134949674821022</v>
      </c>
      <c r="F92" s="179">
        <f>SUM($D$57:$AJ$57)</f>
        <v>0.81616360171123248</v>
      </c>
      <c r="G92" s="179">
        <f>SUM($D$58:$AJ$58)</f>
        <v>3.1975693363845128</v>
      </c>
      <c r="H92" s="179">
        <f>SUM($D$59:$AJ$59)</f>
        <v>0.46003944781092915</v>
      </c>
      <c r="I92" s="179">
        <f>SUM($D$60:$AJ$60)</f>
        <v>6.8107147306487288E-3</v>
      </c>
      <c r="J92" s="179">
        <f>SUM($D$61:$AJ$61)</f>
        <v>0.15588715609903381</v>
      </c>
      <c r="K92" s="179">
        <f>SUM($D$62:$AJ$62)</f>
        <v>-0.9173635963535911</v>
      </c>
      <c r="L92" s="179">
        <f>SUM($D$63:$AJ$63)</f>
        <v>5.773598374038285E-2</v>
      </c>
      <c r="M92" s="179">
        <f>SUM($D$64:$AJ$64)</f>
        <v>0.86656806491218075</v>
      </c>
      <c r="N92" s="179">
        <f>SUM($D$65:$AJ$65)</f>
        <v>2.0117730938102804E-2</v>
      </c>
      <c r="O92" s="179">
        <f>SUM($D$66:$AJ$66)</f>
        <v>0.25347443574242035</v>
      </c>
      <c r="P92" s="179">
        <f>SUM($D$67:$AJ$67)</f>
        <v>4.617692461300714</v>
      </c>
      <c r="Q92" s="179">
        <f>SUM($D$68:$AJ$68)</f>
        <v>3.1857557421494535E-2</v>
      </c>
      <c r="R92" s="179">
        <f>SUM($D$69:$AJ$69)</f>
        <v>2.0800720503686879E-2</v>
      </c>
      <c r="S92" s="179">
        <f>SUM($D$70:$AJ$70)</f>
        <v>6.8336067598251393E-2</v>
      </c>
      <c r="T92" s="179">
        <f>SUM($D$71:$AJ$71)</f>
        <v>0.15887062937934621</v>
      </c>
      <c r="U92" s="179">
        <f>SUM($D$72:$AJ$72)</f>
        <v>2.5309654666019032E-2</v>
      </c>
      <c r="V92" s="179">
        <f>SUM($D$73:$AJ$73)</f>
        <v>0.10634177744351281</v>
      </c>
      <c r="W92" s="179">
        <f>SUM($D$74:$AJ$74)</f>
        <v>41.294834943165938</v>
      </c>
      <c r="X92" s="179">
        <f>SUM($D$75:$AJ$75)</f>
        <v>41.177010026313859</v>
      </c>
      <c r="Y92" s="179">
        <f>SUM($D$76:$AJ$76)</f>
        <v>3.9685055046061964E-2</v>
      </c>
      <c r="Z92" s="179">
        <f>SUM($D$77:$AJ$77)</f>
        <v>3.3681308037325344E-2</v>
      </c>
      <c r="AA92" s="179">
        <f>SUM($D$78:$AJ$78)</f>
        <v>3.3291822683147549E-3</v>
      </c>
      <c r="AB92" s="179">
        <f>SUM($D$79:$AJ$79)</f>
        <v>29.68611386146079</v>
      </c>
      <c r="AC92" s="179">
        <f>SUM($D$80:$AJ$80)</f>
        <v>29.828459927224614</v>
      </c>
      <c r="AD92" s="179">
        <f>SUM($D$81:$AJ$81)</f>
        <v>2.6110863668457898E-2</v>
      </c>
      <c r="AE92" s="179">
        <f>SUM($D$82:$AJ$82)</f>
        <v>1.1779566266145527E-3</v>
      </c>
      <c r="AF92" s="179">
        <f>SUM($D$83:$AJ$83)</f>
        <v>6.6106282300687491E-3</v>
      </c>
      <c r="AG92" s="179">
        <f>SUM($D$84:$AJ$84)</f>
        <v>37.67777002124852</v>
      </c>
      <c r="AH92" s="179">
        <f>SUM($D$85:$AJ$85)</f>
        <v>42.900166923923699</v>
      </c>
      <c r="AI92" s="179">
        <f>SUM($D$86:$AJ$86)</f>
        <v>4.8041116578182448E-2</v>
      </c>
      <c r="AJ92" s="380">
        <f>SUM($D$87:$AJ$87)</f>
        <v>1.2316881826953412E-3</v>
      </c>
    </row>
    <row r="93" spans="2:36" ht="12.75" customHeight="1" x14ac:dyDescent="0.2">
      <c r="B93" s="146" t="s">
        <v>1212</v>
      </c>
      <c r="C93" s="150">
        <f>SUM(D93:AJ93)</f>
        <v>231.55500192123321</v>
      </c>
      <c r="D93" s="179">
        <f t="shared" ref="D93:AJ93" si="61">SUM(D55:D87)</f>
        <v>2.0176839916517086E-2</v>
      </c>
      <c r="E93" s="179">
        <f t="shared" si="61"/>
        <v>0.14906785865794756</v>
      </c>
      <c r="F93" s="179">
        <f t="shared" si="61"/>
        <v>2.2286909935748676</v>
      </c>
      <c r="G93" s="179">
        <f t="shared" si="61"/>
        <v>3.1970681422156337</v>
      </c>
      <c r="H93" s="179">
        <f t="shared" si="61"/>
        <v>0.45609896860427751</v>
      </c>
      <c r="I93" s="179">
        <f t="shared" si="61"/>
        <v>6.7495867262586948E-3</v>
      </c>
      <c r="J93" s="179">
        <f t="shared" si="61"/>
        <v>0.14826081990086293</v>
      </c>
      <c r="K93" s="179">
        <f t="shared" si="61"/>
        <v>0.32946848866858414</v>
      </c>
      <c r="L93" s="179">
        <f t="shared" si="61"/>
        <v>5.4911414778097363E-2</v>
      </c>
      <c r="M93" s="179">
        <f t="shared" si="61"/>
        <v>0.76288808362838534</v>
      </c>
      <c r="N93" s="179">
        <f t="shared" si="61"/>
        <v>1.8586404869174115E-2</v>
      </c>
      <c r="O93" s="179">
        <f t="shared" si="61"/>
        <v>0.25282093298948211</v>
      </c>
      <c r="P93" s="179">
        <f t="shared" si="61"/>
        <v>4.5869059101464398</v>
      </c>
      <c r="Q93" s="179">
        <f t="shared" si="61"/>
        <v>3.1586489101127609E-2</v>
      </c>
      <c r="R93" s="179">
        <f t="shared" si="61"/>
        <v>2.0730139127792702E-2</v>
      </c>
      <c r="S93" s="179">
        <f t="shared" si="61"/>
        <v>6.4992919650680187E-2</v>
      </c>
      <c r="T93" s="179">
        <f t="shared" si="61"/>
        <v>0.14442871033484483</v>
      </c>
      <c r="U93" s="179">
        <f t="shared" si="61"/>
        <v>2.4071451722474133E-2</v>
      </c>
      <c r="V93" s="179">
        <f t="shared" si="61"/>
        <v>9.3135515826443888E-2</v>
      </c>
      <c r="W93" s="179">
        <f t="shared" si="61"/>
        <v>41.264632477143223</v>
      </c>
      <c r="X93" s="179">
        <f t="shared" si="61"/>
        <v>40.293648311585272</v>
      </c>
      <c r="Y93" s="179">
        <f t="shared" si="61"/>
        <v>3.9654135891405769E-2</v>
      </c>
      <c r="Z93" s="179">
        <f t="shared" si="61"/>
        <v>3.203354573852752E-2</v>
      </c>
      <c r="AA93" s="179">
        <f t="shared" si="61"/>
        <v>3.2407341125151382E-3</v>
      </c>
      <c r="AB93" s="179">
        <f t="shared" si="61"/>
        <v>29.680951159415489</v>
      </c>
      <c r="AC93" s="179">
        <f t="shared" si="61"/>
        <v>29.701890225218673</v>
      </c>
      <c r="AD93" s="179">
        <f t="shared" si="61"/>
        <v>2.6106320522208182E-2</v>
      </c>
      <c r="AE93" s="179">
        <f t="shared" si="61"/>
        <v>1.1387579304214599E-3</v>
      </c>
      <c r="AF93" s="179">
        <f t="shared" si="61"/>
        <v>5.6158261439858068E-3</v>
      </c>
      <c r="AG93" s="179">
        <f t="shared" si="61"/>
        <v>37.596304132578787</v>
      </c>
      <c r="AH93" s="179">
        <f t="shared" si="61"/>
        <v>40.270040412071168</v>
      </c>
      <c r="AI93" s="179">
        <f t="shared" si="61"/>
        <v>4.7949884166588137E-2</v>
      </c>
      <c r="AJ93" s="380">
        <f t="shared" si="61"/>
        <v>1.1563282750529803E-3</v>
      </c>
    </row>
    <row r="94" spans="2:36" ht="12.75" customHeight="1" x14ac:dyDescent="0.2">
      <c r="B94" s="152" t="s">
        <v>1211</v>
      </c>
      <c r="C94" s="150">
        <f>SUM(D94:AJ94)</f>
        <v>4.2658912982642896</v>
      </c>
      <c r="D94" s="179">
        <f>k.aR*D45</f>
        <v>0.12500410465255704</v>
      </c>
      <c r="E94" s="179">
        <f>k.w0R*E45</f>
        <v>1.2281638090262663E-2</v>
      </c>
      <c r="F94" s="179">
        <f>k.w1R*F45</f>
        <v>9.4363742244642588E-3</v>
      </c>
      <c r="G94" s="179">
        <f>k.w2R*G45</f>
        <v>5.0119416887939999E-4</v>
      </c>
      <c r="H94" s="179">
        <f>k.sd1R*H45</f>
        <v>3.9404792066514982E-3</v>
      </c>
      <c r="I94" s="179">
        <f>k.sd2R*I45</f>
        <v>6.1128004390033328E-5</v>
      </c>
      <c r="J94" s="179">
        <f>k.s1R*J45</f>
        <v>7.6263361981709112E-3</v>
      </c>
      <c r="K94" s="179">
        <f>k.s2R*K45</f>
        <v>0.1751316810659225</v>
      </c>
      <c r="L94" s="179">
        <f>k.s3R*L45</f>
        <v>2.8245689622855229E-3</v>
      </c>
      <c r="M94" s="179">
        <f>k.aC*M45</f>
        <v>0.10367998128379538</v>
      </c>
      <c r="N94" s="179">
        <f>k.w0C*N45</f>
        <v>1.5313260689286887E-3</v>
      </c>
      <c r="O94" s="179">
        <f>k.w1C*O45</f>
        <v>6.5350275293827198E-4</v>
      </c>
      <c r="P94" s="179">
        <f>k.w2C*P45</f>
        <v>3.0786551154273385E-2</v>
      </c>
      <c r="Q94" s="179">
        <f>k.sd1C*Q45</f>
        <v>2.7106832036691498E-4</v>
      </c>
      <c r="R94" s="179">
        <f>k.sd2C*R45</f>
        <v>7.0581375894183639E-5</v>
      </c>
      <c r="S94" s="179">
        <f>k.s1C*S45</f>
        <v>3.3431479475712175E-3</v>
      </c>
      <c r="T94" s="179">
        <f>k.s2C*T45</f>
        <v>1.44419190445014E-2</v>
      </c>
      <c r="U94" s="179">
        <f>k.s3C*U45</f>
        <v>1.2382029435448947E-3</v>
      </c>
      <c r="V94" s="179">
        <f>k.aM*V45</f>
        <v>1.3206261617068964E-2</v>
      </c>
      <c r="W94" s="179">
        <f>k.w2M*W45</f>
        <v>3.0202466022723556E-2</v>
      </c>
      <c r="X94" s="179">
        <f>k.w3M*X45</f>
        <v>0.88336171472858405</v>
      </c>
      <c r="Y94" s="179">
        <f>k.sdM*Y45</f>
        <v>3.0919154656187372E-5</v>
      </c>
      <c r="Z94" s="179">
        <f>k.sM*Z45</f>
        <v>1.647762298797823E-3</v>
      </c>
      <c r="AA94" s="179">
        <f>k.aA*AA45</f>
        <v>8.8448155799616295E-5</v>
      </c>
      <c r="AB94" s="179">
        <f>k.w2A*AB45</f>
        <v>5.162702045299848E-3</v>
      </c>
      <c r="AC94" s="179">
        <f>k.w3A*AC45</f>
        <v>0.12656970200593634</v>
      </c>
      <c r="AD94" s="179">
        <f>k.sdA*AD45</f>
        <v>4.5431462497211538E-6</v>
      </c>
      <c r="AE94" s="179">
        <f>k.sA*AE45</f>
        <v>3.9198696193092982E-5</v>
      </c>
      <c r="AF94" s="179">
        <f>k.aT*AF45</f>
        <v>9.948020860829404E-4</v>
      </c>
      <c r="AG94" s="179">
        <f>k.w2T*AG45</f>
        <v>8.1465888669734948E-2</v>
      </c>
      <c r="AH94" s="179">
        <f>k.w3T*AH45</f>
        <v>2.6301265118525277</v>
      </c>
      <c r="AI94" s="179">
        <f>k.sdT*AI45</f>
        <v>9.1232411594310389E-5</v>
      </c>
      <c r="AJ94" s="374">
        <f>k.sT*AJ45</f>
        <v>7.5359907642360598E-5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2.4980018054066022E-16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5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6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1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2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2636.3033681827396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172.86503708303562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102131.92593282167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27.503541470729541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701340.30750360247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1066741.0830317119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2454691.0762626086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2.3961775822995107E-2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3.7745130223957403E-2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3.7745130223957403E-2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3.774513022395741E-2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6.1592035833637766E-2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101.74743400000001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8.6200000000000082E-2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968.80747676831311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63.525670990330411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37529.280771309815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10.106419913586128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257713.70779644593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391983.45913618652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901997.97728756082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7.3015816211560352E-6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7.5762195809660557E-10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9.067902748247685E-4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5.1014161146116597E-4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5.1014161146116597E-4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5.1014161146116597E-4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4.4823840970375394E-4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0.83521115098201426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0.13396161315396571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0.13396161315396571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2.4520700749658307E-2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9.3209725175231531E-2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0.48985838853883401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0.48985838853883401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0.48985838853883401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0.55176159029624605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1</v>
      </c>
      <c r="C328" s="209" t="s">
        <v>36</v>
      </c>
    </row>
    <row r="329" spans="1:3" ht="15" customHeight="1" x14ac:dyDescent="0.2">
      <c r="A329" s="394" t="s">
        <v>621</v>
      </c>
      <c r="B329" s="395">
        <f>IF(ChemClass="Acid",1/(1+10^(pH.cldw-pKa)),IF(ChemClass="Base",1/(1+10^(pKa-pH.cldw)),1))</f>
        <v>1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1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1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1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1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1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1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1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1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1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1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0.9201864135229435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0.9201864135229435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0.9201864135229435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0.9201864135229435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0.9201864135229435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0.9201864135229435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0.92018641352815067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0.9201864135229435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0.92018641349526231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7.9813586471219486E-2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7.9813586471219486E-2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7.9813586471219486E-2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7.9813586471219486E-2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7.9813586471219486E-2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7.9813586471219486E-2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7.9813586471671139E-2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7.9813586471219486E-2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7.9813586468818545E-2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0.99998335721193932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0.99998335721193932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0.99987192445401252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0.99987192445401252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0.99994877197396703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0.99994877197396703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0.99994877197396703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0.99994877197396703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0.99994877197396703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0.99994877197396703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0.99994877197396703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0.99994877197396703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1660214827.7572939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9206150633.051897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483006758.11739886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1073348351.3719972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178891391.89533284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16534636.452474471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181881000.97721913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7045634263.0738325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19904551501.450737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73589795314.154327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31671234.107960731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70380520.239912719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11730086.706652122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1084192.5773822349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11926118.351204583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1897348.8688493434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22106496208.851734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190737548818.55286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111116.82001753326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2.4628381466129294E-7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1.5457777937268982E-6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1.5457777937268982E-6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1.5457777937268982E-6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1.9350341756746508E-6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3.0534021961477695E-9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5.630589891862921E-8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3.0534021961477695E-9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5.630589891862921E-8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2.8467460868656887E-9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2.5622237697785843E-8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2.8467460868656887E-9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2.562223769778584E-8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3.0534021961477699E-9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5.630589891862921E-8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3.0534021961477699E-9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5.630589891862921E-8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7.1743887320962765E-10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2.0124792019013467E-8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3.1416462888881059E-9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3.1627861501187856E-9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1.1807512270678802E-9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3.1407512270678803E-9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6.031418563876915E-11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2.7040182804920299E-10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6.6057407793175462E-10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3.0534021961477695E-9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5.630589891862921E-8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7.2888726843209808E-9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1.0454737478179092E-7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2.1524330272611406E-10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2.1524330272611406E-10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2.1521931717207951E-10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2.1521931717207951E-10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4.6843424434504381E-11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2.1523585836137233E-10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2.1523585836137233E-10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2.1523585836137233E-10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5.2997284914620253E-10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4.6843424434504381E-11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2.1523585836137233E-10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5.2997284914620253E-10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38396810905.829605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38396810905.829605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38396810905.829605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38396810905.829605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38396810905.829605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448027901279.52948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13673504046.092884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13673504046.092884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13673504046.092884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2222037668.1614351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2.2320038487426459E-12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7.3134142984054159E-11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7.3134142984054159E-11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7.3134142984054159E-11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4.5003737530130299E-10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2.4591748877946477E-7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1.54541146784507E-6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1.54541146784507E-6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1.54541146784507E-6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1.9346678497928229E-6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2.6741789373454676E-9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2.6741789373454676E-9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2.6741789373454676E-9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2.6741789373454676E-9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2.6741789373454676E-9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2.6741789373454676E-9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5.8200199506518189E-10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2.6741789373454681E-10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2.6741789373454681E-10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2.6741789373454681E-10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2.6741789373454681E-10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5.8200199506518201E-11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2.6741789373454681E-10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6.5846009179950362E-10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2.6741789373454676E-9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6.5846009179950347E-9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2.1524330272611406E-10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2.1524330272611406E-10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2.1521931717207951E-10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2.1521931717207951E-10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4.6843424434504381E-11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2.1523585836137233E-10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2.1523585836137233E-10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2.1523585836137233E-10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5.2997284914620253E-10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4.6843424434504381E-11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2.1523585836137233E-10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5.2997284914620253E-10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12.8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12.8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12.8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12.8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12.8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12.8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1.5372260191227125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1.5372260191227125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1.5372260191227125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1.5372260191227125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1.5372260191227125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1.5372260191227125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1.5372260191227125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3.8430650478067814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3.8430650478067814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3.8430650478067814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3.8430650478067814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3.8430650478067814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3.8430650478067814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3.8430650478067814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1.5372260191227125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1.5372260191227125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7.6861300956135628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7.6861300956135628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7.6861300956135628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7.6861300956135628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7.6861300956135628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7.6861300956135628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7.6861300956135628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7.6861300956135628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7.6861300956135628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7.6861300956135628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7.6861300956135628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7.6861300956135628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2.5058390286986958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2.5058390286986958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2.5058390286986958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2.5058390286986958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2.5058390286986958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2.5058390286986958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2.7215325239033903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2.7215325239033903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2.7215325239033903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2.7215325239033903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2.7215325239033903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2.7215325239033903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2.7215325239033903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2.5058390286845156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2.5058390286986958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2.5058390287740764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17.845806660256134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1.1701673135699697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72.184976698028123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4.7332408039004328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6.609558022317084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0.43339530132221105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115.1213464227789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735.41989171849912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1346.9197530983733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5.8200199506518189E-11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2.6741789373454676E-10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2.6741789373454676E-10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2.6741789373454676E-10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6.5846009179950351E-10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3.8732601668996416E-3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3.8732601668996416E-3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3.8732601668996416E-3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3.8732601668996416E-3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3.8732601668996416E-3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4.6776192822663505E-6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4.6776192822663505E-6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4.6776192822663505E-6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4.6776192822663505E-6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4.6776192822663505E-6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5.411935583937301E-8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2.735181206242361E-6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2.735181206242361E-6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2.735181206242361E-6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2.115645602555191E-5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2.6195185185185192E-10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2.031518518518519E-10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2649.690288267946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173.74283076371958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10717.802526773978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702.7769844699493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981.36677343257213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64.349196579155389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17106.073216161451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109192.8755019698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199946.85427017516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319.74942576391277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20.966288253866367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4129.0929138772444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1.1119410229081219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28354.496084157079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43127.288618694976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99240.736294549773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3.656863691349959E-2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2.3978419374723454E-3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0.14791744938929716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9.699094452674719E-3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1.3543939597592435E-2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8.880896064712389E-4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2.0160622515919567E-2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1.5069816406289023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9.1437210945222809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2.4685222700358105E-3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1.6186346340109852E-4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2.7150719103344961E-2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1.7802996882965248E-3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0.2204395621227965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1.05183465072805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10.986136061175941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2.8325303446914051E-4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155.56470400879081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customXml/itemProps3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2024-07-24T12:06:41Z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