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ivmnl-my.sharepoint.com/personal/joris_quik_rivm_nl/Documents/Git projects/SimpleBox_dev/SBooScripts/vignettes/Development/Quality control/SBExcel/"/>
    </mc:Choice>
  </mc:AlternateContent>
  <xr:revisionPtr revIDLastSave="3" documentId="8_{E8AFE5A9-18A6-4D25-9F7A-A2AD639C7EDA}" xr6:coauthVersionLast="47" xr6:coauthVersionMax="47" xr10:uidLastSave="{42378C2B-6128-4A2C-8CDA-E93BFABA5250}"/>
  <bookViews>
    <workbookView xWindow="-5610" yWindow="-21720" windowWidth="38640" windowHeight="21240" tabRatio="704" activeTab="8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46" i="7" l="1"/>
  <c r="K145" i="7"/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497" i="22" s="1"/>
  <c r="K52" i="6"/>
  <c r="B881" i="22"/>
  <c r="L203" i="8"/>
  <c r="K60" i="7" l="1"/>
  <c r="L60" i="7" s="1"/>
  <c r="K58" i="7" s="1"/>
  <c r="L58" i="7" s="1"/>
  <c r="P12" i="11" s="1"/>
  <c r="K50" i="6"/>
  <c r="L50" i="6" s="1"/>
  <c r="F12" i="11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80" i="22" s="1"/>
  <c r="B506" i="22"/>
  <c r="B885" i="22"/>
  <c r="L52" i="6"/>
  <c r="L306" i="8"/>
  <c r="K169" i="8"/>
  <c r="B408" i="22"/>
  <c r="K61" i="7" l="1"/>
  <c r="L61" i="7" s="1"/>
  <c r="B516" i="22"/>
  <c r="B872" i="22"/>
  <c r="K51" i="6"/>
  <c r="L51" i="6" s="1"/>
  <c r="G21" i="1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/>
  <c r="J15" i="3"/>
  <c r="L15" i="3"/>
  <c r="L80" i="3"/>
  <c r="D5" i="11"/>
  <c r="D91" i="11"/>
  <c r="L82" i="3"/>
  <c r="F5" i="11"/>
  <c r="F91" i="11"/>
  <c r="L83" i="3"/>
  <c r="G5" i="11"/>
  <c r="G91" i="11"/>
  <c r="L84" i="3"/>
  <c r="J5" i="11"/>
  <c r="J91" i="11"/>
  <c r="L85" i="3"/>
  <c r="K5" i="11"/>
  <c r="K91" i="11"/>
  <c r="L86" i="3"/>
  <c r="L5" i="11"/>
  <c r="L91" i="11"/>
  <c r="L88" i="3"/>
  <c r="M5" i="11"/>
  <c r="M91" i="11"/>
  <c r="L90" i="3"/>
  <c r="O5" i="11"/>
  <c r="O91" i="11"/>
  <c r="L91" i="3"/>
  <c r="P5" i="11"/>
  <c r="P91" i="11"/>
  <c r="L92" i="3"/>
  <c r="S5" i="11"/>
  <c r="S91" i="11"/>
  <c r="L93" i="3"/>
  <c r="T5" i="11"/>
  <c r="T91" i="11"/>
  <c r="L94" i="3"/>
  <c r="U5" i="11"/>
  <c r="U91" i="11"/>
  <c r="L96" i="3"/>
  <c r="V5" i="11"/>
  <c r="V91" i="11"/>
  <c r="L97" i="3"/>
  <c r="W5" i="11"/>
  <c r="W91" i="11"/>
  <c r="L98" i="3"/>
  <c r="Z5" i="11"/>
  <c r="Z91" i="11"/>
  <c r="L100" i="3"/>
  <c r="AA5" i="11"/>
  <c r="AA91" i="11"/>
  <c r="L101" i="3"/>
  <c r="AB5" i="11"/>
  <c r="AB91" i="11"/>
  <c r="L102" i="3"/>
  <c r="AE5" i="11"/>
  <c r="AE91" i="11"/>
  <c r="L104" i="3"/>
  <c r="AF5" i="11"/>
  <c r="AF91" i="11"/>
  <c r="L105" i="3"/>
  <c r="AG5" i="11"/>
  <c r="AG91" i="11"/>
  <c r="L106" i="3"/>
  <c r="AJ5" i="11"/>
  <c r="AJ91" i="11"/>
  <c r="C91" i="11"/>
  <c r="K136" i="6"/>
  <c r="L136" i="6"/>
  <c r="K137" i="6"/>
  <c r="L137" i="6"/>
  <c r="J19" i="3"/>
  <c r="J14" i="3"/>
  <c r="L14" i="3"/>
  <c r="J35" i="3"/>
  <c r="L35" i="3"/>
  <c r="J37" i="3"/>
  <c r="L37" i="3"/>
  <c r="K42" i="3"/>
  <c r="K19" i="3"/>
  <c r="L19" i="3"/>
  <c r="J39" i="3"/>
  <c r="L39" i="3"/>
  <c r="K36" i="3"/>
  <c r="L36" i="3"/>
  <c r="K63" i="6"/>
  <c r="L63" i="6"/>
  <c r="K25" i="3"/>
  <c r="L25" i="3"/>
  <c r="J66" i="6"/>
  <c r="J17" i="3"/>
  <c r="J20" i="3"/>
  <c r="L20" i="3"/>
  <c r="I42" i="3"/>
  <c r="K17" i="3"/>
  <c r="L17" i="3"/>
  <c r="J42" i="3"/>
  <c r="K18" i="3"/>
  <c r="L18" i="3"/>
  <c r="K67" i="6"/>
  <c r="L67" i="6"/>
  <c r="K21" i="3"/>
  <c r="L21" i="3"/>
  <c r="K23" i="3"/>
  <c r="L23" i="3"/>
  <c r="K70" i="6"/>
  <c r="L70" i="6"/>
  <c r="K66" i="6"/>
  <c r="L66" i="6"/>
  <c r="K133" i="6"/>
  <c r="L133" i="6"/>
  <c r="K114" i="6"/>
  <c r="L114" i="6"/>
  <c r="E9" i="11"/>
  <c r="J60" i="6"/>
  <c r="K24" i="3"/>
  <c r="L24" i="3"/>
  <c r="K64" i="6"/>
  <c r="L64" i="6"/>
  <c r="K65" i="6"/>
  <c r="L65" i="6"/>
  <c r="K60" i="6"/>
  <c r="L60" i="6"/>
  <c r="J66" i="3"/>
  <c r="L66" i="3"/>
  <c r="K197" i="6"/>
  <c r="L197" i="6"/>
  <c r="K187" i="6"/>
  <c r="L187" i="6"/>
  <c r="J108" i="6"/>
  <c r="J126" i="6"/>
  <c r="K61" i="6"/>
  <c r="L61" i="6"/>
  <c r="J62" i="6"/>
  <c r="K62" i="6"/>
  <c r="L62" i="6"/>
  <c r="K126" i="6"/>
  <c r="L126" i="6"/>
  <c r="K131" i="6"/>
  <c r="L131" i="6"/>
  <c r="J75" i="3"/>
  <c r="K75" i="3"/>
  <c r="L75" i="3"/>
  <c r="K209" i="6"/>
  <c r="L209" i="6"/>
  <c r="K142" i="6"/>
  <c r="L142" i="6"/>
  <c r="K30" i="3"/>
  <c r="L30" i="3"/>
  <c r="K29" i="3"/>
  <c r="L29" i="3"/>
  <c r="K93" i="6"/>
  <c r="L93" i="6"/>
  <c r="K90" i="6"/>
  <c r="L90" i="6"/>
  <c r="K132" i="6"/>
  <c r="L132" i="6"/>
  <c r="K122" i="6"/>
  <c r="L122" i="6"/>
  <c r="J127" i="6"/>
  <c r="K127" i="6"/>
  <c r="L127" i="6"/>
  <c r="J128" i="6"/>
  <c r="K128" i="6"/>
  <c r="L128" i="6"/>
  <c r="K123" i="6"/>
  <c r="L123" i="6"/>
  <c r="K121" i="6"/>
  <c r="L121" i="6"/>
  <c r="K120" i="6"/>
  <c r="L120" i="6"/>
  <c r="K108" i="6"/>
  <c r="L108" i="6"/>
  <c r="D10" i="11"/>
  <c r="J109" i="6"/>
  <c r="K109" i="6"/>
  <c r="L109" i="6"/>
  <c r="D11" i="11"/>
  <c r="J110" i="6"/>
  <c r="K110" i="6"/>
  <c r="L110" i="6"/>
  <c r="D12" i="11"/>
  <c r="J111" i="6"/>
  <c r="K111" i="6"/>
  <c r="L111" i="6"/>
  <c r="D15" i="11"/>
  <c r="J112" i="6"/>
  <c r="K112" i="6"/>
  <c r="L112" i="6"/>
  <c r="D16" i="11"/>
  <c r="J113" i="6"/>
  <c r="K113" i="6"/>
  <c r="L113" i="6"/>
  <c r="D17" i="11"/>
  <c r="D9" i="11"/>
  <c r="J72" i="6"/>
  <c r="K73" i="6"/>
  <c r="L73" i="6"/>
  <c r="K76" i="6"/>
  <c r="L76" i="6"/>
  <c r="K72" i="6"/>
  <c r="L72" i="6"/>
  <c r="K134" i="6"/>
  <c r="L134" i="6"/>
  <c r="K115" i="6"/>
  <c r="L115" i="6"/>
  <c r="F9" i="11"/>
  <c r="K27" i="3"/>
  <c r="L27" i="3"/>
  <c r="J78" i="6"/>
  <c r="K79" i="6"/>
  <c r="L79" i="6"/>
  <c r="K82" i="6"/>
  <c r="L82" i="6"/>
  <c r="K78" i="6"/>
  <c r="L78" i="6"/>
  <c r="K135" i="6"/>
  <c r="L135" i="6"/>
  <c r="K116" i="6"/>
  <c r="L116" i="6"/>
  <c r="G9" i="11"/>
  <c r="K138" i="6"/>
  <c r="L138" i="6"/>
  <c r="K117" i="6"/>
  <c r="L117" i="6"/>
  <c r="J9" i="11"/>
  <c r="K32" i="3"/>
  <c r="L32" i="3"/>
  <c r="K31" i="3"/>
  <c r="L31" i="3"/>
  <c r="K98" i="6"/>
  <c r="L98" i="6"/>
  <c r="K95" i="6"/>
  <c r="L95" i="6"/>
  <c r="K139" i="6"/>
  <c r="L139" i="6"/>
  <c r="K118" i="6"/>
  <c r="L118" i="6"/>
  <c r="K9" i="11"/>
  <c r="K34" i="3"/>
  <c r="L34" i="3"/>
  <c r="K33" i="3"/>
  <c r="L33" i="3"/>
  <c r="K103" i="6"/>
  <c r="L103" i="6"/>
  <c r="K100" i="6"/>
  <c r="L100" i="6"/>
  <c r="K140" i="6"/>
  <c r="L140" i="6"/>
  <c r="K119" i="6"/>
  <c r="L119" i="6"/>
  <c r="L9" i="11"/>
  <c r="J70" i="3"/>
  <c r="L70" i="3"/>
  <c r="K200" i="6"/>
  <c r="L200" i="6"/>
  <c r="K188" i="6"/>
  <c r="L188" i="6"/>
  <c r="E10" i="11"/>
  <c r="K172" i="6"/>
  <c r="L172" i="6"/>
  <c r="J10" i="11"/>
  <c r="K173" i="6"/>
  <c r="L173" i="6"/>
  <c r="K10" i="11"/>
  <c r="K174" i="6"/>
  <c r="L174" i="6"/>
  <c r="L10" i="11"/>
  <c r="K201" i="6"/>
  <c r="L201" i="6"/>
  <c r="K189" i="6"/>
  <c r="L189" i="6"/>
  <c r="K151" i="6"/>
  <c r="L151" i="6"/>
  <c r="K162" i="6"/>
  <c r="L162" i="6"/>
  <c r="K147" i="6"/>
  <c r="L147" i="6"/>
  <c r="F13" i="11"/>
  <c r="F11" i="11"/>
  <c r="K26" i="3"/>
  <c r="L26" i="3"/>
  <c r="K85" i="6"/>
  <c r="L85" i="6"/>
  <c r="K84" i="6"/>
  <c r="L84" i="6"/>
  <c r="K163" i="6"/>
  <c r="L163" i="6"/>
  <c r="K149" i="6"/>
  <c r="L149" i="6"/>
  <c r="H11" i="11"/>
  <c r="K169" i="6"/>
  <c r="L169" i="6"/>
  <c r="J11" i="11"/>
  <c r="K170" i="6"/>
  <c r="L170" i="6"/>
  <c r="K11" i="11"/>
  <c r="K171" i="6"/>
  <c r="L171" i="6"/>
  <c r="L11" i="11"/>
  <c r="K202" i="6"/>
  <c r="L202" i="6"/>
  <c r="K190" i="6"/>
  <c r="L190" i="6"/>
  <c r="K153" i="6"/>
  <c r="L153" i="6"/>
  <c r="K164" i="6"/>
  <c r="L164" i="6"/>
  <c r="K148" i="6"/>
  <c r="L148" i="6"/>
  <c r="G14" i="11"/>
  <c r="G12" i="11"/>
  <c r="K28" i="3"/>
  <c r="L28" i="3"/>
  <c r="K88" i="6"/>
  <c r="L88" i="6"/>
  <c r="K87" i="6"/>
  <c r="L87" i="6"/>
  <c r="K165" i="6"/>
  <c r="L165" i="6"/>
  <c r="K150" i="6"/>
  <c r="L150" i="6"/>
  <c r="I12" i="11"/>
  <c r="J74" i="3"/>
  <c r="K74" i="3"/>
  <c r="L74" i="3"/>
  <c r="K207" i="6"/>
  <c r="L207" i="6"/>
  <c r="K191" i="6"/>
  <c r="L191" i="6"/>
  <c r="H13" i="11"/>
  <c r="K208" i="6"/>
  <c r="L208" i="6"/>
  <c r="K192" i="6"/>
  <c r="L192" i="6"/>
  <c r="I14" i="11"/>
  <c r="K193" i="6"/>
  <c r="L193" i="6"/>
  <c r="J15" i="11"/>
  <c r="K210" i="6"/>
  <c r="L210" i="6"/>
  <c r="K194" i="6"/>
  <c r="L194" i="6"/>
  <c r="K16" i="11"/>
  <c r="K211" i="6"/>
  <c r="L211" i="6"/>
  <c r="K195" i="6"/>
  <c r="L195" i="6"/>
  <c r="L17" i="11"/>
  <c r="J66" i="7"/>
  <c r="K69" i="7"/>
  <c r="L69" i="7"/>
  <c r="K70" i="7"/>
  <c r="L70" i="7"/>
  <c r="K71" i="7"/>
  <c r="L71" i="7"/>
  <c r="K66" i="7"/>
  <c r="L66" i="7"/>
  <c r="K203" i="7"/>
  <c r="L203" i="7"/>
  <c r="K193" i="7"/>
  <c r="L193" i="7"/>
  <c r="J114" i="7"/>
  <c r="J132" i="7"/>
  <c r="K67" i="7"/>
  <c r="L67" i="7"/>
  <c r="J68" i="7"/>
  <c r="K68" i="7"/>
  <c r="L68" i="7"/>
  <c r="K132" i="7"/>
  <c r="L132" i="7"/>
  <c r="K142" i="7"/>
  <c r="L142" i="7"/>
  <c r="K143" i="7"/>
  <c r="L143" i="7"/>
  <c r="K137" i="7"/>
  <c r="L137" i="7"/>
  <c r="K215" i="7"/>
  <c r="L215" i="7"/>
  <c r="K148" i="7"/>
  <c r="L148" i="7"/>
  <c r="K99" i="7"/>
  <c r="L99" i="7"/>
  <c r="K96" i="7"/>
  <c r="L96" i="7"/>
  <c r="K138" i="7"/>
  <c r="L138" i="7"/>
  <c r="K128" i="7"/>
  <c r="L128" i="7"/>
  <c r="J133" i="7"/>
  <c r="K133" i="7"/>
  <c r="L133" i="7"/>
  <c r="J134" i="7"/>
  <c r="K134" i="7"/>
  <c r="L134" i="7"/>
  <c r="K129" i="7"/>
  <c r="L129" i="7"/>
  <c r="K127" i="7"/>
  <c r="L127" i="7"/>
  <c r="K126" i="7"/>
  <c r="L126" i="7"/>
  <c r="K114" i="7"/>
  <c r="L114" i="7"/>
  <c r="M19" i="11"/>
  <c r="J115" i="7"/>
  <c r="K115" i="7"/>
  <c r="L115" i="7"/>
  <c r="M20" i="11"/>
  <c r="J116" i="7"/>
  <c r="K116" i="7"/>
  <c r="L116" i="7"/>
  <c r="M21" i="11"/>
  <c r="J117" i="7"/>
  <c r="K117" i="7"/>
  <c r="L117" i="7"/>
  <c r="M24" i="11"/>
  <c r="J118" i="7"/>
  <c r="K118" i="7"/>
  <c r="L118" i="7"/>
  <c r="M25" i="11"/>
  <c r="J119" i="7"/>
  <c r="K119" i="7"/>
  <c r="L119" i="7"/>
  <c r="M26" i="11"/>
  <c r="M18" i="11"/>
  <c r="J72" i="7"/>
  <c r="K73" i="7"/>
  <c r="L73" i="7"/>
  <c r="K76" i="7"/>
  <c r="L76" i="7"/>
  <c r="K72" i="7"/>
  <c r="L72" i="7"/>
  <c r="K139" i="7"/>
  <c r="L139" i="7"/>
  <c r="K120" i="7"/>
  <c r="L120" i="7"/>
  <c r="N18" i="11"/>
  <c r="J78" i="7"/>
  <c r="K79" i="7"/>
  <c r="L79" i="7"/>
  <c r="K82" i="7"/>
  <c r="L82" i="7"/>
  <c r="K78" i="7"/>
  <c r="L78" i="7"/>
  <c r="K140" i="7"/>
  <c r="L140" i="7"/>
  <c r="K121" i="7"/>
  <c r="L121" i="7"/>
  <c r="O18" i="11"/>
  <c r="J84" i="7"/>
  <c r="K85" i="7"/>
  <c r="L85" i="7"/>
  <c r="K88" i="7"/>
  <c r="L88" i="7"/>
  <c r="K84" i="7"/>
  <c r="L84" i="7"/>
  <c r="K141" i="7"/>
  <c r="L141" i="7"/>
  <c r="K122" i="7"/>
  <c r="L122" i="7"/>
  <c r="P18" i="11"/>
  <c r="K144" i="7"/>
  <c r="L144" i="7"/>
  <c r="K123" i="7"/>
  <c r="L123" i="7"/>
  <c r="S18" i="11"/>
  <c r="L145" i="7"/>
  <c r="K124" i="7"/>
  <c r="L124" i="7" s="1"/>
  <c r="T18" i="11" s="1"/>
  <c r="L146" i="7"/>
  <c r="K125" i="7"/>
  <c r="L125" i="7"/>
  <c r="U18" i="11" s="1"/>
  <c r="U26" i="11" s="1"/>
  <c r="K206" i="7"/>
  <c r="L206" i="7"/>
  <c r="K194" i="7"/>
  <c r="L194" i="7"/>
  <c r="N19" i="11"/>
  <c r="K178" i="7"/>
  <c r="L178" i="7"/>
  <c r="S19" i="11"/>
  <c r="K104" i="7"/>
  <c r="L104" i="7"/>
  <c r="K101" i="7"/>
  <c r="L101" i="7"/>
  <c r="K179" i="7"/>
  <c r="L179" i="7"/>
  <c r="T19" i="11"/>
  <c r="K109" i="7"/>
  <c r="L109" i="7"/>
  <c r="K106" i="7"/>
  <c r="L106" i="7"/>
  <c r="K180" i="7"/>
  <c r="L180" i="7"/>
  <c r="U19" i="11"/>
  <c r="K207" i="7"/>
  <c r="L207" i="7"/>
  <c r="K195" i="7"/>
  <c r="L195" i="7"/>
  <c r="K157" i="7"/>
  <c r="L157" i="7"/>
  <c r="K168" i="7"/>
  <c r="L168" i="7"/>
  <c r="K153" i="7"/>
  <c r="L153" i="7"/>
  <c r="O22" i="11"/>
  <c r="O20" i="11"/>
  <c r="K91" i="7"/>
  <c r="L91" i="7"/>
  <c r="K90" i="7"/>
  <c r="L90" i="7"/>
  <c r="K169" i="7"/>
  <c r="L169" i="7"/>
  <c r="K155" i="7"/>
  <c r="L155" i="7"/>
  <c r="Q20" i="11"/>
  <c r="K175" i="7"/>
  <c r="L175" i="7"/>
  <c r="S20" i="11"/>
  <c r="K176" i="7"/>
  <c r="L176" i="7"/>
  <c r="T20" i="11"/>
  <c r="K177" i="7"/>
  <c r="L177" i="7"/>
  <c r="U20" i="11"/>
  <c r="K208" i="7"/>
  <c r="L208" i="7"/>
  <c r="K196" i="7"/>
  <c r="L196" i="7"/>
  <c r="K159" i="7"/>
  <c r="L159" i="7"/>
  <c r="K170" i="7"/>
  <c r="L170" i="7"/>
  <c r="K154" i="7"/>
  <c r="L154" i="7"/>
  <c r="P23" i="11"/>
  <c r="P21" i="11"/>
  <c r="K94" i="7"/>
  <c r="L94" i="7"/>
  <c r="K93" i="7"/>
  <c r="L93" i="7"/>
  <c r="K171" i="7"/>
  <c r="L171" i="7"/>
  <c r="K156" i="7"/>
  <c r="L156" i="7"/>
  <c r="R21" i="11"/>
  <c r="K213" i="7"/>
  <c r="L213" i="7"/>
  <c r="K197" i="7"/>
  <c r="L197" i="7"/>
  <c r="Q22" i="11"/>
  <c r="K214" i="7"/>
  <c r="L214" i="7"/>
  <c r="K198" i="7"/>
  <c r="L198" i="7"/>
  <c r="R23" i="11"/>
  <c r="K199" i="7"/>
  <c r="L199" i="7"/>
  <c r="S24" i="11"/>
  <c r="K216" i="7"/>
  <c r="L216" i="7"/>
  <c r="K200" i="7"/>
  <c r="L200" i="7"/>
  <c r="K217" i="7"/>
  <c r="L217" i="7"/>
  <c r="K201" i="7"/>
  <c r="L201" i="7"/>
  <c r="J46" i="8"/>
  <c r="K49" i="8"/>
  <c r="L49" i="8"/>
  <c r="K51" i="8"/>
  <c r="L51" i="8"/>
  <c r="K52" i="8"/>
  <c r="L52" i="8"/>
  <c r="K46" i="8"/>
  <c r="L46" i="8"/>
  <c r="K129" i="8"/>
  <c r="L129" i="8"/>
  <c r="K123" i="8"/>
  <c r="L123" i="8"/>
  <c r="J76" i="8"/>
  <c r="J86" i="8"/>
  <c r="K47" i="8"/>
  <c r="L47" i="8"/>
  <c r="J48" i="8"/>
  <c r="K48" i="8"/>
  <c r="L48" i="8"/>
  <c r="K86" i="8"/>
  <c r="L86" i="8"/>
  <c r="K96" i="8"/>
  <c r="L96" i="8"/>
  <c r="K97" i="8"/>
  <c r="L97" i="8"/>
  <c r="K92" i="8"/>
  <c r="L92" i="8"/>
  <c r="K138" i="8"/>
  <c r="L138" i="8"/>
  <c r="K100" i="8"/>
  <c r="L100" i="8"/>
  <c r="K71" i="8"/>
  <c r="L71" i="8"/>
  <c r="K68" i="8"/>
  <c r="L68" i="8"/>
  <c r="K93" i="8"/>
  <c r="L93" i="8"/>
  <c r="K82" i="8"/>
  <c r="L82" i="8"/>
  <c r="J87" i="8"/>
  <c r="K87" i="8"/>
  <c r="L87" i="8"/>
  <c r="J88" i="8"/>
  <c r="K88" i="8"/>
  <c r="L88" i="8"/>
  <c r="K83" i="8"/>
  <c r="L83" i="8"/>
  <c r="K81" i="8"/>
  <c r="L81" i="8"/>
  <c r="K80" i="8"/>
  <c r="L80" i="8"/>
  <c r="K76" i="8"/>
  <c r="L76" i="8"/>
  <c r="V28" i="11"/>
  <c r="J77" i="8"/>
  <c r="K77" i="8"/>
  <c r="L77" i="8"/>
  <c r="V31" i="11"/>
  <c r="V27" i="11"/>
  <c r="J53" i="8"/>
  <c r="K55" i="8"/>
  <c r="L55" i="8"/>
  <c r="K61" i="8"/>
  <c r="L61" i="8"/>
  <c r="K53" i="8"/>
  <c r="L53" i="8"/>
  <c r="K94" i="8"/>
  <c r="L94" i="8"/>
  <c r="K78" i="8"/>
  <c r="L78" i="8"/>
  <c r="W27" i="11"/>
  <c r="K95" i="8"/>
  <c r="L95" i="8"/>
  <c r="K79" i="8"/>
  <c r="L79" i="8"/>
  <c r="Z27" i="11"/>
  <c r="K132" i="8"/>
  <c r="L132" i="8"/>
  <c r="K124" i="8"/>
  <c r="L124" i="8"/>
  <c r="W28" i="11"/>
  <c r="K116" i="8"/>
  <c r="L116" i="8"/>
  <c r="Z28" i="11"/>
  <c r="J54" i="8"/>
  <c r="K56" i="8"/>
  <c r="L56" i="8"/>
  <c r="K62" i="8"/>
  <c r="L62" i="8"/>
  <c r="K54" i="8"/>
  <c r="L54" i="8"/>
  <c r="K133" i="8"/>
  <c r="L133" i="8"/>
  <c r="K125" i="8"/>
  <c r="L125" i="8"/>
  <c r="K105" i="8"/>
  <c r="L105" i="8"/>
  <c r="K111" i="8"/>
  <c r="L111" i="8"/>
  <c r="K103" i="8"/>
  <c r="L103" i="8"/>
  <c r="X30" i="11"/>
  <c r="X29" i="11"/>
  <c r="K66" i="8"/>
  <c r="L66" i="8"/>
  <c r="K65" i="8"/>
  <c r="L65" i="8"/>
  <c r="K112" i="8"/>
  <c r="L112" i="8"/>
  <c r="K104" i="8"/>
  <c r="L104" i="8"/>
  <c r="Y29" i="11"/>
  <c r="K137" i="8"/>
  <c r="L137" i="8"/>
  <c r="K126" i="8"/>
  <c r="L126" i="8"/>
  <c r="Y30" i="11"/>
  <c r="K127" i="8"/>
  <c r="L127" i="8"/>
  <c r="Z31" i="11"/>
  <c r="J182" i="8"/>
  <c r="K185" i="8"/>
  <c r="L185" i="8"/>
  <c r="K187" i="8"/>
  <c r="L187" i="8"/>
  <c r="K188" i="8"/>
  <c r="L188" i="8"/>
  <c r="K182" i="8"/>
  <c r="L182" i="8"/>
  <c r="K265" i="8"/>
  <c r="L265" i="8"/>
  <c r="K259" i="8"/>
  <c r="L259" i="8"/>
  <c r="J212" i="8"/>
  <c r="J222" i="8"/>
  <c r="K183" i="8"/>
  <c r="L183" i="8"/>
  <c r="J184" i="8"/>
  <c r="K184" i="8"/>
  <c r="L184" i="8"/>
  <c r="K222" i="8"/>
  <c r="L222" i="8"/>
  <c r="K232" i="8"/>
  <c r="L232" i="8"/>
  <c r="K233" i="8"/>
  <c r="L233" i="8"/>
  <c r="K228" i="8"/>
  <c r="L228" i="8"/>
  <c r="K274" i="8"/>
  <c r="L274" i="8"/>
  <c r="K236" i="8"/>
  <c r="L236" i="8"/>
  <c r="K207" i="8"/>
  <c r="L207" i="8"/>
  <c r="K204" i="8"/>
  <c r="L204" i="8"/>
  <c r="K229" i="8"/>
  <c r="L229" i="8"/>
  <c r="K218" i="8"/>
  <c r="L218" i="8"/>
  <c r="J223" i="8"/>
  <c r="K223" i="8"/>
  <c r="L223" i="8"/>
  <c r="J224" i="8"/>
  <c r="K224" i="8"/>
  <c r="L224" i="8"/>
  <c r="K219" i="8"/>
  <c r="L219" i="8"/>
  <c r="K217" i="8"/>
  <c r="L217" i="8"/>
  <c r="K216" i="8"/>
  <c r="L216" i="8"/>
  <c r="K212" i="8"/>
  <c r="L212" i="8"/>
  <c r="AA33" i="11"/>
  <c r="J213" i="8"/>
  <c r="K213" i="8"/>
  <c r="L213" i="8"/>
  <c r="AA36" i="11"/>
  <c r="AA32" i="11"/>
  <c r="J189" i="8"/>
  <c r="K191" i="8"/>
  <c r="L191" i="8"/>
  <c r="K197" i="8"/>
  <c r="L197" i="8"/>
  <c r="K189" i="8"/>
  <c r="L189" i="8"/>
  <c r="K230" i="8"/>
  <c r="L230" i="8"/>
  <c r="K214" i="8"/>
  <c r="L214" i="8"/>
  <c r="AB32" i="11"/>
  <c r="K231" i="8"/>
  <c r="L231" i="8"/>
  <c r="K215" i="8"/>
  <c r="L215" i="8"/>
  <c r="AE32" i="11"/>
  <c r="K268" i="8"/>
  <c r="L268" i="8"/>
  <c r="K260" i="8"/>
  <c r="L260" i="8"/>
  <c r="AB33" i="11"/>
  <c r="K252" i="8"/>
  <c r="L252" i="8"/>
  <c r="AE33" i="11"/>
  <c r="J190" i="8"/>
  <c r="K192" i="8"/>
  <c r="L192" i="8"/>
  <c r="K198" i="8"/>
  <c r="L198" i="8"/>
  <c r="K190" i="8"/>
  <c r="L190" i="8"/>
  <c r="K269" i="8"/>
  <c r="L269" i="8"/>
  <c r="K261" i="8"/>
  <c r="L261" i="8"/>
  <c r="K241" i="8"/>
  <c r="L241" i="8"/>
  <c r="K247" i="8"/>
  <c r="L247" i="8"/>
  <c r="K239" i="8"/>
  <c r="L239" i="8"/>
  <c r="AC35" i="11"/>
  <c r="AC34" i="11"/>
  <c r="K202" i="8"/>
  <c r="L202" i="8"/>
  <c r="K201" i="8"/>
  <c r="L201" i="8"/>
  <c r="K248" i="8"/>
  <c r="L248" i="8"/>
  <c r="K240" i="8"/>
  <c r="L240" i="8"/>
  <c r="AD34" i="11"/>
  <c r="K273" i="8"/>
  <c r="L273" i="8"/>
  <c r="K262" i="8"/>
  <c r="L262" i="8"/>
  <c r="AD35" i="11"/>
  <c r="K263" i="8"/>
  <c r="L263" i="8"/>
  <c r="AE36" i="11"/>
  <c r="J318" i="8"/>
  <c r="K321" i="8"/>
  <c r="L321" i="8"/>
  <c r="K323" i="8"/>
  <c r="L323" i="8"/>
  <c r="K324" i="8"/>
  <c r="L324" i="8"/>
  <c r="K318" i="8"/>
  <c r="L318" i="8"/>
  <c r="K401" i="8"/>
  <c r="L401" i="8"/>
  <c r="K395" i="8"/>
  <c r="L395" i="8"/>
  <c r="J348" i="8"/>
  <c r="J358" i="8"/>
  <c r="K319" i="8"/>
  <c r="L319" i="8"/>
  <c r="J320" i="8"/>
  <c r="K320" i="8"/>
  <c r="L320" i="8"/>
  <c r="K358" i="8"/>
  <c r="L358" i="8"/>
  <c r="K368" i="8"/>
  <c r="L368" i="8"/>
  <c r="K369" i="8"/>
  <c r="L369" i="8"/>
  <c r="K364" i="8"/>
  <c r="L364" i="8"/>
  <c r="K410" i="8"/>
  <c r="L410" i="8"/>
  <c r="K372" i="8"/>
  <c r="L372" i="8"/>
  <c r="K343" i="8"/>
  <c r="L343" i="8"/>
  <c r="K340" i="8"/>
  <c r="L340" i="8"/>
  <c r="K365" i="8"/>
  <c r="L365" i="8"/>
  <c r="K354" i="8"/>
  <c r="L354" i="8"/>
  <c r="J359" i="8"/>
  <c r="K359" i="8"/>
  <c r="L359" i="8"/>
  <c r="J360" i="8"/>
  <c r="K360" i="8"/>
  <c r="L360" i="8"/>
  <c r="K355" i="8"/>
  <c r="L355" i="8"/>
  <c r="K353" i="8"/>
  <c r="L353" i="8"/>
  <c r="K352" i="8"/>
  <c r="L352" i="8"/>
  <c r="K348" i="8"/>
  <c r="L348" i="8"/>
  <c r="AF38" i="11"/>
  <c r="J349" i="8"/>
  <c r="K349" i="8"/>
  <c r="L349" i="8"/>
  <c r="AF41" i="11"/>
  <c r="AF37" i="11"/>
  <c r="J325" i="8"/>
  <c r="K327" i="8"/>
  <c r="L327" i="8"/>
  <c r="K333" i="8"/>
  <c r="L333" i="8"/>
  <c r="K325" i="8"/>
  <c r="L325" i="8"/>
  <c r="K366" i="8"/>
  <c r="L366" i="8"/>
  <c r="K350" i="8"/>
  <c r="L350" i="8"/>
  <c r="AG37" i="11"/>
  <c r="K367" i="8"/>
  <c r="L367" i="8"/>
  <c r="K351" i="8"/>
  <c r="L351" i="8"/>
  <c r="AJ37" i="11"/>
  <c r="K404" i="8"/>
  <c r="L404" i="8"/>
  <c r="K396" i="8"/>
  <c r="L396" i="8"/>
  <c r="AG38" i="11"/>
  <c r="K388" i="8"/>
  <c r="L388" i="8"/>
  <c r="AJ38" i="11"/>
  <c r="J326" i="8"/>
  <c r="K328" i="8"/>
  <c r="L328" i="8"/>
  <c r="K334" i="8"/>
  <c r="L334" i="8"/>
  <c r="K326" i="8"/>
  <c r="L326" i="8"/>
  <c r="K405" i="8"/>
  <c r="L405" i="8"/>
  <c r="K397" i="8"/>
  <c r="L397" i="8"/>
  <c r="K377" i="8"/>
  <c r="L377" i="8"/>
  <c r="K383" i="8"/>
  <c r="L383" i="8"/>
  <c r="K375" i="8"/>
  <c r="L375" i="8"/>
  <c r="AH40" i="11"/>
  <c r="AH39" i="11"/>
  <c r="K338" i="8"/>
  <c r="L338" i="8"/>
  <c r="K337" i="8"/>
  <c r="L337" i="8"/>
  <c r="K384" i="8"/>
  <c r="L384" i="8"/>
  <c r="K376" i="8"/>
  <c r="L376" i="8"/>
  <c r="AI39" i="11"/>
  <c r="K409" i="8"/>
  <c r="L409" i="8"/>
  <c r="K398" i="8"/>
  <c r="L398" i="8"/>
  <c r="AI40" i="11"/>
  <c r="K399" i="8"/>
  <c r="L399" i="8"/>
  <c r="AJ41" i="11"/>
  <c r="AC12" i="23"/>
  <c r="L81" i="3"/>
  <c r="AC13" i="23"/>
  <c r="AC14" i="23"/>
  <c r="AC15" i="23"/>
  <c r="AC18" i="23"/>
  <c r="AC19" i="23"/>
  <c r="AC20" i="23"/>
  <c r="AC22" i="23"/>
  <c r="L89" i="3"/>
  <c r="AC23" i="23"/>
  <c r="AC24" i="23"/>
  <c r="AC25" i="23"/>
  <c r="AC28" i="23"/>
  <c r="AC29" i="23"/>
  <c r="AC30" i="23"/>
  <c r="AC32" i="23"/>
  <c r="AC33" i="23"/>
  <c r="AC36" i="23"/>
  <c r="AC38" i="23"/>
  <c r="AC39" i="23"/>
  <c r="AC42" i="23"/>
  <c r="AC44" i="23"/>
  <c r="AC45" i="23"/>
  <c r="AC48" i="23"/>
  <c r="K205" i="8"/>
  <c r="L205" i="8"/>
  <c r="AS92" i="23"/>
  <c r="K70" i="8"/>
  <c r="L70" i="8"/>
  <c r="K342" i="8"/>
  <c r="L342" i="8"/>
  <c r="K108" i="7"/>
  <c r="L108" i="7"/>
  <c r="K102" i="7"/>
  <c r="L102" i="7"/>
  <c r="K98" i="7"/>
  <c r="L98" i="7"/>
  <c r="AS93" i="23"/>
  <c r="K97" i="7"/>
  <c r="L97" i="7"/>
  <c r="K102" i="6"/>
  <c r="L102" i="6"/>
  <c r="AS28" i="23"/>
  <c r="AT138" i="23"/>
  <c r="K103" i="7"/>
  <c r="L103" i="7"/>
  <c r="K96" i="6"/>
  <c r="L96" i="6"/>
  <c r="K91" i="6"/>
  <c r="L91" i="6"/>
  <c r="K92" i="6"/>
  <c r="L92" i="6"/>
  <c r="K97" i="6"/>
  <c r="L97" i="6"/>
  <c r="K341" i="8"/>
  <c r="L341" i="8"/>
  <c r="K69" i="8"/>
  <c r="L69" i="8"/>
  <c r="K101" i="6"/>
  <c r="L101" i="6"/>
  <c r="K206" i="8"/>
  <c r="L206" i="8"/>
  <c r="B571" i="22"/>
  <c r="K107" i="7"/>
  <c r="L107" i="7"/>
  <c r="AS30" i="23"/>
  <c r="BF149" i="23"/>
  <c r="AS94" i="23"/>
  <c r="B575" i="22"/>
  <c r="AT149" i="23"/>
  <c r="AZ149" i="23"/>
  <c r="B661" i="22"/>
  <c r="B659" i="22"/>
  <c r="O817" i="18"/>
  <c r="P816" i="18"/>
  <c r="P817" i="18"/>
  <c r="L817" i="18"/>
  <c r="M816" i="18"/>
  <c r="L816" i="18"/>
  <c r="O816" i="18"/>
  <c r="N816" i="18"/>
  <c r="M817" i="18"/>
  <c r="N817" i="18"/>
  <c r="B593" i="22"/>
  <c r="B660" i="22"/>
  <c r="N495" i="18"/>
  <c r="P494" i="18"/>
  <c r="P498" i="18"/>
  <c r="L496" i="18"/>
  <c r="O497" i="18"/>
  <c r="P497" i="18"/>
  <c r="P495" i="18"/>
  <c r="N497" i="18"/>
  <c r="M498" i="18"/>
  <c r="P496" i="18"/>
  <c r="O495" i="18"/>
  <c r="N496" i="18"/>
  <c r="M496" i="18"/>
  <c r="N494" i="18"/>
  <c r="M494" i="18"/>
  <c r="M495" i="18"/>
  <c r="M497" i="18"/>
  <c r="N493" i="18"/>
  <c r="P493" i="18"/>
  <c r="O496" i="18"/>
  <c r="L498" i="18"/>
  <c r="O494" i="18"/>
  <c r="L493" i="18"/>
  <c r="O498" i="18"/>
  <c r="L494" i="18"/>
  <c r="O493" i="18"/>
  <c r="B594" i="22"/>
  <c r="L495" i="18"/>
  <c r="L497" i="18"/>
  <c r="N498" i="18"/>
  <c r="M493" i="18"/>
  <c r="B662" i="22"/>
  <c r="B589" i="22"/>
  <c r="B588" i="22"/>
  <c r="L681" i="18"/>
  <c r="P681" i="18"/>
  <c r="N680" i="18"/>
  <c r="N681" i="18"/>
  <c r="O680" i="18"/>
  <c r="O681" i="18"/>
  <c r="M680" i="18"/>
  <c r="L680" i="18"/>
  <c r="P680" i="18"/>
  <c r="M681" i="18"/>
  <c r="B595" i="22"/>
  <c r="B663" i="22"/>
  <c r="B590" i="22"/>
  <c r="M272" i="18"/>
  <c r="P271" i="18"/>
  <c r="M273" i="18"/>
  <c r="P273" i="18"/>
  <c r="L273" i="18"/>
  <c r="O273" i="18"/>
  <c r="M270" i="18"/>
  <c r="L270" i="18"/>
  <c r="M271" i="18"/>
  <c r="O271" i="18"/>
  <c r="N273" i="18"/>
  <c r="P270" i="18"/>
  <c r="L269" i="18"/>
  <c r="N271" i="18"/>
  <c r="O272" i="18"/>
  <c r="O270" i="18"/>
  <c r="M268" i="18"/>
  <c r="N269" i="18"/>
  <c r="N272" i="18"/>
  <c r="L272" i="18"/>
  <c r="O268" i="18"/>
  <c r="P268" i="18"/>
  <c r="N270" i="18"/>
  <c r="O269" i="18"/>
  <c r="P272" i="18"/>
  <c r="L271" i="18"/>
  <c r="M269" i="18"/>
  <c r="L268" i="18"/>
  <c r="N268" i="18"/>
  <c r="P269" i="18"/>
  <c r="B596" i="22"/>
  <c r="P952" i="18"/>
  <c r="M953" i="18"/>
  <c r="L952" i="18"/>
  <c r="L953" i="18"/>
  <c r="O953" i="18"/>
  <c r="O952" i="18"/>
  <c r="M952" i="18"/>
  <c r="P953" i="18"/>
  <c r="N953" i="18"/>
  <c r="N952" i="18"/>
  <c r="B597" i="22"/>
  <c r="B592" i="22"/>
  <c r="B324" i="22"/>
  <c r="B211" i="22"/>
  <c r="B15" i="22"/>
  <c r="B591" i="22"/>
  <c r="B550" i="22"/>
  <c r="P827" i="18"/>
  <c r="N827" i="18"/>
  <c r="P828" i="18"/>
  <c r="M827" i="18"/>
  <c r="B370" i="22"/>
  <c r="B388" i="22"/>
  <c r="L828" i="18"/>
  <c r="B407" i="22"/>
  <c r="L827" i="18"/>
  <c r="O828" i="18"/>
  <c r="M828" i="18"/>
  <c r="N828" i="18"/>
  <c r="O827" i="18"/>
  <c r="B371" i="22"/>
  <c r="B14" i="22"/>
  <c r="B323" i="22"/>
  <c r="B210" i="22"/>
  <c r="B325" i="22"/>
  <c r="B212" i="22"/>
  <c r="B16" i="22"/>
  <c r="B379" i="22"/>
  <c r="N691" i="18"/>
  <c r="B420" i="22"/>
  <c r="B552" i="22"/>
  <c r="P691" i="18"/>
  <c r="L692" i="18"/>
  <c r="P692" i="18"/>
  <c r="N692" i="18"/>
  <c r="M692" i="18"/>
  <c r="L691" i="18"/>
  <c r="O692" i="18"/>
  <c r="O691" i="18"/>
  <c r="M691" i="18"/>
  <c r="B390" i="22"/>
  <c r="B378" i="22"/>
  <c r="O513" i="18"/>
  <c r="O512" i="18"/>
  <c r="B389" i="22"/>
  <c r="N513" i="18"/>
  <c r="B374" i="22"/>
  <c r="B411" i="22"/>
  <c r="B373" i="22"/>
  <c r="P512" i="18"/>
  <c r="N512" i="18"/>
  <c r="L512" i="18"/>
  <c r="B376" i="22"/>
  <c r="B375" i="22"/>
  <c r="M512" i="18"/>
  <c r="L513" i="18"/>
  <c r="B372" i="22"/>
  <c r="B377" i="22"/>
  <c r="P513" i="18"/>
  <c r="M513" i="18"/>
  <c r="B551" i="22"/>
  <c r="P826" i="18"/>
  <c r="M826" i="18"/>
  <c r="N826" i="18"/>
  <c r="L826" i="18"/>
  <c r="O826" i="18"/>
  <c r="N690" i="18"/>
  <c r="L690" i="18"/>
  <c r="P690" i="18"/>
  <c r="M690" i="18"/>
  <c r="O690" i="18"/>
  <c r="B755" i="22"/>
  <c r="B681" i="22"/>
  <c r="B475" i="22"/>
  <c r="B825" i="22"/>
  <c r="B826" i="22"/>
  <c r="B4" i="22"/>
  <c r="M962" i="18"/>
  <c r="O962" i="18"/>
  <c r="L962" i="18"/>
  <c r="N962" i="18"/>
  <c r="P962" i="18"/>
  <c r="B5" i="22"/>
  <c r="B2" i="22"/>
  <c r="B327" i="22"/>
  <c r="B18" i="22"/>
  <c r="B214" i="22"/>
  <c r="B674" i="22"/>
  <c r="B440" i="22"/>
  <c r="B748" i="22"/>
  <c r="B446" i="22"/>
  <c r="B750" i="22"/>
  <c r="B676" i="22"/>
  <c r="B319" i="22"/>
  <c r="B314" i="22"/>
  <c r="B8" i="22"/>
  <c r="B6" i="22"/>
  <c r="B834" i="22"/>
  <c r="B829" i="22"/>
  <c r="B831" i="22"/>
  <c r="B835" i="22"/>
  <c r="B313" i="22"/>
  <c r="B318" i="22"/>
  <c r="B478" i="22"/>
  <c r="B756" i="22"/>
  <c r="B682" i="22"/>
  <c r="B827" i="22"/>
  <c r="B836" i="22"/>
  <c r="B7" i="22"/>
  <c r="B213" i="22"/>
  <c r="B17" i="22"/>
  <c r="B326" i="22"/>
  <c r="B384" i="22"/>
  <c r="M288" i="18"/>
  <c r="B385" i="22"/>
  <c r="N287" i="18"/>
  <c r="L287" i="18"/>
  <c r="B383" i="22"/>
  <c r="B382" i="22"/>
  <c r="P287" i="18"/>
  <c r="B380" i="22"/>
  <c r="B381" i="22"/>
  <c r="B391" i="22"/>
  <c r="O287" i="18"/>
  <c r="B426" i="22"/>
  <c r="N288" i="18"/>
  <c r="L288" i="18"/>
  <c r="M287" i="18"/>
  <c r="P288" i="18"/>
  <c r="O288" i="18"/>
  <c r="B553" i="22"/>
  <c r="B315" i="22"/>
  <c r="B320" i="22"/>
  <c r="B680" i="22"/>
  <c r="B458" i="22"/>
  <c r="B754" i="22"/>
  <c r="P964" i="18"/>
  <c r="N964" i="18"/>
  <c r="L963" i="18"/>
  <c r="M964" i="18"/>
  <c r="P963" i="18"/>
  <c r="N963" i="18"/>
  <c r="O964" i="18"/>
  <c r="B392" i="22"/>
  <c r="L964" i="18"/>
  <c r="B434" i="22"/>
  <c r="B387" i="22"/>
  <c r="O963" i="18"/>
  <c r="M963" i="18"/>
  <c r="B554" i="22"/>
  <c r="B386" i="22"/>
  <c r="L286" i="18"/>
  <c r="M286" i="18"/>
  <c r="P286" i="18"/>
  <c r="O286" i="18"/>
  <c r="N286" i="18"/>
  <c r="P511" i="18"/>
  <c r="N511" i="18"/>
  <c r="M511" i="18"/>
  <c r="L511" i="18"/>
  <c r="O511" i="18"/>
  <c r="B3" i="22"/>
  <c r="B832" i="22"/>
  <c r="B483" i="22"/>
  <c r="B572" i="22"/>
  <c r="B507" i="22"/>
  <c r="B578" i="22"/>
  <c r="B502" i="22"/>
  <c r="B525" i="22"/>
  <c r="B493" i="22"/>
  <c r="B580" i="22"/>
  <c r="B579" i="22"/>
  <c r="B577" i="22"/>
  <c r="B574" i="22"/>
  <c r="B513" i="22"/>
  <c r="B576" i="22"/>
  <c r="B479" i="22"/>
  <c r="B573" i="22"/>
  <c r="B530" i="22"/>
  <c r="B581" i="22"/>
  <c r="B498" i="22"/>
  <c r="B521" i="22"/>
  <c r="B517" i="22"/>
  <c r="B582" i="22"/>
  <c r="B487" i="22"/>
  <c r="B822" i="22"/>
  <c r="B824" i="22"/>
  <c r="B820" i="22"/>
  <c r="B830" i="22"/>
  <c r="B833" i="22"/>
  <c r="B828" i="22"/>
  <c r="B752" i="22"/>
  <c r="B678" i="22"/>
  <c r="B452" i="22"/>
  <c r="B823" i="22"/>
  <c r="B821" i="22"/>
  <c r="B819" i="22"/>
  <c r="B202" i="22"/>
  <c r="B203" i="22"/>
  <c r="B205" i="22"/>
  <c r="B316" i="22"/>
  <c r="B321" i="22"/>
  <c r="B679" i="22"/>
  <c r="B455" i="22"/>
  <c r="B753" i="22"/>
  <c r="B356" i="22"/>
  <c r="B542" i="22"/>
  <c r="B657" i="22"/>
  <c r="B347" i="22"/>
  <c r="B677" i="22"/>
  <c r="B751" i="22"/>
  <c r="B449" i="22"/>
  <c r="B322" i="22"/>
  <c r="B317" i="22"/>
  <c r="B647" i="22"/>
  <c r="B340" i="22"/>
  <c r="B342" i="22"/>
  <c r="B349" i="22"/>
  <c r="B353" i="22"/>
  <c r="B645" i="22"/>
  <c r="B643" i="22"/>
  <c r="B541" i="22"/>
  <c r="B351" i="22"/>
  <c r="B344" i="22"/>
  <c r="B355" i="22"/>
  <c r="B540" i="22"/>
  <c r="B346" i="22"/>
  <c r="B656" i="22"/>
  <c r="B357" i="22"/>
  <c r="B544" i="22"/>
  <c r="B348" i="22"/>
  <c r="B658" i="22"/>
  <c r="B675" i="22"/>
  <c r="B749" i="22"/>
  <c r="B443" i="22"/>
  <c r="B650" i="22"/>
  <c r="I15" i="20"/>
  <c r="M15" i="20"/>
  <c r="B654" i="22"/>
  <c r="B201" i="22"/>
  <c r="B690" i="22"/>
  <c r="B652" i="22"/>
  <c r="B651" i="22"/>
  <c r="W15" i="20"/>
  <c r="B649" i="22"/>
  <c r="B362" i="22"/>
  <c r="M793" i="18"/>
  <c r="P793" i="18"/>
  <c r="N793" i="18"/>
  <c r="O793" i="18"/>
  <c r="L793" i="18"/>
  <c r="B653" i="22"/>
  <c r="Z15" i="20"/>
  <c r="B692" i="22"/>
  <c r="L657" i="18"/>
  <c r="P657" i="18"/>
  <c r="O657" i="18"/>
  <c r="N657" i="18"/>
  <c r="M657" i="18"/>
  <c r="B364" i="22"/>
  <c r="AH15" i="20"/>
  <c r="B689" i="22"/>
  <c r="B655" i="22"/>
  <c r="B688" i="22"/>
  <c r="B762" i="22"/>
  <c r="L658" i="18"/>
  <c r="P658" i="18"/>
  <c r="B368" i="22"/>
  <c r="N658" i="18"/>
  <c r="O658" i="18"/>
  <c r="M658" i="18"/>
  <c r="B359" i="22"/>
  <c r="V15" i="20"/>
  <c r="B759" i="22"/>
  <c r="M463" i="18"/>
  <c r="O463" i="18"/>
  <c r="N463" i="18"/>
  <c r="L463" i="18"/>
  <c r="B363" i="22"/>
  <c r="P463" i="18"/>
  <c r="B207" i="22"/>
  <c r="B204" i="22"/>
  <c r="B547" i="22"/>
  <c r="B549" i="22"/>
  <c r="B548" i="22"/>
  <c r="B545" i="22"/>
  <c r="B546" i="22"/>
  <c r="B758" i="22"/>
  <c r="N232" i="18"/>
  <c r="B361" i="22"/>
  <c r="P232" i="18"/>
  <c r="O232" i="18"/>
  <c r="M232" i="18"/>
  <c r="L232" i="18"/>
  <c r="Y15" i="20"/>
  <c r="B648" i="22"/>
  <c r="B345" i="22"/>
  <c r="B543" i="22"/>
  <c r="B352" i="22"/>
  <c r="B350" i="22"/>
  <c r="B341" i="22"/>
  <c r="B646" i="22"/>
  <c r="B644" i="22"/>
  <c r="B343" i="22"/>
  <c r="B354" i="22"/>
  <c r="N226" i="18"/>
  <c r="L226" i="18"/>
  <c r="O226" i="18"/>
  <c r="M226" i="18"/>
  <c r="P226" i="18"/>
  <c r="B206" i="22"/>
  <c r="B763" i="22"/>
  <c r="B369" i="22"/>
  <c r="O930" i="18"/>
  <c r="L930" i="18"/>
  <c r="P930" i="18"/>
  <c r="M930" i="18"/>
  <c r="N930" i="18"/>
  <c r="B761" i="22"/>
  <c r="O794" i="18"/>
  <c r="L794" i="18"/>
  <c r="M794" i="18"/>
  <c r="P794" i="18"/>
  <c r="B367" i="22"/>
  <c r="N794" i="18"/>
  <c r="B757" i="22"/>
  <c r="P457" i="18"/>
  <c r="M457" i="18"/>
  <c r="O457" i="18"/>
  <c r="L457" i="18"/>
  <c r="N457" i="18"/>
  <c r="B360" i="22"/>
  <c r="M929" i="18"/>
  <c r="L929" i="18"/>
  <c r="N929" i="18"/>
  <c r="B366" i="22"/>
  <c r="O929" i="18"/>
  <c r="P929" i="18"/>
  <c r="B565" i="22"/>
  <c r="B568" i="22"/>
  <c r="B566" i="22"/>
  <c r="B463" i="22"/>
  <c r="B459" i="22"/>
  <c r="B564" i="22"/>
  <c r="B461" i="22"/>
  <c r="B467" i="22"/>
  <c r="B562" i="22"/>
  <c r="B567" i="22"/>
  <c r="B465" i="22"/>
  <c r="B563" i="22"/>
  <c r="B469" i="22"/>
  <c r="B471" i="22"/>
  <c r="B760" i="22"/>
  <c r="M238" i="18"/>
  <c r="L238" i="18"/>
  <c r="N238" i="18"/>
  <c r="B365" i="22"/>
  <c r="P238" i="18"/>
  <c r="O238" i="18"/>
  <c r="L451" i="18"/>
  <c r="O451" i="18"/>
  <c r="B358" i="22"/>
  <c r="N451" i="18"/>
  <c r="P451" i="18"/>
  <c r="M451" i="18"/>
  <c r="B691" i="22"/>
  <c r="P15" i="20"/>
  <c r="AM15" i="20"/>
  <c r="G15" i="20"/>
  <c r="N15" i="20"/>
  <c r="AI15" i="20"/>
  <c r="J15" i="20"/>
  <c r="AJ15" i="20"/>
  <c r="AE15" i="20"/>
  <c r="AS75" i="23"/>
  <c r="B617" i="22"/>
  <c r="B619" i="22"/>
  <c r="B618" i="22"/>
  <c r="O15" i="20"/>
  <c r="B444" i="22"/>
  <c r="B450" i="22"/>
  <c r="B473" i="22"/>
  <c r="B456" i="22"/>
  <c r="B476" i="22"/>
  <c r="B438" i="22"/>
  <c r="B447" i="22"/>
  <c r="B441" i="22"/>
  <c r="B453" i="22"/>
  <c r="B557" i="22"/>
  <c r="B569" i="22"/>
  <c r="B570" i="22"/>
  <c r="B556" i="22"/>
  <c r="B558" i="22"/>
  <c r="B555" i="22"/>
  <c r="B561" i="22"/>
  <c r="B560" i="22"/>
  <c r="B559" i="22"/>
  <c r="S15" i="20"/>
  <c r="B620" i="22"/>
  <c r="B625" i="22"/>
  <c r="B626" i="22"/>
  <c r="B628" i="22"/>
  <c r="B627" i="22"/>
  <c r="B624" i="22"/>
  <c r="B622" i="22"/>
  <c r="B623" i="22"/>
  <c r="B631" i="22"/>
  <c r="B633" i="22"/>
  <c r="B634" i="22"/>
  <c r="B632" i="22"/>
  <c r="X15" i="20"/>
  <c r="R15" i="20"/>
  <c r="B640" i="22"/>
  <c r="B635" i="22"/>
  <c r="B639" i="22"/>
  <c r="B642" i="22"/>
  <c r="B637" i="22"/>
  <c r="B638" i="22"/>
  <c r="B636" i="22"/>
  <c r="B641" i="22"/>
  <c r="B629" i="22"/>
  <c r="B621" i="22"/>
  <c r="B615" i="22"/>
  <c r="B616" i="22"/>
  <c r="B630" i="22"/>
  <c r="AD15" i="20"/>
  <c r="AC15" i="20"/>
  <c r="BJ34" i="23"/>
  <c r="BJ35" i="23"/>
  <c r="I12" i="16"/>
  <c r="BF138" i="23"/>
  <c r="I28" i="16"/>
  <c r="AZ138" i="23"/>
  <c r="I32" i="16"/>
  <c r="I24" i="16"/>
  <c r="BD161" i="23"/>
  <c r="I29" i="16"/>
  <c r="I7" i="16"/>
  <c r="AS29" i="23"/>
  <c r="I27" i="16"/>
  <c r="AC49" i="23"/>
  <c r="AS11" i="23"/>
  <c r="I23" i="16"/>
  <c r="I15" i="16"/>
  <c r="I16" i="16"/>
  <c r="I31" i="16"/>
  <c r="I20" i="16"/>
  <c r="BJ98" i="23"/>
  <c r="I11" i="16"/>
  <c r="BJ36" i="23"/>
  <c r="I25" i="16"/>
  <c r="BJ99" i="23"/>
  <c r="I21" i="16"/>
  <c r="I10" i="16"/>
  <c r="AX161" i="23"/>
  <c r="B604" i="22"/>
  <c r="B605" i="22"/>
  <c r="B608" i="22"/>
  <c r="B606" i="22"/>
  <c r="B610" i="22"/>
  <c r="B603" i="22"/>
  <c r="K60" i="3"/>
  <c r="K57" i="3"/>
  <c r="K49" i="3"/>
  <c r="L51" i="3"/>
  <c r="K44" i="3"/>
  <c r="K63" i="3"/>
  <c r="L63" i="3"/>
  <c r="L64" i="3"/>
  <c r="K55" i="3"/>
  <c r="K62" i="3"/>
  <c r="L42" i="3"/>
  <c r="K56" i="3"/>
  <c r="K64" i="3"/>
  <c r="K51" i="3"/>
  <c r="L52" i="3"/>
  <c r="L48" i="3"/>
  <c r="K54" i="3"/>
  <c r="K52" i="3"/>
  <c r="L46" i="3"/>
  <c r="L59" i="3"/>
  <c r="L50" i="3"/>
  <c r="L58" i="3"/>
  <c r="K48" i="3"/>
  <c r="L56" i="3"/>
  <c r="L57" i="3"/>
  <c r="K47" i="3"/>
  <c r="L54" i="3"/>
  <c r="L53" i="3"/>
  <c r="K61" i="3"/>
  <c r="L61" i="3"/>
  <c r="K50" i="3"/>
  <c r="K43" i="3"/>
  <c r="L55" i="3"/>
  <c r="L47" i="3"/>
  <c r="K58" i="3"/>
  <c r="K59" i="3"/>
  <c r="K46" i="3"/>
  <c r="L62" i="3"/>
  <c r="K53" i="3"/>
  <c r="L60" i="3"/>
  <c r="I17" i="16"/>
  <c r="I13" i="16"/>
  <c r="I18" i="16"/>
  <c r="I33" i="16"/>
  <c r="BJ161" i="23"/>
  <c r="BJ100" i="23"/>
  <c r="I19" i="16"/>
  <c r="A6" i="2"/>
  <c r="J6" i="2"/>
  <c r="E6" i="2"/>
  <c r="BQ12" i="23"/>
  <c r="Y6" i="2"/>
  <c r="Z6" i="2"/>
  <c r="L6" i="2"/>
  <c r="I6" i="2"/>
  <c r="U6" i="2"/>
  <c r="F6" i="2"/>
  <c r="O6" i="2"/>
  <c r="P6" i="2"/>
  <c r="B6" i="2"/>
  <c r="V6" i="2"/>
  <c r="H6" i="2"/>
  <c r="S6" i="2"/>
  <c r="R6" i="2"/>
  <c r="K6" i="2"/>
  <c r="X6" i="2"/>
  <c r="N6" i="2"/>
  <c r="G6" i="2"/>
  <c r="D6" i="2"/>
  <c r="BP12" i="23"/>
  <c r="Q6" i="2"/>
  <c r="M6" i="2"/>
  <c r="C6" i="2"/>
  <c r="W6" i="2"/>
  <c r="T6" i="2"/>
  <c r="I8" i="16"/>
  <c r="I9" i="16"/>
  <c r="J22" i="3"/>
  <c r="L22" i="3"/>
  <c r="J44" i="3"/>
  <c r="B725" i="22"/>
  <c r="P220" i="18"/>
  <c r="M445" i="18"/>
  <c r="M222" i="18"/>
  <c r="O222" i="18"/>
  <c r="L652" i="18"/>
  <c r="P650" i="18"/>
  <c r="P922" i="18"/>
  <c r="B724" i="22"/>
  <c r="N650" i="18"/>
  <c r="M447" i="18"/>
  <c r="O788" i="18"/>
  <c r="M650" i="18"/>
  <c r="M786" i="18"/>
  <c r="N786" i="18"/>
  <c r="L922" i="18"/>
  <c r="L924" i="18"/>
  <c r="B722" i="22"/>
  <c r="L220" i="18"/>
  <c r="P652" i="18"/>
  <c r="N922" i="18"/>
  <c r="P447" i="18"/>
  <c r="N924" i="18"/>
  <c r="L786" i="18"/>
  <c r="O922" i="18"/>
  <c r="M220" i="18"/>
  <c r="N222" i="18"/>
  <c r="M788" i="18"/>
  <c r="N788" i="18"/>
  <c r="O445" i="18"/>
  <c r="M924" i="18"/>
  <c r="O650" i="18"/>
  <c r="O924" i="18"/>
  <c r="O652" i="18"/>
  <c r="P788" i="18"/>
  <c r="L445" i="18"/>
  <c r="M652" i="18"/>
  <c r="N447" i="18"/>
  <c r="O447" i="18"/>
  <c r="P222" i="18"/>
  <c r="L650" i="18"/>
  <c r="L447" i="18"/>
  <c r="P786" i="18"/>
  <c r="P445" i="18"/>
  <c r="L788" i="18"/>
  <c r="N652" i="18"/>
  <c r="M922" i="18"/>
  <c r="O786" i="18"/>
  <c r="B721" i="22"/>
  <c r="N445" i="18"/>
  <c r="L222" i="18"/>
  <c r="O220" i="18"/>
  <c r="B723" i="22"/>
  <c r="N220" i="18"/>
  <c r="B401" i="22"/>
  <c r="P924" i="18"/>
  <c r="B693" i="22"/>
  <c r="B209" i="22"/>
  <c r="K156" i="3"/>
  <c r="L156" i="3"/>
  <c r="B697" i="22"/>
  <c r="B208" i="22"/>
  <c r="B701" i="22"/>
  <c r="B695" i="22"/>
  <c r="B702" i="22"/>
  <c r="K155" i="3"/>
  <c r="L155" i="3"/>
  <c r="B700" i="22"/>
  <c r="B696" i="22"/>
  <c r="B699" i="22"/>
  <c r="B698" i="22"/>
  <c r="B694" i="22"/>
  <c r="B330" i="22"/>
  <c r="B339" i="22"/>
  <c r="B335" i="22"/>
  <c r="B332" i="22"/>
  <c r="B337" i="22"/>
  <c r="B336" i="22"/>
  <c r="B331" i="22"/>
  <c r="B329" i="22"/>
  <c r="B338" i="22"/>
  <c r="B333" i="22"/>
  <c r="B334" i="22"/>
  <c r="B328" i="22"/>
  <c r="B535" i="22"/>
  <c r="B539" i="22"/>
  <c r="B537" i="22"/>
  <c r="B536" i="22"/>
  <c r="B538" i="22"/>
  <c r="I58" i="3"/>
  <c r="I50" i="3"/>
  <c r="I64" i="3"/>
  <c r="I48" i="3"/>
  <c r="J43" i="3"/>
  <c r="I46" i="3"/>
  <c r="I53" i="3"/>
  <c r="J57" i="3"/>
  <c r="I49" i="3"/>
  <c r="J49" i="3"/>
  <c r="I51" i="3"/>
  <c r="J47" i="3"/>
  <c r="I43" i="3"/>
  <c r="J61" i="3"/>
  <c r="J51" i="3"/>
  <c r="J64" i="3"/>
  <c r="I60" i="3"/>
  <c r="I59" i="3"/>
  <c r="J60" i="3"/>
  <c r="J56" i="3"/>
  <c r="J63" i="3"/>
  <c r="I52" i="3"/>
  <c r="J52" i="3"/>
  <c r="J62" i="3"/>
  <c r="I47" i="3"/>
  <c r="I57" i="3"/>
  <c r="I55" i="3"/>
  <c r="I54" i="3"/>
  <c r="J59" i="3"/>
  <c r="J58" i="3"/>
  <c r="J50" i="3"/>
  <c r="J48" i="3"/>
  <c r="I56" i="3"/>
  <c r="J55" i="3"/>
  <c r="I44" i="3"/>
  <c r="J46" i="3"/>
  <c r="I63" i="3"/>
  <c r="J53" i="3"/>
  <c r="L49" i="3"/>
  <c r="K37" i="3"/>
  <c r="J54" i="3"/>
  <c r="I61" i="3"/>
  <c r="I62" i="3"/>
  <c r="AY3" i="23"/>
  <c r="C5" i="23"/>
  <c r="BO12" i="23"/>
  <c r="K6" i="3"/>
  <c r="BO5" i="23"/>
  <c r="AY132" i="23"/>
  <c r="AY67" i="23"/>
  <c r="F5" i="20"/>
  <c r="I17" i="18"/>
  <c r="AB5" i="23"/>
  <c r="P17" i="3"/>
  <c r="BN12" i="23"/>
  <c r="T25" i="11" l="1"/>
  <c r="D45" i="11" a="1"/>
  <c r="H45" i="11" l="1"/>
  <c r="L45" i="11"/>
  <c r="P45" i="11"/>
  <c r="T45" i="11"/>
  <c r="X45" i="11"/>
  <c r="AB45" i="11"/>
  <c r="AF45" i="11"/>
  <c r="AJ45" i="11"/>
  <c r="E45" i="11"/>
  <c r="I45" i="11"/>
  <c r="M45" i="11"/>
  <c r="Q45" i="11"/>
  <c r="U45" i="11"/>
  <c r="Y45" i="11"/>
  <c r="AC45" i="11"/>
  <c r="AG45" i="11"/>
  <c r="D45" i="11"/>
  <c r="F45" i="11"/>
  <c r="J45" i="11"/>
  <c r="N45" i="11"/>
  <c r="R45" i="11"/>
  <c r="V45" i="11"/>
  <c r="Z45" i="11"/>
  <c r="AD45" i="11"/>
  <c r="AH45" i="11"/>
  <c r="K45" i="11"/>
  <c r="O45" i="11"/>
  <c r="S45" i="11"/>
  <c r="W45" i="11"/>
  <c r="AA45" i="11"/>
  <c r="AE45" i="11"/>
  <c r="G45" i="11"/>
  <c r="AI45" i="11"/>
  <c r="AG57" i="11" l="1"/>
  <c r="AG60" i="11"/>
  <c r="AG64" i="11"/>
  <c r="AG56" i="11"/>
  <c r="AG55" i="11"/>
  <c r="AG58" i="11"/>
  <c r="AG62" i="11"/>
  <c r="AG66" i="11"/>
  <c r="AG87" i="11"/>
  <c r="AG61" i="11"/>
  <c r="AG67" i="11"/>
  <c r="AG69" i="11"/>
  <c r="AG71" i="11"/>
  <c r="AG73" i="11"/>
  <c r="AG75" i="11"/>
  <c r="AG77" i="11"/>
  <c r="AG79" i="11"/>
  <c r="AG81" i="11"/>
  <c r="AG83" i="11"/>
  <c r="AG65" i="11"/>
  <c r="AG68" i="11"/>
  <c r="AG72" i="11"/>
  <c r="AG76" i="11"/>
  <c r="AG80" i="11"/>
  <c r="AG63" i="11"/>
  <c r="AG59" i="11"/>
  <c r="AG94" i="11"/>
  <c r="AG78" i="11"/>
  <c r="AG82" i="11"/>
  <c r="AG74" i="11"/>
  <c r="AG85" i="11"/>
  <c r="AG86" i="11"/>
  <c r="AI45" i="23"/>
  <c r="AI44" i="23" s="1"/>
  <c r="AE45" i="23"/>
  <c r="BE147" i="23" s="1"/>
  <c r="AG45" i="23"/>
  <c r="BH152" i="23" s="1"/>
  <c r="K27" i="23"/>
  <c r="AG50" i="11"/>
  <c r="AD46" i="23"/>
  <c r="AG70" i="11"/>
  <c r="CU12" i="23"/>
  <c r="AG49" i="11"/>
  <c r="AG46" i="11"/>
  <c r="AH46" i="11"/>
  <c r="BF155" i="23"/>
  <c r="BG145" i="23"/>
  <c r="G55" i="11"/>
  <c r="G59" i="11"/>
  <c r="G67" i="11"/>
  <c r="G75" i="11"/>
  <c r="G83" i="11"/>
  <c r="G60" i="11"/>
  <c r="G68" i="11"/>
  <c r="G76" i="11"/>
  <c r="G84" i="11"/>
  <c r="G62" i="11"/>
  <c r="G70" i="11"/>
  <c r="G78" i="11"/>
  <c r="G86" i="11"/>
  <c r="G63" i="11"/>
  <c r="G71" i="11"/>
  <c r="G79" i="11"/>
  <c r="G87" i="11"/>
  <c r="G64" i="11"/>
  <c r="G72" i="11"/>
  <c r="G80" i="11"/>
  <c r="G57" i="11"/>
  <c r="G65" i="11"/>
  <c r="G73" i="11"/>
  <c r="G81" i="11"/>
  <c r="G61" i="11"/>
  <c r="G66" i="11"/>
  <c r="G69" i="11"/>
  <c r="G56" i="11"/>
  <c r="G74" i="11"/>
  <c r="G77" i="11"/>
  <c r="G82" i="11"/>
  <c r="C27" i="23"/>
  <c r="G50" i="11"/>
  <c r="AI15" i="23"/>
  <c r="AU21" i="23" s="1"/>
  <c r="G85" i="11"/>
  <c r="AE15" i="23"/>
  <c r="AS26" i="23" s="1"/>
  <c r="AG15" i="23"/>
  <c r="AU33" i="23" s="1"/>
  <c r="G94" i="11"/>
  <c r="AM15" i="23"/>
  <c r="AM17" i="23"/>
  <c r="G46" i="11"/>
  <c r="BU12" i="23"/>
  <c r="G49" i="11"/>
  <c r="AC58" i="11"/>
  <c r="AC62" i="11"/>
  <c r="AC66" i="11"/>
  <c r="AC59" i="11"/>
  <c r="AC61" i="11"/>
  <c r="AC63" i="11"/>
  <c r="AC55" i="11"/>
  <c r="AC57" i="11"/>
  <c r="AC60" i="11"/>
  <c r="AC64" i="11"/>
  <c r="AC56" i="11"/>
  <c r="AC83" i="11"/>
  <c r="AC65" i="11"/>
  <c r="AC84" i="11"/>
  <c r="AC70" i="11"/>
  <c r="AC74" i="11"/>
  <c r="AC78" i="11"/>
  <c r="AC85" i="11"/>
  <c r="AC86" i="11"/>
  <c r="AC87" i="11"/>
  <c r="AC67" i="11"/>
  <c r="AC69" i="11"/>
  <c r="AC71" i="11"/>
  <c r="AC73" i="11"/>
  <c r="AC75" i="11"/>
  <c r="AC81" i="11"/>
  <c r="AC82" i="11"/>
  <c r="AC72" i="11"/>
  <c r="AE40" i="23"/>
  <c r="AY157" i="23" s="1"/>
  <c r="AG40" i="23"/>
  <c r="BB158" i="23" s="1"/>
  <c r="AC94" i="11"/>
  <c r="AM40" i="23"/>
  <c r="AC68" i="11"/>
  <c r="AC79" i="11"/>
  <c r="AM41" i="23"/>
  <c r="I31" i="23"/>
  <c r="AC76" i="11"/>
  <c r="AC77" i="11"/>
  <c r="AC50" i="11"/>
  <c r="AC49" i="11"/>
  <c r="AZ153" i="23"/>
  <c r="AD58" i="11"/>
  <c r="AD62" i="11"/>
  <c r="AD59" i="11"/>
  <c r="AD61" i="11"/>
  <c r="AD63" i="11"/>
  <c r="AD65" i="11"/>
  <c r="AD57" i="11"/>
  <c r="AD60" i="11"/>
  <c r="AD64" i="11"/>
  <c r="AD55" i="11"/>
  <c r="AD56" i="11"/>
  <c r="AD85" i="11"/>
  <c r="AD86" i="11"/>
  <c r="AD87" i="11"/>
  <c r="AD70" i="11"/>
  <c r="AD74" i="11"/>
  <c r="AD78" i="11"/>
  <c r="AD66" i="11"/>
  <c r="AD68" i="11"/>
  <c r="AD67" i="11"/>
  <c r="AD75" i="11"/>
  <c r="AD76" i="11"/>
  <c r="AD77" i="11"/>
  <c r="AN40" i="23"/>
  <c r="AG41" i="23"/>
  <c r="BA164" i="23" s="1"/>
  <c r="AD69" i="11"/>
  <c r="AD73" i="11"/>
  <c r="AN41" i="23"/>
  <c r="AD71" i="11"/>
  <c r="AD72" i="11"/>
  <c r="AD82" i="11"/>
  <c r="AD94" i="11"/>
  <c r="AD80" i="11"/>
  <c r="AD83" i="11"/>
  <c r="AD50" i="11"/>
  <c r="I35" i="23"/>
  <c r="AD46" i="11"/>
  <c r="AD79" i="11"/>
  <c r="AD49" i="11"/>
  <c r="AD48" i="11" s="1"/>
  <c r="AD84" i="11"/>
  <c r="AZ159" i="23"/>
  <c r="CR12" i="23"/>
  <c r="AJ55" i="11"/>
  <c r="AJ57" i="11"/>
  <c r="AJ60" i="11"/>
  <c r="AJ64" i="11"/>
  <c r="AJ56" i="11"/>
  <c r="AJ70" i="11"/>
  <c r="AJ74" i="11"/>
  <c r="AJ78" i="11"/>
  <c r="AJ82" i="11"/>
  <c r="AJ86" i="11"/>
  <c r="AJ61" i="11"/>
  <c r="AJ66" i="11"/>
  <c r="AJ63" i="11"/>
  <c r="AJ65" i="11"/>
  <c r="AJ67" i="11"/>
  <c r="AJ69" i="11"/>
  <c r="AJ71" i="11"/>
  <c r="AJ73" i="11"/>
  <c r="AJ75" i="11"/>
  <c r="AJ77" i="11"/>
  <c r="AJ79" i="11"/>
  <c r="AJ81" i="11"/>
  <c r="AJ83" i="11"/>
  <c r="AJ85" i="11"/>
  <c r="AJ68" i="11"/>
  <c r="AJ72" i="11"/>
  <c r="AJ58" i="11"/>
  <c r="AJ62" i="11"/>
  <c r="AJ76" i="11"/>
  <c r="AJ84" i="11"/>
  <c r="AL48" i="23"/>
  <c r="AL45" i="23" s="1"/>
  <c r="BH147" i="23" s="1"/>
  <c r="AJ94" i="11"/>
  <c r="AJ50" i="11"/>
  <c r="AJ59" i="11"/>
  <c r="AK48" i="23"/>
  <c r="AK44" i="23" s="1"/>
  <c r="AG48" i="23"/>
  <c r="BJ151" i="23" s="1"/>
  <c r="K47" i="23"/>
  <c r="AJ49" i="11"/>
  <c r="AJ48" i="11" s="1"/>
  <c r="AJ80" i="11"/>
  <c r="CX12" i="23"/>
  <c r="AJ46" i="11"/>
  <c r="BJ144" i="23"/>
  <c r="AE55" i="11"/>
  <c r="AE59" i="11"/>
  <c r="AE61" i="11"/>
  <c r="AE63" i="11"/>
  <c r="AE65" i="11"/>
  <c r="AE57" i="11"/>
  <c r="AE60" i="11"/>
  <c r="AE64" i="11"/>
  <c r="AE68" i="11"/>
  <c r="AE72" i="11"/>
  <c r="AE76" i="11"/>
  <c r="AE80" i="11"/>
  <c r="AE83" i="11"/>
  <c r="AE84" i="11"/>
  <c r="AE70" i="11"/>
  <c r="AE74" i="11"/>
  <c r="AE78" i="11"/>
  <c r="AE85" i="11"/>
  <c r="AE67" i="11"/>
  <c r="AE69" i="11"/>
  <c r="AE71" i="11"/>
  <c r="AE56" i="11"/>
  <c r="AE79" i="11"/>
  <c r="I47" i="23"/>
  <c r="AE75" i="11"/>
  <c r="AE77" i="11"/>
  <c r="AE62" i="11"/>
  <c r="AE58" i="11"/>
  <c r="AE66" i="11"/>
  <c r="AE73" i="11"/>
  <c r="AE86" i="11"/>
  <c r="AL42" i="23"/>
  <c r="AL39" i="23" s="1"/>
  <c r="BB147" i="23" s="1"/>
  <c r="AE81" i="11"/>
  <c r="AE87" i="11"/>
  <c r="AE50" i="11"/>
  <c r="AE94" i="11"/>
  <c r="AG42" i="23"/>
  <c r="AE46" i="11"/>
  <c r="AK42" i="23"/>
  <c r="AK38" i="23" s="1"/>
  <c r="AE49" i="11"/>
  <c r="AE48" i="11" s="1"/>
  <c r="BD144" i="23"/>
  <c r="CS12" i="23"/>
  <c r="Z59" i="11"/>
  <c r="Z61" i="11"/>
  <c r="Z63" i="11"/>
  <c r="Z65" i="11"/>
  <c r="Z57" i="11"/>
  <c r="Z60" i="11"/>
  <c r="Z64" i="11"/>
  <c r="Z56" i="11"/>
  <c r="Z58" i="11"/>
  <c r="Z62" i="11"/>
  <c r="Z55" i="11"/>
  <c r="Z81" i="11"/>
  <c r="Z82" i="11"/>
  <c r="Z66" i="11"/>
  <c r="Z67" i="11"/>
  <c r="Z69" i="11"/>
  <c r="Z71" i="11"/>
  <c r="Z73" i="11"/>
  <c r="Z75" i="11"/>
  <c r="Z83" i="11"/>
  <c r="Z68" i="11"/>
  <c r="Z72" i="11"/>
  <c r="Z76" i="11"/>
  <c r="Z84" i="11"/>
  <c r="Z85" i="11"/>
  <c r="Z70" i="11"/>
  <c r="Z74" i="11"/>
  <c r="Z94" i="11"/>
  <c r="AK36" i="23"/>
  <c r="AK32" i="23" s="1"/>
  <c r="AG36" i="23"/>
  <c r="AX151" i="23" s="1"/>
  <c r="Z78" i="11"/>
  <c r="Z79" i="11"/>
  <c r="Z80" i="11"/>
  <c r="Z86" i="11"/>
  <c r="AL36" i="23"/>
  <c r="AL33" i="23" s="1"/>
  <c r="AV147" i="23" s="1"/>
  <c r="G47" i="23"/>
  <c r="Z87" i="11"/>
  <c r="Z49" i="11"/>
  <c r="Z48" i="11" s="1"/>
  <c r="CN12" i="23"/>
  <c r="Z50" i="11"/>
  <c r="AX144" i="23"/>
  <c r="Z46" i="11"/>
  <c r="AF56" i="11"/>
  <c r="AF55" i="11"/>
  <c r="AF58" i="11"/>
  <c r="AF62" i="11"/>
  <c r="AF59" i="11"/>
  <c r="AF61" i="11"/>
  <c r="AF63" i="11"/>
  <c r="AF65" i="11"/>
  <c r="AF67" i="11"/>
  <c r="AF69" i="11"/>
  <c r="AF71" i="11"/>
  <c r="AF73" i="11"/>
  <c r="AF75" i="11"/>
  <c r="AF77" i="11"/>
  <c r="AF79" i="11"/>
  <c r="AF81" i="11"/>
  <c r="AF87" i="11"/>
  <c r="AF68" i="11"/>
  <c r="AF72" i="11"/>
  <c r="AF76" i="11"/>
  <c r="AF80" i="11"/>
  <c r="AF60" i="11"/>
  <c r="AF70" i="11"/>
  <c r="AF74" i="11"/>
  <c r="AF57" i="11"/>
  <c r="AF64" i="11"/>
  <c r="AF66" i="11"/>
  <c r="AF78" i="11"/>
  <c r="AF82" i="11"/>
  <c r="AF86" i="11"/>
  <c r="AF44" i="23"/>
  <c r="BG136" i="23" s="1"/>
  <c r="AG44" i="23"/>
  <c r="BG141" i="23" s="1"/>
  <c r="AH45" i="23"/>
  <c r="AJ48" i="23"/>
  <c r="K11" i="23"/>
  <c r="AF84" i="11"/>
  <c r="AE44" i="23"/>
  <c r="BE136" i="23" s="1"/>
  <c r="AF46" i="11"/>
  <c r="AF85" i="11"/>
  <c r="AF94" i="11"/>
  <c r="AF49" i="11"/>
  <c r="AF48" i="11" s="1"/>
  <c r="AF50" i="11"/>
  <c r="CT12" i="23"/>
  <c r="AA55" i="11"/>
  <c r="AA59" i="11"/>
  <c r="AA61" i="11"/>
  <c r="AA63" i="11"/>
  <c r="AA56" i="11"/>
  <c r="AA58" i="11"/>
  <c r="AA62" i="11"/>
  <c r="AA70" i="11"/>
  <c r="AA74" i="11"/>
  <c r="AA85" i="11"/>
  <c r="AA86" i="11"/>
  <c r="AA60" i="11"/>
  <c r="AA79" i="11"/>
  <c r="AA87" i="11"/>
  <c r="AA66" i="11"/>
  <c r="AA67" i="11"/>
  <c r="AA69" i="11"/>
  <c r="AA71" i="11"/>
  <c r="AA73" i="11"/>
  <c r="AA75" i="11"/>
  <c r="AA77" i="11"/>
  <c r="AA80" i="11"/>
  <c r="AA68" i="11"/>
  <c r="AA72" i="11"/>
  <c r="AA76" i="11"/>
  <c r="AA81" i="11"/>
  <c r="AA65" i="11"/>
  <c r="AA57" i="11"/>
  <c r="AE38" i="23"/>
  <c r="AY136" i="23" s="1"/>
  <c r="AA94" i="11"/>
  <c r="AF38" i="23"/>
  <c r="BA136" i="23" s="1"/>
  <c r="AA82" i="11"/>
  <c r="AG38" i="23"/>
  <c r="BA141" i="23" s="1"/>
  <c r="AA83" i="11"/>
  <c r="AH39" i="23"/>
  <c r="I11" i="23"/>
  <c r="AA64" i="11"/>
  <c r="AA84" i="11"/>
  <c r="AJ42" i="23"/>
  <c r="AA49" i="11"/>
  <c r="AA48" i="11" s="1"/>
  <c r="AA46" i="11"/>
  <c r="CO12" i="23"/>
  <c r="AA50" i="11"/>
  <c r="V58" i="11"/>
  <c r="V62" i="11"/>
  <c r="V59" i="11"/>
  <c r="V61" i="11"/>
  <c r="V63" i="11"/>
  <c r="V65" i="11"/>
  <c r="V57" i="11"/>
  <c r="V60" i="11"/>
  <c r="V64" i="11"/>
  <c r="V55" i="11"/>
  <c r="V56" i="11"/>
  <c r="V77" i="11"/>
  <c r="V85" i="11"/>
  <c r="V78" i="11"/>
  <c r="V86" i="11"/>
  <c r="V79" i="11"/>
  <c r="V87" i="11"/>
  <c r="V70" i="11"/>
  <c r="V80" i="11"/>
  <c r="V81" i="11"/>
  <c r="V74" i="11"/>
  <c r="V82" i="11"/>
  <c r="V66" i="11"/>
  <c r="V68" i="11"/>
  <c r="AJ36" i="23"/>
  <c r="V69" i="11"/>
  <c r="V72" i="11"/>
  <c r="V71" i="11"/>
  <c r="AD44" i="23"/>
  <c r="G11" i="23"/>
  <c r="AE32" i="23"/>
  <c r="AS136" i="23" s="1"/>
  <c r="V75" i="11"/>
  <c r="AF32" i="23"/>
  <c r="AU136" i="23" s="1"/>
  <c r="AD38" i="23"/>
  <c r="V76" i="11"/>
  <c r="V94" i="11"/>
  <c r="AG32" i="23"/>
  <c r="AU141" i="23" s="1"/>
  <c r="V83" i="11"/>
  <c r="AH33" i="23"/>
  <c r="V67" i="11"/>
  <c r="V50" i="11"/>
  <c r="V49" i="11"/>
  <c r="V48" i="11" s="1"/>
  <c r="V84" i="11"/>
  <c r="V46" i="11"/>
  <c r="CJ12" i="23"/>
  <c r="Y57" i="11"/>
  <c r="Y60" i="11"/>
  <c r="Y64" i="11"/>
  <c r="Y56" i="11"/>
  <c r="Y55" i="11"/>
  <c r="Y58" i="11"/>
  <c r="Y62" i="11"/>
  <c r="Y66" i="11"/>
  <c r="Y79" i="11"/>
  <c r="Y87" i="11"/>
  <c r="Y63" i="11"/>
  <c r="Y67" i="11"/>
  <c r="Y69" i="11"/>
  <c r="Y71" i="11"/>
  <c r="Y73" i="11"/>
  <c r="Y75" i="11"/>
  <c r="Y80" i="11"/>
  <c r="Y68" i="11"/>
  <c r="Y72" i="11"/>
  <c r="Y81" i="11"/>
  <c r="Y59" i="11"/>
  <c r="Y82" i="11"/>
  <c r="Y83" i="11"/>
  <c r="Y61" i="11"/>
  <c r="Y74" i="11"/>
  <c r="Y94" i="11"/>
  <c r="G35" i="23"/>
  <c r="Y50" i="11"/>
  <c r="Y77" i="11"/>
  <c r="Y78" i="11"/>
  <c r="AN34" i="23"/>
  <c r="AG35" i="23"/>
  <c r="AU164" i="23" s="1"/>
  <c r="Y84" i="11"/>
  <c r="AN35" i="23"/>
  <c r="Y85" i="11"/>
  <c r="Y70" i="11"/>
  <c r="Y86" i="11"/>
  <c r="Y65" i="11"/>
  <c r="AT159" i="23"/>
  <c r="Y49" i="11"/>
  <c r="Y48" i="11" s="1"/>
  <c r="Y46" i="11"/>
  <c r="CM12" i="23"/>
  <c r="AB55" i="11"/>
  <c r="AB57" i="11"/>
  <c r="AB60" i="11"/>
  <c r="AB64" i="11"/>
  <c r="AB56" i="11"/>
  <c r="AB61" i="11"/>
  <c r="AB65" i="11"/>
  <c r="AB83" i="11"/>
  <c r="AB70" i="11"/>
  <c r="AB74" i="11"/>
  <c r="AB78" i="11"/>
  <c r="AB84" i="11"/>
  <c r="AB63" i="11"/>
  <c r="AB85" i="11"/>
  <c r="AB86" i="11"/>
  <c r="AB59" i="11"/>
  <c r="AB66" i="11"/>
  <c r="AB67" i="11"/>
  <c r="AB69" i="11"/>
  <c r="AB71" i="11"/>
  <c r="AB73" i="11"/>
  <c r="AB75" i="11"/>
  <c r="AB77" i="11"/>
  <c r="AB87" i="11"/>
  <c r="AB58" i="11"/>
  <c r="AB62" i="11"/>
  <c r="AB68" i="11"/>
  <c r="AB72" i="11"/>
  <c r="AD40" i="23"/>
  <c r="AB80" i="11"/>
  <c r="AB81" i="11"/>
  <c r="AB82" i="11"/>
  <c r="AB94" i="11"/>
  <c r="AI39" i="23"/>
  <c r="AI38" i="23" s="1"/>
  <c r="AE39" i="23"/>
  <c r="AY147" i="23" s="1"/>
  <c r="I27" i="23"/>
  <c r="AB50" i="11"/>
  <c r="AB76" i="11"/>
  <c r="AG39" i="23"/>
  <c r="BB152" i="23" s="1"/>
  <c r="BA145" i="23"/>
  <c r="AZ155" i="23"/>
  <c r="AB49" i="11"/>
  <c r="AC46" i="11"/>
  <c r="AB46" i="11"/>
  <c r="CP12" i="23"/>
  <c r="W55" i="11"/>
  <c r="W59" i="11"/>
  <c r="W61" i="11"/>
  <c r="W63" i="11"/>
  <c r="W65" i="11"/>
  <c r="W57" i="11"/>
  <c r="W60" i="11"/>
  <c r="W64" i="11"/>
  <c r="W66" i="11"/>
  <c r="W68" i="11"/>
  <c r="W72" i="11"/>
  <c r="W81" i="11"/>
  <c r="W82" i="11"/>
  <c r="W75" i="11"/>
  <c r="W83" i="11"/>
  <c r="W76" i="11"/>
  <c r="W84" i="11"/>
  <c r="W58" i="11"/>
  <c r="W62" i="11"/>
  <c r="W70" i="11"/>
  <c r="W77" i="11"/>
  <c r="W85" i="11"/>
  <c r="W56" i="11"/>
  <c r="W78" i="11"/>
  <c r="W86" i="11"/>
  <c r="W67" i="11"/>
  <c r="W69" i="11"/>
  <c r="W71" i="11"/>
  <c r="AG33" i="23"/>
  <c r="AV152" i="23" s="1"/>
  <c r="AD45" i="23"/>
  <c r="W73" i="11"/>
  <c r="AD34" i="23"/>
  <c r="AD39" i="23"/>
  <c r="G27" i="23"/>
  <c r="W50" i="11"/>
  <c r="W79" i="11"/>
  <c r="AD25" i="23"/>
  <c r="W80" i="11"/>
  <c r="W87" i="11"/>
  <c r="W94" i="11"/>
  <c r="W46" i="11"/>
  <c r="AU145" i="23"/>
  <c r="AT155" i="23"/>
  <c r="X46" i="11"/>
  <c r="AI33" i="23"/>
  <c r="AI32" i="23" s="1"/>
  <c r="W49" i="11"/>
  <c r="AE33" i="23"/>
  <c r="AS147" i="23" s="1"/>
  <c r="CK12" i="23"/>
  <c r="R59" i="11"/>
  <c r="R61" i="11"/>
  <c r="R63" i="11"/>
  <c r="R65" i="11"/>
  <c r="R57" i="11"/>
  <c r="R60" i="11"/>
  <c r="R64" i="11"/>
  <c r="R56" i="11"/>
  <c r="R58" i="11"/>
  <c r="R62" i="11"/>
  <c r="R55" i="11"/>
  <c r="R73" i="11"/>
  <c r="R81" i="11"/>
  <c r="R74" i="11"/>
  <c r="R82" i="11"/>
  <c r="R67" i="11"/>
  <c r="R75" i="11"/>
  <c r="R83" i="11"/>
  <c r="R68" i="11"/>
  <c r="R76" i="11"/>
  <c r="R84" i="11"/>
  <c r="R66" i="11"/>
  <c r="R77" i="11"/>
  <c r="R85" i="11"/>
  <c r="R70" i="11"/>
  <c r="R78" i="11"/>
  <c r="R86" i="11"/>
  <c r="R72" i="11"/>
  <c r="R80" i="11"/>
  <c r="R94" i="11"/>
  <c r="R50" i="11"/>
  <c r="R71" i="11"/>
  <c r="AG27" i="23"/>
  <c r="AU108" i="23" s="1"/>
  <c r="R79" i="11"/>
  <c r="AN27" i="23"/>
  <c r="AU104" i="23" s="1"/>
  <c r="R87" i="11"/>
  <c r="AN25" i="23"/>
  <c r="E35" i="23"/>
  <c r="R49" i="11"/>
  <c r="R48" i="11" s="1"/>
  <c r="R46" i="11"/>
  <c r="CF12" i="23"/>
  <c r="U58" i="11"/>
  <c r="U62" i="11"/>
  <c r="U66" i="11"/>
  <c r="U59" i="11"/>
  <c r="U61" i="11"/>
  <c r="U63" i="11"/>
  <c r="U65" i="11"/>
  <c r="U55" i="11"/>
  <c r="U57" i="11"/>
  <c r="U60" i="11"/>
  <c r="U64" i="11"/>
  <c r="U56" i="11"/>
  <c r="U75" i="11"/>
  <c r="U83" i="11"/>
  <c r="U76" i="11"/>
  <c r="U84" i="11"/>
  <c r="U70" i="11"/>
  <c r="U77" i="11"/>
  <c r="U85" i="11"/>
  <c r="U78" i="11"/>
  <c r="U86" i="11"/>
  <c r="U79" i="11"/>
  <c r="U87" i="11"/>
  <c r="U67" i="11"/>
  <c r="U69" i="11"/>
  <c r="U71" i="11"/>
  <c r="U80" i="11"/>
  <c r="U50" i="11"/>
  <c r="E47" i="23"/>
  <c r="AK30" i="23"/>
  <c r="BF84" i="23" s="1"/>
  <c r="AG30" i="23"/>
  <c r="BF91" i="23" s="1"/>
  <c r="U68" i="11"/>
  <c r="U73" i="11"/>
  <c r="U94" i="11"/>
  <c r="U74" i="11"/>
  <c r="U81" i="11"/>
  <c r="AL30" i="23"/>
  <c r="U49" i="11"/>
  <c r="U48" i="11" s="1"/>
  <c r="CI12" i="23"/>
  <c r="U46" i="11"/>
  <c r="U82" i="11"/>
  <c r="X56" i="11"/>
  <c r="X55" i="11"/>
  <c r="X58" i="11"/>
  <c r="X62" i="11"/>
  <c r="X59" i="11"/>
  <c r="X61" i="11"/>
  <c r="X63" i="11"/>
  <c r="X65" i="11"/>
  <c r="X67" i="11"/>
  <c r="X69" i="11"/>
  <c r="X71" i="11"/>
  <c r="X73" i="11"/>
  <c r="X79" i="11"/>
  <c r="X87" i="11"/>
  <c r="X60" i="11"/>
  <c r="X66" i="11"/>
  <c r="X68" i="11"/>
  <c r="X72" i="11"/>
  <c r="X80" i="11"/>
  <c r="X81" i="11"/>
  <c r="X82" i="11"/>
  <c r="X83" i="11"/>
  <c r="X57" i="11"/>
  <c r="X64" i="11"/>
  <c r="X70" i="11"/>
  <c r="X74" i="11"/>
  <c r="X76" i="11"/>
  <c r="X84" i="11"/>
  <c r="AM35" i="23"/>
  <c r="X77" i="11"/>
  <c r="X78" i="11"/>
  <c r="X85" i="11"/>
  <c r="AE34" i="23"/>
  <c r="AS157" i="23" s="1"/>
  <c r="G31" i="23"/>
  <c r="X50" i="11"/>
  <c r="X86" i="11"/>
  <c r="AG34" i="23"/>
  <c r="AV158" i="23" s="1"/>
  <c r="AM34" i="23"/>
  <c r="X49" i="11"/>
  <c r="X94" i="11"/>
  <c r="AT153" i="23"/>
  <c r="S55" i="11"/>
  <c r="S59" i="11"/>
  <c r="S61" i="11"/>
  <c r="S63" i="11"/>
  <c r="S57" i="11"/>
  <c r="S56" i="11"/>
  <c r="S58" i="11"/>
  <c r="S62" i="11"/>
  <c r="S60" i="11"/>
  <c r="S77" i="11"/>
  <c r="S85" i="11"/>
  <c r="S78" i="11"/>
  <c r="S86" i="11"/>
  <c r="S71" i="11"/>
  <c r="S79" i="11"/>
  <c r="S87" i="11"/>
  <c r="S67" i="11"/>
  <c r="S69" i="11"/>
  <c r="S72" i="11"/>
  <c r="S80" i="11"/>
  <c r="S64" i="11"/>
  <c r="S65" i="11"/>
  <c r="S68" i="11"/>
  <c r="S73" i="11"/>
  <c r="S81" i="11"/>
  <c r="S66" i="11"/>
  <c r="S74" i="11"/>
  <c r="S82" i="11"/>
  <c r="S76" i="11"/>
  <c r="S84" i="11"/>
  <c r="S75" i="11"/>
  <c r="S83" i="11"/>
  <c r="AK28" i="23"/>
  <c r="AG28" i="23"/>
  <c r="BD91" i="23" s="1"/>
  <c r="S94" i="11"/>
  <c r="AL28" i="23"/>
  <c r="S49" i="11"/>
  <c r="S48" i="11" s="1"/>
  <c r="E39" i="23"/>
  <c r="S46" i="11"/>
  <c r="S50" i="11"/>
  <c r="CG12" i="23"/>
  <c r="N71" i="11"/>
  <c r="N79" i="11"/>
  <c r="N87" i="11"/>
  <c r="N62" i="11"/>
  <c r="N59" i="11"/>
  <c r="N61" i="11"/>
  <c r="N63" i="11"/>
  <c r="N67" i="11"/>
  <c r="N75" i="11"/>
  <c r="N83" i="11"/>
  <c r="N57" i="11"/>
  <c r="N60" i="11"/>
  <c r="N64" i="11"/>
  <c r="N68" i="11"/>
  <c r="N55" i="11"/>
  <c r="N56" i="11"/>
  <c r="N69" i="11"/>
  <c r="N77" i="11"/>
  <c r="N85" i="11"/>
  <c r="N73" i="11"/>
  <c r="N86" i="11"/>
  <c r="N74" i="11"/>
  <c r="N58" i="11"/>
  <c r="N76" i="11"/>
  <c r="N78" i="11"/>
  <c r="N80" i="11"/>
  <c r="N66" i="11"/>
  <c r="N81" i="11"/>
  <c r="N72" i="11"/>
  <c r="N84" i="11"/>
  <c r="N70" i="11"/>
  <c r="AE23" i="23"/>
  <c r="AS88" i="23" s="1"/>
  <c r="N82" i="11"/>
  <c r="AG23" i="23"/>
  <c r="BA91" i="23" s="1"/>
  <c r="E15" i="23"/>
  <c r="AD24" i="23"/>
  <c r="N94" i="11"/>
  <c r="AI23" i="23"/>
  <c r="N50" i="11"/>
  <c r="N49" i="11"/>
  <c r="N48" i="11" s="1"/>
  <c r="CB12" i="23"/>
  <c r="Q57" i="11"/>
  <c r="Q60" i="11"/>
  <c r="Q64" i="11"/>
  <c r="Q56" i="11"/>
  <c r="Q55" i="11"/>
  <c r="Q58" i="11"/>
  <c r="Q62" i="11"/>
  <c r="Q66" i="11"/>
  <c r="Q71" i="11"/>
  <c r="Q79" i="11"/>
  <c r="Q87" i="11"/>
  <c r="Q59" i="11"/>
  <c r="Q67" i="11"/>
  <c r="Q72" i="11"/>
  <c r="Q80" i="11"/>
  <c r="Q73" i="11"/>
  <c r="Q81" i="11"/>
  <c r="Q65" i="11"/>
  <c r="Q74" i="11"/>
  <c r="Q82" i="11"/>
  <c r="Q75" i="11"/>
  <c r="Q83" i="11"/>
  <c r="Q61" i="11"/>
  <c r="Q76" i="11"/>
  <c r="Q84" i="11"/>
  <c r="Q63" i="11"/>
  <c r="Q70" i="11"/>
  <c r="Q78" i="11"/>
  <c r="Q86" i="11"/>
  <c r="Q85" i="11"/>
  <c r="Q94" i="11"/>
  <c r="Q50" i="11"/>
  <c r="AG26" i="23"/>
  <c r="AX99" i="23" s="1"/>
  <c r="E23" i="23"/>
  <c r="Q69" i="11"/>
  <c r="AN24" i="23"/>
  <c r="AN26" i="23"/>
  <c r="AY96" i="23" s="1"/>
  <c r="Q46" i="11"/>
  <c r="Q77" i="11"/>
  <c r="Q49" i="11"/>
  <c r="Q48" i="11" s="1"/>
  <c r="CE12" i="23"/>
  <c r="T55" i="11"/>
  <c r="T57" i="11"/>
  <c r="T60" i="11"/>
  <c r="T56" i="11"/>
  <c r="T63" i="11"/>
  <c r="T75" i="11"/>
  <c r="T83" i="11"/>
  <c r="T70" i="11"/>
  <c r="T76" i="11"/>
  <c r="T84" i="11"/>
  <c r="T59" i="11"/>
  <c r="T77" i="11"/>
  <c r="T85" i="11"/>
  <c r="T58" i="11"/>
  <c r="T62" i="11"/>
  <c r="T78" i="11"/>
  <c r="T86" i="11"/>
  <c r="T67" i="11"/>
  <c r="T69" i="11"/>
  <c r="T79" i="11"/>
  <c r="T87" i="11"/>
  <c r="T65" i="11"/>
  <c r="T68" i="11"/>
  <c r="T72" i="11"/>
  <c r="T80" i="11"/>
  <c r="T61" i="11"/>
  <c r="E43" i="23"/>
  <c r="T66" i="11"/>
  <c r="AK29" i="23"/>
  <c r="BH84" i="23" s="1"/>
  <c r="T94" i="11"/>
  <c r="T73" i="11"/>
  <c r="T50" i="11"/>
  <c r="T74" i="11"/>
  <c r="AL29" i="23"/>
  <c r="T81" i="11"/>
  <c r="AG29" i="23"/>
  <c r="BH91" i="23" s="1"/>
  <c r="T49" i="11"/>
  <c r="T48" i="11" s="1"/>
  <c r="CH12" i="23"/>
  <c r="T82" i="11"/>
  <c r="T46" i="11"/>
  <c r="T64" i="11"/>
  <c r="O55" i="11"/>
  <c r="O67" i="11"/>
  <c r="O59" i="11"/>
  <c r="O61" i="11"/>
  <c r="O63" i="11"/>
  <c r="O65" i="11"/>
  <c r="O57" i="11"/>
  <c r="O60" i="11"/>
  <c r="O64" i="11"/>
  <c r="O73" i="11"/>
  <c r="O81" i="11"/>
  <c r="O74" i="11"/>
  <c r="O82" i="11"/>
  <c r="O62" i="11"/>
  <c r="O75" i="11"/>
  <c r="O83" i="11"/>
  <c r="O68" i="11"/>
  <c r="O76" i="11"/>
  <c r="O84" i="11"/>
  <c r="O56" i="11"/>
  <c r="O69" i="11"/>
  <c r="O77" i="11"/>
  <c r="O85" i="11"/>
  <c r="O70" i="11"/>
  <c r="O78" i="11"/>
  <c r="O86" i="11"/>
  <c r="O72" i="11"/>
  <c r="O80" i="11"/>
  <c r="O50" i="11"/>
  <c r="AG24" i="23"/>
  <c r="AX95" i="23" s="1"/>
  <c r="AM24" i="23"/>
  <c r="AM26" i="23"/>
  <c r="AD23" i="23"/>
  <c r="O71" i="11"/>
  <c r="E19" i="23"/>
  <c r="O79" i="11"/>
  <c r="O87" i="11"/>
  <c r="O94" i="11"/>
  <c r="AI24" i="23"/>
  <c r="O46" i="11"/>
  <c r="AE24" i="23"/>
  <c r="AS89" i="23" s="1"/>
  <c r="O49" i="11"/>
  <c r="CC12" i="23"/>
  <c r="J59" i="11"/>
  <c r="J67" i="11"/>
  <c r="J75" i="11"/>
  <c r="J83" i="11"/>
  <c r="J57" i="11"/>
  <c r="J60" i="11"/>
  <c r="J68" i="11"/>
  <c r="J76" i="11"/>
  <c r="J84" i="11"/>
  <c r="J56" i="11"/>
  <c r="J62" i="11"/>
  <c r="J70" i="11"/>
  <c r="J78" i="11"/>
  <c r="J86" i="11"/>
  <c r="J63" i="11"/>
  <c r="J71" i="11"/>
  <c r="J79" i="11"/>
  <c r="J87" i="11"/>
  <c r="J64" i="11"/>
  <c r="J72" i="11"/>
  <c r="J80" i="11"/>
  <c r="J55" i="11"/>
  <c r="J58" i="11"/>
  <c r="J65" i="11"/>
  <c r="J73" i="11"/>
  <c r="J81" i="11"/>
  <c r="J85" i="11"/>
  <c r="J66" i="11"/>
  <c r="J69" i="11"/>
  <c r="J74" i="11"/>
  <c r="J82" i="11"/>
  <c r="J77" i="11"/>
  <c r="J94" i="11"/>
  <c r="C39" i="23"/>
  <c r="AK18" i="23"/>
  <c r="J50" i="11"/>
  <c r="J49" i="11"/>
  <c r="AG18" i="23"/>
  <c r="BD27" i="23" s="1"/>
  <c r="BX12" i="23"/>
  <c r="AL18" i="23"/>
  <c r="J46" i="11"/>
  <c r="M62" i="11"/>
  <c r="M69" i="11"/>
  <c r="M77" i="11"/>
  <c r="M85" i="11"/>
  <c r="M58" i="11"/>
  <c r="M59" i="11"/>
  <c r="M61" i="11"/>
  <c r="M63" i="11"/>
  <c r="M72" i="11"/>
  <c r="M80" i="11"/>
  <c r="M55" i="11"/>
  <c r="M57" i="11"/>
  <c r="M60" i="11"/>
  <c r="M65" i="11"/>
  <c r="M73" i="11"/>
  <c r="M81" i="11"/>
  <c r="M56" i="11"/>
  <c r="M66" i="11"/>
  <c r="M74" i="11"/>
  <c r="M82" i="11"/>
  <c r="M67" i="11"/>
  <c r="M75" i="11"/>
  <c r="M83" i="11"/>
  <c r="M84" i="11"/>
  <c r="M86" i="11"/>
  <c r="M68" i="11"/>
  <c r="M87" i="11"/>
  <c r="M70" i="11"/>
  <c r="M71" i="11"/>
  <c r="M76" i="11"/>
  <c r="M79" i="11"/>
  <c r="AH23" i="23"/>
  <c r="AH24" i="23"/>
  <c r="AX87" i="23" s="1"/>
  <c r="AH25" i="23"/>
  <c r="AU87" i="23" s="1"/>
  <c r="E11" i="23"/>
  <c r="M94" i="11"/>
  <c r="AJ28" i="23"/>
  <c r="M50" i="11"/>
  <c r="AE22" i="23"/>
  <c r="AU74" i="23" s="1"/>
  <c r="AJ29" i="23"/>
  <c r="M78" i="11"/>
  <c r="AF22" i="23"/>
  <c r="AZ72" i="23" s="1"/>
  <c r="AJ30" i="23"/>
  <c r="AD32" i="23"/>
  <c r="AD12" i="23"/>
  <c r="M49" i="11"/>
  <c r="M48" i="11" s="1"/>
  <c r="AG22" i="23"/>
  <c r="AX72" i="23" s="1"/>
  <c r="CA12" i="23"/>
  <c r="M46" i="11"/>
  <c r="P56" i="11"/>
  <c r="P55" i="11"/>
  <c r="P58" i="11"/>
  <c r="P62" i="11"/>
  <c r="P59" i="11"/>
  <c r="P61" i="11"/>
  <c r="P63" i="11"/>
  <c r="P65" i="11"/>
  <c r="P71" i="11"/>
  <c r="P79" i="11"/>
  <c r="P87" i="11"/>
  <c r="P72" i="11"/>
  <c r="P80" i="11"/>
  <c r="P73" i="11"/>
  <c r="P81" i="11"/>
  <c r="P64" i="11"/>
  <c r="P66" i="11"/>
  <c r="P74" i="11"/>
  <c r="P82" i="11"/>
  <c r="P57" i="11"/>
  <c r="P75" i="11"/>
  <c r="P83" i="11"/>
  <c r="P68" i="11"/>
  <c r="P76" i="11"/>
  <c r="P84" i="11"/>
  <c r="P60" i="11"/>
  <c r="P70" i="11"/>
  <c r="P78" i="11"/>
  <c r="P86" i="11"/>
  <c r="AM25" i="23"/>
  <c r="AM27" i="23"/>
  <c r="E27" i="23"/>
  <c r="P69" i="11"/>
  <c r="P77" i="11"/>
  <c r="P85" i="11"/>
  <c r="P50" i="11"/>
  <c r="AD33" i="23"/>
  <c r="AE25" i="23"/>
  <c r="AS90" i="23" s="1"/>
  <c r="AI25" i="23"/>
  <c r="AU85" i="23" s="1"/>
  <c r="AG25" i="23"/>
  <c r="AU97" i="23" s="1"/>
  <c r="P94" i="11"/>
  <c r="P46" i="11"/>
  <c r="CD12" i="23"/>
  <c r="P49" i="11"/>
  <c r="P48" i="11" s="1"/>
  <c r="K55" i="11"/>
  <c r="K63" i="11"/>
  <c r="K71" i="11"/>
  <c r="K79" i="11"/>
  <c r="K87" i="11"/>
  <c r="K59" i="11"/>
  <c r="K61" i="11"/>
  <c r="K64" i="11"/>
  <c r="K72" i="11"/>
  <c r="K80" i="11"/>
  <c r="K57" i="11"/>
  <c r="K56" i="11"/>
  <c r="K66" i="11"/>
  <c r="K74" i="11"/>
  <c r="K82" i="11"/>
  <c r="K67" i="11"/>
  <c r="K75" i="11"/>
  <c r="K83" i="11"/>
  <c r="K68" i="11"/>
  <c r="K76" i="11"/>
  <c r="K84" i="11"/>
  <c r="K69" i="11"/>
  <c r="K77" i="11"/>
  <c r="K85" i="11"/>
  <c r="K65" i="11"/>
  <c r="K58" i="11"/>
  <c r="K70" i="11"/>
  <c r="K73" i="11"/>
  <c r="K78" i="11"/>
  <c r="K81" i="11"/>
  <c r="K86" i="11"/>
  <c r="AL19" i="23"/>
  <c r="K94" i="11"/>
  <c r="K50" i="11"/>
  <c r="C43" i="23"/>
  <c r="AG19" i="23"/>
  <c r="BF27" i="23" s="1"/>
  <c r="AK19" i="23"/>
  <c r="BH20" i="23" s="1"/>
  <c r="K60" i="11"/>
  <c r="K46" i="11"/>
  <c r="BY12" i="23"/>
  <c r="K49" i="11"/>
  <c r="F62" i="11"/>
  <c r="F70" i="11"/>
  <c r="F78" i="11"/>
  <c r="F86" i="11"/>
  <c r="F63" i="11"/>
  <c r="F71" i="11"/>
  <c r="F79" i="11"/>
  <c r="F87" i="11"/>
  <c r="F65" i="11"/>
  <c r="F73" i="11"/>
  <c r="F81" i="11"/>
  <c r="F58" i="11"/>
  <c r="F66" i="11"/>
  <c r="F74" i="11"/>
  <c r="F82" i="11"/>
  <c r="F59" i="11"/>
  <c r="F67" i="11"/>
  <c r="F75" i="11"/>
  <c r="F83" i="11"/>
  <c r="F55" i="11"/>
  <c r="F56" i="11"/>
  <c r="F60" i="11"/>
  <c r="F68" i="11"/>
  <c r="F76" i="11"/>
  <c r="F84" i="11"/>
  <c r="F61" i="11"/>
  <c r="F64" i="11"/>
  <c r="F69" i="11"/>
  <c r="F72" i="11"/>
  <c r="F77" i="11"/>
  <c r="F85" i="11"/>
  <c r="AM16" i="23"/>
  <c r="AI14" i="23"/>
  <c r="AX21" i="23" s="1"/>
  <c r="F80" i="11"/>
  <c r="AD15" i="23"/>
  <c r="F50" i="11"/>
  <c r="C19" i="23"/>
  <c r="F94" i="11"/>
  <c r="AD13" i="23"/>
  <c r="AG14" i="23"/>
  <c r="AX31" i="23" s="1"/>
  <c r="AM14" i="23"/>
  <c r="F46" i="11"/>
  <c r="F49" i="11"/>
  <c r="BT12" i="23"/>
  <c r="I57" i="11"/>
  <c r="I65" i="11"/>
  <c r="I73" i="11"/>
  <c r="I81" i="11"/>
  <c r="I56" i="11"/>
  <c r="I66" i="11"/>
  <c r="I74" i="11"/>
  <c r="I82" i="11"/>
  <c r="I68" i="11"/>
  <c r="I76" i="11"/>
  <c r="I84" i="11"/>
  <c r="I55" i="11"/>
  <c r="I61" i="11"/>
  <c r="I69" i="11"/>
  <c r="I77" i="11"/>
  <c r="I85" i="11"/>
  <c r="I58" i="11"/>
  <c r="I62" i="11"/>
  <c r="I70" i="11"/>
  <c r="I78" i="11"/>
  <c r="I86" i="11"/>
  <c r="I63" i="11"/>
  <c r="I71" i="11"/>
  <c r="I79" i="11"/>
  <c r="I87" i="11"/>
  <c r="I75" i="11"/>
  <c r="I80" i="11"/>
  <c r="I83" i="11"/>
  <c r="I64" i="11"/>
  <c r="I59" i="11"/>
  <c r="I72" i="11"/>
  <c r="I94" i="11"/>
  <c r="AG17" i="23"/>
  <c r="AU44" i="23" s="1"/>
  <c r="C35" i="23"/>
  <c r="AN17" i="23"/>
  <c r="AU40" i="23" s="1"/>
  <c r="AN15" i="23"/>
  <c r="I67" i="11"/>
  <c r="I49" i="11"/>
  <c r="I48" i="11" s="1"/>
  <c r="I50" i="11"/>
  <c r="BW12" i="23"/>
  <c r="I46" i="11"/>
  <c r="L58" i="11"/>
  <c r="L69" i="11"/>
  <c r="L77" i="11"/>
  <c r="L85" i="11"/>
  <c r="L70" i="11"/>
  <c r="L78" i="11"/>
  <c r="L86" i="11"/>
  <c r="L55" i="11"/>
  <c r="L57" i="11"/>
  <c r="L60" i="11"/>
  <c r="L64" i="11"/>
  <c r="L72" i="11"/>
  <c r="L80" i="11"/>
  <c r="L56" i="11"/>
  <c r="L65" i="11"/>
  <c r="L73" i="11"/>
  <c r="L81" i="11"/>
  <c r="L66" i="11"/>
  <c r="L74" i="11"/>
  <c r="L82" i="11"/>
  <c r="L67" i="11"/>
  <c r="L75" i="11"/>
  <c r="L83" i="11"/>
  <c r="L59" i="11"/>
  <c r="L79" i="11"/>
  <c r="L62" i="11"/>
  <c r="L84" i="11"/>
  <c r="L87" i="11"/>
  <c r="L61" i="11"/>
  <c r="L68" i="11"/>
  <c r="L76" i="11"/>
  <c r="AL20" i="23"/>
  <c r="AG20" i="23"/>
  <c r="BH27" i="23" s="1"/>
  <c r="L94" i="11"/>
  <c r="L71" i="11"/>
  <c r="C47" i="23"/>
  <c r="AK20" i="23"/>
  <c r="BF20" i="23" s="1"/>
  <c r="L50" i="11"/>
  <c r="L49" i="11"/>
  <c r="L48" i="11" s="1"/>
  <c r="L46" i="11"/>
  <c r="BZ12" i="23"/>
  <c r="AI55" i="11"/>
  <c r="AI59" i="11"/>
  <c r="AI61" i="11"/>
  <c r="AI63" i="11"/>
  <c r="AI56" i="11"/>
  <c r="AI58" i="11"/>
  <c r="AI62" i="11"/>
  <c r="AI57" i="11"/>
  <c r="AI70" i="11"/>
  <c r="AI74" i="11"/>
  <c r="AI78" i="11"/>
  <c r="AI82" i="11"/>
  <c r="AI64" i="11"/>
  <c r="AI66" i="11"/>
  <c r="AI87" i="11"/>
  <c r="AI65" i="11"/>
  <c r="AI67" i="11"/>
  <c r="AI69" i="11"/>
  <c r="AI71" i="11"/>
  <c r="AI73" i="11"/>
  <c r="AI75" i="11"/>
  <c r="AI77" i="11"/>
  <c r="AI79" i="11"/>
  <c r="AI81" i="11"/>
  <c r="AI83" i="11"/>
  <c r="AI85" i="11"/>
  <c r="AI60" i="11"/>
  <c r="AI68" i="11"/>
  <c r="AI72" i="11"/>
  <c r="AI76" i="11"/>
  <c r="AI80" i="11"/>
  <c r="AI84" i="11"/>
  <c r="AN47" i="23"/>
  <c r="AI94" i="11"/>
  <c r="K35" i="23"/>
  <c r="AI50" i="11"/>
  <c r="AI49" i="11"/>
  <c r="AI48" i="11" s="1"/>
  <c r="CW12" i="23"/>
  <c r="AG47" i="23"/>
  <c r="BG164" i="23" s="1"/>
  <c r="AI46" i="11"/>
  <c r="BF159" i="23"/>
  <c r="AN46" i="23"/>
  <c r="AH59" i="11"/>
  <c r="AH61" i="11"/>
  <c r="AH63" i="11"/>
  <c r="AH65" i="11"/>
  <c r="AH57" i="11"/>
  <c r="AH60" i="11"/>
  <c r="AH56" i="11"/>
  <c r="AH58" i="11"/>
  <c r="AH62" i="11"/>
  <c r="AH55" i="11"/>
  <c r="AH64" i="11"/>
  <c r="AH66" i="11"/>
  <c r="AH67" i="11"/>
  <c r="AH69" i="11"/>
  <c r="AH71" i="11"/>
  <c r="AH73" i="11"/>
  <c r="AH75" i="11"/>
  <c r="AH77" i="11"/>
  <c r="AH79" i="11"/>
  <c r="AH81" i="11"/>
  <c r="AH83" i="11"/>
  <c r="AH68" i="11"/>
  <c r="AH72" i="11"/>
  <c r="AH76" i="11"/>
  <c r="AH80" i="11"/>
  <c r="AH84" i="11"/>
  <c r="AH70" i="11"/>
  <c r="AE46" i="23"/>
  <c r="BE157" i="23" s="1"/>
  <c r="AH94" i="11"/>
  <c r="AG46" i="23"/>
  <c r="BH158" i="23" s="1"/>
  <c r="AH78" i="11"/>
  <c r="AH82" i="11"/>
  <c r="AM46" i="23"/>
  <c r="AH74" i="11"/>
  <c r="AH86" i="11"/>
  <c r="AM47" i="23"/>
  <c r="AH87" i="11"/>
  <c r="K31" i="23"/>
  <c r="AH49" i="11"/>
  <c r="AH48" i="11" s="1"/>
  <c r="AH50" i="11"/>
  <c r="BF153" i="23"/>
  <c r="D60" i="11"/>
  <c r="D68" i="11"/>
  <c r="D76" i="11"/>
  <c r="D84" i="11"/>
  <c r="D61" i="11"/>
  <c r="D69" i="11"/>
  <c r="D77" i="11"/>
  <c r="D85" i="11"/>
  <c r="D62" i="11"/>
  <c r="D70" i="11"/>
  <c r="D78" i="11"/>
  <c r="D86" i="11"/>
  <c r="D63" i="11"/>
  <c r="D71" i="11"/>
  <c r="D79" i="11"/>
  <c r="D87" i="11"/>
  <c r="D56" i="11"/>
  <c r="D64" i="11"/>
  <c r="D72" i="11"/>
  <c r="D80" i="11"/>
  <c r="D57" i="11"/>
  <c r="D65" i="11"/>
  <c r="D73" i="11"/>
  <c r="D81" i="11"/>
  <c r="D58" i="11"/>
  <c r="D66" i="11"/>
  <c r="D74" i="11"/>
  <c r="D82" i="11"/>
  <c r="D67" i="11"/>
  <c r="D75" i="11"/>
  <c r="D83" i="11"/>
  <c r="D59" i="11"/>
  <c r="AE12" i="23"/>
  <c r="AU10" i="23" s="1"/>
  <c r="AJ19" i="23"/>
  <c r="AF12" i="23"/>
  <c r="AJ20" i="23"/>
  <c r="AG12" i="23"/>
  <c r="D94" i="11"/>
  <c r="AH13" i="23"/>
  <c r="AH14" i="23"/>
  <c r="AX23" i="23" s="1"/>
  <c r="AD22" i="23"/>
  <c r="AH15" i="23"/>
  <c r="AU23" i="23" s="1"/>
  <c r="C11" i="23"/>
  <c r="D50" i="11"/>
  <c r="AJ18" i="23"/>
  <c r="D49" i="11"/>
  <c r="D46" i="11"/>
  <c r="C45" i="11"/>
  <c r="BR12" i="23"/>
  <c r="E60" i="11"/>
  <c r="E68" i="11"/>
  <c r="E76" i="11"/>
  <c r="E84" i="11"/>
  <c r="E61" i="11"/>
  <c r="E69" i="11"/>
  <c r="E77" i="11"/>
  <c r="E85" i="11"/>
  <c r="E62" i="11"/>
  <c r="E70" i="11"/>
  <c r="E78" i="11"/>
  <c r="E86" i="11"/>
  <c r="E63" i="11"/>
  <c r="E71" i="11"/>
  <c r="E79" i="11"/>
  <c r="E87" i="11"/>
  <c r="E55" i="11"/>
  <c r="E64" i="11"/>
  <c r="E72" i="11"/>
  <c r="E80" i="11"/>
  <c r="E57" i="11"/>
  <c r="E65" i="11"/>
  <c r="E73" i="11"/>
  <c r="E81" i="11"/>
  <c r="E58" i="11"/>
  <c r="E66" i="11"/>
  <c r="E74" i="11"/>
  <c r="E82" i="11"/>
  <c r="E67" i="11"/>
  <c r="E75" i="11"/>
  <c r="E83" i="11"/>
  <c r="E59" i="11"/>
  <c r="AI13" i="23"/>
  <c r="AE13" i="23"/>
  <c r="AS24" i="23" s="1"/>
  <c r="E94" i="11"/>
  <c r="AG13" i="23"/>
  <c r="BA27" i="23" s="1"/>
  <c r="C15" i="23"/>
  <c r="E50" i="11"/>
  <c r="E49" i="11"/>
  <c r="E48" i="11" s="1"/>
  <c r="H56" i="11"/>
  <c r="H65" i="11"/>
  <c r="H73" i="11"/>
  <c r="H81" i="11"/>
  <c r="H66" i="11"/>
  <c r="H74" i="11"/>
  <c r="H82" i="11"/>
  <c r="H55" i="11"/>
  <c r="H60" i="11"/>
  <c r="H68" i="11"/>
  <c r="H76" i="11"/>
  <c r="H84" i="11"/>
  <c r="H58" i="11"/>
  <c r="H61" i="11"/>
  <c r="H69" i="11"/>
  <c r="H77" i="11"/>
  <c r="H85" i="11"/>
  <c r="H62" i="11"/>
  <c r="H70" i="11"/>
  <c r="H78" i="11"/>
  <c r="H86" i="11"/>
  <c r="H63" i="11"/>
  <c r="H71" i="11"/>
  <c r="H79" i="11"/>
  <c r="H87" i="11"/>
  <c r="H67" i="11"/>
  <c r="H72" i="11"/>
  <c r="H75" i="11"/>
  <c r="H57" i="11"/>
  <c r="H80" i="11"/>
  <c r="H83" i="11"/>
  <c r="H64" i="11"/>
  <c r="H50" i="11"/>
  <c r="AN14" i="23"/>
  <c r="AG16" i="23"/>
  <c r="AX35" i="23" s="1"/>
  <c r="AN16" i="23"/>
  <c r="AY32" i="23" s="1"/>
  <c r="H94" i="11"/>
  <c r="C23" i="23"/>
  <c r="H46" i="11"/>
  <c r="H49" i="11"/>
  <c r="H48" i="11" s="1"/>
  <c r="BV12" i="23"/>
  <c r="AB48" i="11" l="1"/>
  <c r="AC48" i="11"/>
  <c r="G48" i="11"/>
  <c r="X48" i="11"/>
  <c r="C94" i="11"/>
  <c r="AF35" i="23"/>
  <c r="AV164" i="23" s="1"/>
  <c r="Y51" i="11"/>
  <c r="U35" i="23" s="1"/>
  <c r="O37" i="23"/>
  <c r="O36" i="23" s="1"/>
  <c r="O35" i="23"/>
  <c r="V51" i="11"/>
  <c r="U11" i="23" s="1"/>
  <c r="O11" i="23"/>
  <c r="AF42" i="23"/>
  <c r="BD164" i="23" s="1"/>
  <c r="P49" i="23"/>
  <c r="P48" i="23" s="1"/>
  <c r="P47" i="23"/>
  <c r="AE51" i="11"/>
  <c r="V47" i="23" s="1"/>
  <c r="K49" i="23"/>
  <c r="K48" i="23"/>
  <c r="BB176" i="23"/>
  <c r="AI12" i="23"/>
  <c r="BA21" i="23"/>
  <c r="D55" i="11"/>
  <c r="BH22" i="23"/>
  <c r="BF21" i="23"/>
  <c r="O66" i="11"/>
  <c r="O92" i="11" s="1"/>
  <c r="M64" i="11"/>
  <c r="M92" i="11" s="1"/>
  <c r="S70" i="11"/>
  <c r="S92" i="11" s="1"/>
  <c r="Q68" i="11"/>
  <c r="Q92" i="11"/>
  <c r="AF20" i="23"/>
  <c r="BF47" i="23" s="1"/>
  <c r="L51" i="11"/>
  <c r="S47" i="23" s="1"/>
  <c r="M47" i="23"/>
  <c r="AZ59" i="23" s="1"/>
  <c r="M49" i="23"/>
  <c r="M48" i="23" s="1"/>
  <c r="AF17" i="23"/>
  <c r="AV47" i="23" s="1"/>
  <c r="M37" i="23"/>
  <c r="M36" i="23" s="1"/>
  <c r="M35" i="23"/>
  <c r="AZ56" i="23" s="1"/>
  <c r="I51" i="11"/>
  <c r="S35" i="23" s="1"/>
  <c r="F48" i="11"/>
  <c r="AO15" i="23"/>
  <c r="AU26" i="23"/>
  <c r="E28" i="23"/>
  <c r="E29" i="23"/>
  <c r="C41" i="23"/>
  <c r="C40" i="23"/>
  <c r="O51" i="11"/>
  <c r="T19" i="23" s="1"/>
  <c r="N19" i="23"/>
  <c r="AK22" i="23"/>
  <c r="BD84" i="23"/>
  <c r="S93" i="11"/>
  <c r="G32" i="23"/>
  <c r="AZ174" i="23"/>
  <c r="G33" i="23"/>
  <c r="G36" i="23"/>
  <c r="G37" i="23"/>
  <c r="AZ175" i="23"/>
  <c r="AA51" i="11"/>
  <c r="V11" i="23" s="1"/>
  <c r="P11" i="23"/>
  <c r="AH38" i="23"/>
  <c r="BA147" i="23"/>
  <c r="AF36" i="23"/>
  <c r="AX164" i="23" s="1"/>
  <c r="Z51" i="11"/>
  <c r="U47" i="23" s="1"/>
  <c r="O49" i="23"/>
  <c r="O48" i="23" s="1"/>
  <c r="O47" i="23"/>
  <c r="AC51" i="11"/>
  <c r="V31" i="23" s="1"/>
  <c r="P31" i="23"/>
  <c r="P32" i="23" s="1"/>
  <c r="P33" i="23" s="1"/>
  <c r="AZ8" i="23"/>
  <c r="W74" i="11"/>
  <c r="W92" i="11" s="1"/>
  <c r="U72" i="11"/>
  <c r="U92" i="11" s="1"/>
  <c r="AA78" i="11"/>
  <c r="AA93" i="11" s="1"/>
  <c r="Y76" i="11"/>
  <c r="Y93" i="11" s="1"/>
  <c r="AE14" i="23"/>
  <c r="AS25" i="23" s="1"/>
  <c r="F51" i="11"/>
  <c r="S19" i="23" s="1"/>
  <c r="M19" i="23"/>
  <c r="AF26" i="23"/>
  <c r="AX111" i="23" s="1"/>
  <c r="Q51" i="11"/>
  <c r="T23" i="23" s="1"/>
  <c r="N23" i="23"/>
  <c r="AZ120" i="23" s="1"/>
  <c r="N25" i="23"/>
  <c r="N24" i="23" s="1"/>
  <c r="X51" i="11"/>
  <c r="U31" i="23" s="1"/>
  <c r="O31" i="23"/>
  <c r="O32" i="23" s="1"/>
  <c r="O33" i="23" s="1"/>
  <c r="AF30" i="23"/>
  <c r="BF111" i="23" s="1"/>
  <c r="U51" i="11"/>
  <c r="T47" i="23" s="1"/>
  <c r="N49" i="23"/>
  <c r="N48" i="23" s="1"/>
  <c r="N47" i="23"/>
  <c r="AZ124" i="23" s="1"/>
  <c r="AJ32" i="23"/>
  <c r="AX146" i="23"/>
  <c r="AS73" i="23"/>
  <c r="C44" i="23"/>
  <c r="C45" i="23"/>
  <c r="AU106" i="23"/>
  <c r="BH86" i="23"/>
  <c r="AH22" i="23"/>
  <c r="BA87" i="23"/>
  <c r="N15" i="23"/>
  <c r="N51" i="11"/>
  <c r="T15" i="23" s="1"/>
  <c r="AF28" i="23"/>
  <c r="BD111" i="23" s="1"/>
  <c r="N39" i="23"/>
  <c r="AZ122" i="23" s="1"/>
  <c r="N41" i="23"/>
  <c r="N40" i="23" s="1"/>
  <c r="S51" i="11"/>
  <c r="T39" i="23" s="1"/>
  <c r="W51" i="11"/>
  <c r="U27" i="23" s="1"/>
  <c r="O27" i="23"/>
  <c r="O28" i="23" s="1"/>
  <c r="O29" i="23" s="1"/>
  <c r="AH32" i="23"/>
  <c r="AO32" i="23" s="1"/>
  <c r="AU147" i="23"/>
  <c r="M27" i="23"/>
  <c r="G51" i="11"/>
  <c r="S27" i="23" s="1"/>
  <c r="AO46" i="23"/>
  <c r="BF157" i="23"/>
  <c r="BF161" i="23"/>
  <c r="I51" i="23"/>
  <c r="J11" i="23" s="1"/>
  <c r="BB142" i="23" s="1"/>
  <c r="I13" i="23"/>
  <c r="I12" i="23"/>
  <c r="BA172" i="23"/>
  <c r="E56" i="11"/>
  <c r="E92" i="11" s="1"/>
  <c r="I60" i="11"/>
  <c r="I92" i="11" s="1"/>
  <c r="G11" i="20"/>
  <c r="G8" i="20"/>
  <c r="F11" i="20"/>
  <c r="G10" i="20" s="1"/>
  <c r="H92" i="11"/>
  <c r="H59" i="11"/>
  <c r="H93" i="11" s="1"/>
  <c r="AD81" i="11"/>
  <c r="AD92" i="11"/>
  <c r="AJ87" i="11"/>
  <c r="AJ92" i="11" s="1"/>
  <c r="AH85" i="11"/>
  <c r="AH93" i="11" s="1"/>
  <c r="K37" i="23"/>
  <c r="BB175" i="23"/>
  <c r="K36" i="23"/>
  <c r="C48" i="23"/>
  <c r="C49" i="23"/>
  <c r="AF19" i="23"/>
  <c r="BH47" i="23" s="1"/>
  <c r="K51" i="11"/>
  <c r="S43" i="23" s="1"/>
  <c r="M43" i="23"/>
  <c r="AZ58" i="23" s="1"/>
  <c r="M45" i="23"/>
  <c r="M44" i="23" s="1"/>
  <c r="AL13" i="23"/>
  <c r="BB23" i="23" s="1"/>
  <c r="AL14" i="23"/>
  <c r="AY23" i="23" s="1"/>
  <c r="E20" i="23"/>
  <c r="E21" i="23"/>
  <c r="Q93" i="11"/>
  <c r="AI22" i="23"/>
  <c r="BA85" i="23"/>
  <c r="G29" i="23"/>
  <c r="AZ173" i="23"/>
  <c r="G28" i="23"/>
  <c r="H28" i="23" s="1"/>
  <c r="G13" i="23"/>
  <c r="H13" i="23" s="1"/>
  <c r="G51" i="23"/>
  <c r="H35" i="23" s="1"/>
  <c r="AV162" i="23" s="1"/>
  <c r="G12" i="23"/>
  <c r="AZ172" i="23"/>
  <c r="I48" i="23"/>
  <c r="J48" i="23" s="1"/>
  <c r="I49" i="23"/>
  <c r="J49" i="23" s="1"/>
  <c r="J47" i="23"/>
  <c r="BD155" i="23" s="1"/>
  <c r="BA176" i="23"/>
  <c r="I37" i="23"/>
  <c r="I36" i="23"/>
  <c r="J35" i="23"/>
  <c r="BB162" i="23" s="1"/>
  <c r="BA175" i="23"/>
  <c r="AO17" i="23"/>
  <c r="AU42" i="23"/>
  <c r="D27" i="23"/>
  <c r="AV37" i="23" s="1"/>
  <c r="C28" i="23"/>
  <c r="C29" i="23"/>
  <c r="AG51" i="11"/>
  <c r="W27" i="23" s="1"/>
  <c r="Q27" i="23"/>
  <c r="Q28" i="23" s="1"/>
  <c r="Q29" i="23" s="1"/>
  <c r="C12" i="23"/>
  <c r="C51" i="23"/>
  <c r="D11" i="23" s="1"/>
  <c r="AY11" i="23" s="1"/>
  <c r="C13" i="23"/>
  <c r="D13" i="23" s="1"/>
  <c r="BD20" i="23"/>
  <c r="AK12" i="23"/>
  <c r="AO25" i="23"/>
  <c r="AU90" i="23"/>
  <c r="AF16" i="23"/>
  <c r="AX47" i="23" s="1"/>
  <c r="H51" i="11"/>
  <c r="S23" i="23" s="1"/>
  <c r="M25" i="23"/>
  <c r="M24" i="23" s="1"/>
  <c r="M23" i="23"/>
  <c r="AZ55" i="23" s="1"/>
  <c r="G58" i="11"/>
  <c r="G93" i="11" s="1"/>
  <c r="K62" i="11"/>
  <c r="K92" i="11"/>
  <c r="AF47" i="23"/>
  <c r="BH164" i="23" s="1"/>
  <c r="AI51" i="11"/>
  <c r="W35" i="23" s="1"/>
  <c r="Q35" i="23"/>
  <c r="Q37" i="23"/>
  <c r="Q36" i="23" s="1"/>
  <c r="AD14" i="23"/>
  <c r="E51" i="11"/>
  <c r="S15" i="23" s="1"/>
  <c r="M15" i="23"/>
  <c r="C46" i="11"/>
  <c r="AH12" i="23"/>
  <c r="BA23" i="23"/>
  <c r="AF83" i="11"/>
  <c r="AF92" i="11" s="1"/>
  <c r="V73" i="11"/>
  <c r="V92" i="11"/>
  <c r="AB79" i="11"/>
  <c r="AB93" i="11" s="1"/>
  <c r="Z77" i="11"/>
  <c r="Z92" i="11" s="1"/>
  <c r="AH51" i="11"/>
  <c r="W31" i="23" s="1"/>
  <c r="Q31" i="23"/>
  <c r="Q32" i="23" s="1"/>
  <c r="Q33" i="23" s="1"/>
  <c r="I93" i="11"/>
  <c r="AO16" i="23"/>
  <c r="AY34" i="23"/>
  <c r="K48" i="11"/>
  <c r="K93" i="11"/>
  <c r="AO33" i="23"/>
  <c r="AT147" i="23"/>
  <c r="M51" i="11"/>
  <c r="T11" i="23" s="1"/>
  <c r="N11" i="23"/>
  <c r="O48" i="11"/>
  <c r="E44" i="23"/>
  <c r="E45" i="23"/>
  <c r="E40" i="23"/>
  <c r="E41" i="23"/>
  <c r="U93" i="11"/>
  <c r="AZ147" i="23"/>
  <c r="AO39" i="23"/>
  <c r="W93" i="11"/>
  <c r="BF136" i="23"/>
  <c r="K51" i="23"/>
  <c r="K12" i="23"/>
  <c r="BB172" i="23"/>
  <c r="L11" i="23"/>
  <c r="BH142" i="23" s="1"/>
  <c r="K13" i="23"/>
  <c r="AJ51" i="11"/>
  <c r="W47" i="23" s="1"/>
  <c r="AF48" i="23"/>
  <c r="BJ164" i="23" s="1"/>
  <c r="Q49" i="23"/>
  <c r="Q48" i="23" s="1"/>
  <c r="Q47" i="23"/>
  <c r="AJ93" i="11"/>
  <c r="AF41" i="23"/>
  <c r="BB164" i="23" s="1"/>
  <c r="AD51" i="11"/>
  <c r="V35" i="23" s="1"/>
  <c r="P35" i="23"/>
  <c r="P37" i="23"/>
  <c r="P36" i="23" s="1"/>
  <c r="I32" i="23"/>
  <c r="J32" i="23" s="1"/>
  <c r="I33" i="23"/>
  <c r="J33" i="23" s="1"/>
  <c r="BA174" i="23"/>
  <c r="J31" i="23"/>
  <c r="BB156" i="23" s="1"/>
  <c r="K29" i="23"/>
  <c r="L27" i="23"/>
  <c r="BH150" i="23" s="1"/>
  <c r="BB173" i="23"/>
  <c r="K28" i="23"/>
  <c r="D15" i="23"/>
  <c r="BB27" i="23" s="1"/>
  <c r="C17" i="23"/>
  <c r="D17" i="23" s="1"/>
  <c r="C16" i="23"/>
  <c r="D16" i="23" s="1"/>
  <c r="X75" i="11"/>
  <c r="X92" i="11" s="1"/>
  <c r="N65" i="11"/>
  <c r="N93" i="11" s="1"/>
  <c r="T71" i="11"/>
  <c r="T92" i="11" s="1"/>
  <c r="R69" i="11"/>
  <c r="R93" i="11" s="1"/>
  <c r="BD86" i="23"/>
  <c r="AJ22" i="23"/>
  <c r="AO34" i="23"/>
  <c r="AT157" i="23"/>
  <c r="AB51" i="11"/>
  <c r="V27" i="23" s="1"/>
  <c r="P27" i="23"/>
  <c r="P28" i="23" s="1"/>
  <c r="P29" i="23" s="1"/>
  <c r="BD151" i="23"/>
  <c r="AJ38" i="23"/>
  <c r="AO38" i="23" s="1"/>
  <c r="BD146" i="23"/>
  <c r="Q11" i="23"/>
  <c r="AF51" i="11"/>
  <c r="W11" i="23" s="1"/>
  <c r="AJ44" i="23"/>
  <c r="BJ146" i="23"/>
  <c r="AF93" i="11"/>
  <c r="G49" i="23"/>
  <c r="H49" i="23" s="1"/>
  <c r="G48" i="23"/>
  <c r="H48" i="23" s="1"/>
  <c r="AZ176" i="23"/>
  <c r="H47" i="23"/>
  <c r="AX155" i="23" s="1"/>
  <c r="AD93" i="11"/>
  <c r="AO41" i="23"/>
  <c r="AZ161" i="23"/>
  <c r="AO13" i="23"/>
  <c r="AS9" i="23"/>
  <c r="O93" i="11"/>
  <c r="AO40" i="23"/>
  <c r="AZ157" i="23"/>
  <c r="AJ12" i="23"/>
  <c r="BD22" i="23"/>
  <c r="AX8" i="23"/>
  <c r="AG49" i="23"/>
  <c r="P67" i="11"/>
  <c r="P93" i="11" s="1"/>
  <c r="F57" i="11"/>
  <c r="F93" i="11" s="1"/>
  <c r="L63" i="11"/>
  <c r="L92" i="11" s="1"/>
  <c r="J61" i="11"/>
  <c r="J93" i="11" s="1"/>
  <c r="K33" i="23"/>
  <c r="K32" i="23"/>
  <c r="L32" i="23" s="1"/>
  <c r="L31" i="23"/>
  <c r="BH156" i="23" s="1"/>
  <c r="BB174" i="23"/>
  <c r="C36" i="23"/>
  <c r="D36" i="23" s="1"/>
  <c r="C37" i="23"/>
  <c r="D37" i="23" s="1"/>
  <c r="D35" i="23"/>
  <c r="AV43" i="23" s="1"/>
  <c r="AT136" i="23"/>
  <c r="J48" i="11"/>
  <c r="AO26" i="23"/>
  <c r="AY98" i="23"/>
  <c r="T93" i="11"/>
  <c r="E24" i="23"/>
  <c r="E25" i="23"/>
  <c r="E16" i="23"/>
  <c r="E17" i="23"/>
  <c r="AL24" i="23"/>
  <c r="AO24" i="23" s="1"/>
  <c r="AL23" i="23"/>
  <c r="BB87" i="23" s="1"/>
  <c r="AO35" i="23"/>
  <c r="AO36" i="23" s="1"/>
  <c r="AT161" i="23"/>
  <c r="AF27" i="23"/>
  <c r="AV111" i="23" s="1"/>
  <c r="R51" i="11"/>
  <c r="T35" i="23" s="1"/>
  <c r="N37" i="23"/>
  <c r="N36" i="23" s="1"/>
  <c r="N35" i="23"/>
  <c r="AZ121" i="23" s="1"/>
  <c r="I28" i="23"/>
  <c r="J28" i="23" s="1"/>
  <c r="J27" i="23"/>
  <c r="BB150" i="23" s="1"/>
  <c r="BA173" i="23"/>
  <c r="I29" i="23"/>
  <c r="J29" i="23" s="1"/>
  <c r="AH44" i="23"/>
  <c r="AO44" i="23" s="1"/>
  <c r="BG147" i="23"/>
  <c r="C25" i="23"/>
  <c r="D25" i="23" s="1"/>
  <c r="D23" i="23"/>
  <c r="AY37" i="23" s="1"/>
  <c r="C24" i="23"/>
  <c r="D24" i="23" s="1"/>
  <c r="C49" i="11"/>
  <c r="D48" i="11"/>
  <c r="C48" i="11" s="1"/>
  <c r="P51" i="11"/>
  <c r="T27" i="23" s="1"/>
  <c r="N27" i="23"/>
  <c r="AX89" i="23"/>
  <c r="M11" i="23"/>
  <c r="D51" i="11"/>
  <c r="S11" i="23" s="1"/>
  <c r="BF22" i="23"/>
  <c r="AE82" i="11"/>
  <c r="AE93" i="11" s="1"/>
  <c r="AC80" i="11"/>
  <c r="AC92" i="11" s="1"/>
  <c r="AI86" i="11"/>
  <c r="AI93" i="11" s="1"/>
  <c r="AG84" i="11"/>
  <c r="AG93" i="11" s="1"/>
  <c r="D19" i="23"/>
  <c r="AY30" i="23" s="1"/>
  <c r="C21" i="23"/>
  <c r="D21" i="23" s="1"/>
  <c r="C20" i="23"/>
  <c r="D20" i="23" s="1"/>
  <c r="BF86" i="23"/>
  <c r="E51" i="23"/>
  <c r="F51" i="23" s="1"/>
  <c r="E13" i="23"/>
  <c r="E12" i="23"/>
  <c r="F11" i="23"/>
  <c r="AY75" i="23" s="1"/>
  <c r="M93" i="11"/>
  <c r="AF18" i="23"/>
  <c r="BD47" i="23" s="1"/>
  <c r="J51" i="11"/>
  <c r="S39" i="23" s="1"/>
  <c r="M41" i="23"/>
  <c r="M40" i="23" s="1"/>
  <c r="M39" i="23"/>
  <c r="AZ57" i="23" s="1"/>
  <c r="AF29" i="23"/>
  <c r="BH111" i="23" s="1"/>
  <c r="N45" i="23"/>
  <c r="N44" i="23" s="1"/>
  <c r="T51" i="11"/>
  <c r="T43" i="23" s="1"/>
  <c r="N43" i="23"/>
  <c r="AZ123" i="23" s="1"/>
  <c r="E49" i="23"/>
  <c r="F47" i="23"/>
  <c r="BF96" i="23" s="1"/>
  <c r="E48" i="23"/>
  <c r="E36" i="23"/>
  <c r="F36" i="23" s="1"/>
  <c r="E37" i="23"/>
  <c r="W48" i="11"/>
  <c r="AO45" i="23"/>
  <c r="BF147" i="23"/>
  <c r="AZ136" i="23"/>
  <c r="V93" i="11"/>
  <c r="AG48" i="11"/>
  <c r="AI92" i="11" l="1"/>
  <c r="G92" i="11"/>
  <c r="Y92" i="11"/>
  <c r="O95" i="11"/>
  <c r="L95" i="11"/>
  <c r="R92" i="11"/>
  <c r="AF95" i="11"/>
  <c r="H29" i="23"/>
  <c r="L93" i="11"/>
  <c r="AO22" i="23"/>
  <c r="AJ95" i="11"/>
  <c r="I95" i="11"/>
  <c r="H33" i="23"/>
  <c r="AO12" i="23"/>
  <c r="F35" i="23"/>
  <c r="AV107" i="23" s="1"/>
  <c r="F12" i="23"/>
  <c r="AG92" i="11"/>
  <c r="L33" i="23"/>
  <c r="S95" i="11"/>
  <c r="F37" i="23"/>
  <c r="F13" i="23"/>
  <c r="F16" i="23"/>
  <c r="J92" i="11"/>
  <c r="J95" i="11" s="1"/>
  <c r="F40" i="23"/>
  <c r="AB92" i="11"/>
  <c r="H11" i="23"/>
  <c r="AV142" i="23" s="1"/>
  <c r="F21" i="23"/>
  <c r="D44" i="23"/>
  <c r="M95" i="11"/>
  <c r="N16" i="23"/>
  <c r="N17" i="23" s="1"/>
  <c r="AZ117" i="23"/>
  <c r="P13" i="23"/>
  <c r="P12" i="23"/>
  <c r="T44" i="23"/>
  <c r="T45" i="23"/>
  <c r="Z93" i="11"/>
  <c r="Z95" i="11" s="1"/>
  <c r="F15" i="23"/>
  <c r="BB91" i="23" s="1"/>
  <c r="P92" i="11"/>
  <c r="P95" i="11" s="1"/>
  <c r="L51" i="23"/>
  <c r="F41" i="23"/>
  <c r="W32" i="23"/>
  <c r="W33" i="23"/>
  <c r="D28" i="23"/>
  <c r="S44" i="23"/>
  <c r="S45" i="23"/>
  <c r="L37" i="23"/>
  <c r="H95" i="11"/>
  <c r="T17" i="23"/>
  <c r="T16" i="23"/>
  <c r="D45" i="23"/>
  <c r="AA92" i="11"/>
  <c r="AA95" i="11" s="1"/>
  <c r="AC93" i="11"/>
  <c r="AC95" i="11" s="1"/>
  <c r="X93" i="11"/>
  <c r="X95" i="11" s="1"/>
  <c r="N20" i="23"/>
  <c r="N21" i="23" s="1"/>
  <c r="AZ118" i="23"/>
  <c r="T37" i="23"/>
  <c r="T36" i="23"/>
  <c r="V29" i="23"/>
  <c r="V28" i="23"/>
  <c r="T24" i="23"/>
  <c r="T25" i="23"/>
  <c r="AE92" i="11"/>
  <c r="AE95" i="11" s="1"/>
  <c r="T28" i="23"/>
  <c r="T29" i="23"/>
  <c r="F23" i="23"/>
  <c r="AY101" i="23" s="1"/>
  <c r="AO23" i="23"/>
  <c r="W51" i="23"/>
  <c r="W13" i="23"/>
  <c r="W12" i="23"/>
  <c r="T95" i="11"/>
  <c r="F45" i="23"/>
  <c r="D51" i="23"/>
  <c r="F19" i="23"/>
  <c r="AY94" i="23" s="1"/>
  <c r="D49" i="23"/>
  <c r="AH92" i="11"/>
  <c r="AH95" i="11" s="1"/>
  <c r="J12" i="23"/>
  <c r="D43" i="23"/>
  <c r="BF31" i="23" s="1"/>
  <c r="U95" i="11"/>
  <c r="V32" i="23"/>
  <c r="V33" i="23"/>
  <c r="V51" i="23"/>
  <c r="V13" i="23"/>
  <c r="V12" i="23"/>
  <c r="D40" i="23"/>
  <c r="O12" i="23"/>
  <c r="O13" i="23"/>
  <c r="S25" i="23"/>
  <c r="S24" i="23"/>
  <c r="AG95" i="11"/>
  <c r="F25" i="23"/>
  <c r="Q12" i="23"/>
  <c r="Q13" i="23"/>
  <c r="L28" i="23"/>
  <c r="W49" i="23"/>
  <c r="W48" i="23"/>
  <c r="F43" i="23"/>
  <c r="BH96" i="23" s="1"/>
  <c r="AB95" i="11"/>
  <c r="K95" i="11"/>
  <c r="D12" i="23"/>
  <c r="F20" i="23"/>
  <c r="D48" i="23"/>
  <c r="J13" i="23"/>
  <c r="S29" i="23"/>
  <c r="S28" i="23"/>
  <c r="T40" i="23"/>
  <c r="T41" i="23"/>
  <c r="T48" i="23"/>
  <c r="T49" i="23"/>
  <c r="AZ53" i="23"/>
  <c r="M20" i="23"/>
  <c r="M21" i="23" s="1"/>
  <c r="H32" i="23"/>
  <c r="D41" i="23"/>
  <c r="S36" i="23"/>
  <c r="S37" i="23"/>
  <c r="Q95" i="11"/>
  <c r="L47" i="23"/>
  <c r="BJ155" i="23" s="1"/>
  <c r="U13" i="23"/>
  <c r="U51" i="23"/>
  <c r="U12" i="23"/>
  <c r="F48" i="23"/>
  <c r="F24" i="23"/>
  <c r="N92" i="11"/>
  <c r="N95" i="11" s="1"/>
  <c r="L13" i="23"/>
  <c r="F44" i="23"/>
  <c r="M16" i="23"/>
  <c r="M17" i="23" s="1"/>
  <c r="AZ52" i="23"/>
  <c r="H27" i="23"/>
  <c r="AV150" i="23" s="1"/>
  <c r="D47" i="23"/>
  <c r="BH31" i="23" s="1"/>
  <c r="AZ54" i="23"/>
  <c r="M28" i="23"/>
  <c r="M29" i="23" s="1"/>
  <c r="S20" i="23"/>
  <c r="S21" i="23"/>
  <c r="H37" i="23"/>
  <c r="H31" i="23"/>
  <c r="AV156" i="23" s="1"/>
  <c r="D39" i="23"/>
  <c r="BD31" i="23" s="1"/>
  <c r="L48" i="23"/>
  <c r="R95" i="11"/>
  <c r="S49" i="23"/>
  <c r="S48" i="23"/>
  <c r="S41" i="23"/>
  <c r="S40" i="23"/>
  <c r="AI95" i="11"/>
  <c r="S13" i="23"/>
  <c r="S12" i="23"/>
  <c r="S51" i="23"/>
  <c r="V37" i="23"/>
  <c r="V36" i="23"/>
  <c r="V95" i="11"/>
  <c r="S16" i="23"/>
  <c r="S17" i="23"/>
  <c r="G95" i="11"/>
  <c r="L36" i="23"/>
  <c r="AD95" i="11"/>
  <c r="J51" i="23"/>
  <c r="W95" i="11"/>
  <c r="U48" i="23"/>
  <c r="U49" i="23"/>
  <c r="F27" i="23"/>
  <c r="AV101" i="23" s="1"/>
  <c r="L49" i="23"/>
  <c r="AZ119" i="23"/>
  <c r="N28" i="23"/>
  <c r="N29" i="23" s="1"/>
  <c r="W37" i="23"/>
  <c r="W36" i="23"/>
  <c r="T21" i="23"/>
  <c r="T20" i="23"/>
  <c r="F49" i="23"/>
  <c r="AZ51" i="23"/>
  <c r="M13" i="23"/>
  <c r="M12" i="23"/>
  <c r="AY87" i="23"/>
  <c r="AX85" i="23"/>
  <c r="AO18" i="23"/>
  <c r="AO19" i="23" s="1"/>
  <c r="AO20" i="23" s="1"/>
  <c r="L29" i="23"/>
  <c r="AZ116" i="23"/>
  <c r="N13" i="23"/>
  <c r="N12" i="23"/>
  <c r="AO14" i="23"/>
  <c r="AX25" i="23"/>
  <c r="W29" i="23"/>
  <c r="W28" i="23"/>
  <c r="J36" i="23"/>
  <c r="H12" i="23"/>
  <c r="U32" i="23"/>
  <c r="U33" i="23"/>
  <c r="Y95" i="11"/>
  <c r="AF49" i="23"/>
  <c r="H36" i="23"/>
  <c r="F29" i="23"/>
  <c r="E93" i="11"/>
  <c r="E95" i="11" s="1"/>
  <c r="V48" i="23"/>
  <c r="V49" i="23"/>
  <c r="U37" i="23"/>
  <c r="U36" i="23"/>
  <c r="U28" i="23"/>
  <c r="U29" i="23"/>
  <c r="F17" i="23"/>
  <c r="F92" i="11"/>
  <c r="F95" i="11" s="1"/>
  <c r="AO42" i="23"/>
  <c r="L12" i="23"/>
  <c r="F39" i="23"/>
  <c r="BD96" i="23" s="1"/>
  <c r="T13" i="23"/>
  <c r="T51" i="23"/>
  <c r="T12" i="23"/>
  <c r="D29" i="23"/>
  <c r="J37" i="23"/>
  <c r="H51" i="23"/>
  <c r="L35" i="23"/>
  <c r="BH162" i="23" s="1"/>
  <c r="AO47" i="23"/>
  <c r="AO48" i="23" s="1"/>
  <c r="AO27" i="23"/>
  <c r="AO28" i="23" s="1"/>
  <c r="AO29" i="23" s="1"/>
  <c r="AO30" i="23" s="1"/>
  <c r="F28" i="23"/>
  <c r="D92" i="11"/>
  <c r="D93" i="11"/>
  <c r="C93" i="11" l="1"/>
  <c r="AO49" i="23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<sst xmlns="http://schemas.openxmlformats.org/spreadsheetml/2006/main" count="14984" uniqueCount="4059">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</sst>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8204918" y="203752"/>
          <a:ext cx="2775999" cy="801591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6205180" y="21724620"/>
          <a:ext cx="3547110" cy="500443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2480250" y="1112520"/>
          <a:ext cx="227647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6525220" y="821055"/>
          <a:ext cx="1094803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862655" y="482536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1177230" y="4177665"/>
          <a:ext cx="226695" cy="205740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3343215" y="4189095"/>
          <a:ext cx="234315" cy="198120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828365" y="5473065"/>
          <a:ext cx="201930" cy="205740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6273105" y="4177665"/>
          <a:ext cx="215265" cy="205740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4821495" y="4189095"/>
          <a:ext cx="226695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9116020" y="1101090"/>
          <a:ext cx="213360" cy="220980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6639520" y="5149215"/>
          <a:ext cx="213360" cy="205740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6639520" y="6930390"/>
          <a:ext cx="21336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30567630" y="3002280"/>
          <a:ext cx="5743575" cy="737235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6384250" y="19560540"/>
          <a:ext cx="20574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801695" y="15199995"/>
          <a:ext cx="190500" cy="198120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1177230" y="14540865"/>
          <a:ext cx="226695" cy="205740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3289875" y="14552295"/>
          <a:ext cx="226695" cy="198120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786455" y="15847695"/>
          <a:ext cx="194310" cy="198120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6235005" y="14540865"/>
          <a:ext cx="215265" cy="205740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4745295" y="14552295"/>
          <a:ext cx="226695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965525" y="11464290"/>
          <a:ext cx="21526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6586180" y="15512415"/>
          <a:ext cx="205740" cy="205740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6586180" y="17293590"/>
          <a:ext cx="20574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30556200" y="13365480"/>
          <a:ext cx="5755005" cy="737235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2518350" y="11422380"/>
          <a:ext cx="227647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980765" y="24256365"/>
          <a:ext cx="234315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7525345" y="25412700"/>
          <a:ext cx="226695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6628090" y="26372820"/>
          <a:ext cx="21336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6624280" y="22648545"/>
          <a:ext cx="217170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713940" y="24429720"/>
          <a:ext cx="21336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3404175" y="24267795"/>
          <a:ext cx="226695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952565" y="25412700"/>
          <a:ext cx="234315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1040070" y="26393775"/>
          <a:ext cx="21336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1013400" y="22659975"/>
          <a:ext cx="201930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2137350" y="24429720"/>
          <a:ext cx="201930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7705665" y="24267795"/>
          <a:ext cx="23241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6349305" y="25424130"/>
          <a:ext cx="226695" cy="198120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5425380" y="26393775"/>
          <a:ext cx="20574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5440620" y="22659975"/>
          <a:ext cx="21336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6488370" y="24441150"/>
          <a:ext cx="21336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763470" y="21859875"/>
          <a:ext cx="19240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2125920" y="21850350"/>
          <a:ext cx="1924050" cy="960120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6499800" y="21850350"/>
          <a:ext cx="1922145" cy="960120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30594300" y="21697950"/>
          <a:ext cx="3554730" cy="4998720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994850" y="21697950"/>
          <a:ext cx="3581400" cy="4998720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6384250" y="28628340"/>
          <a:ext cx="20574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6384250" y="9035415"/>
          <a:ext cx="20574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09375" defaultRowHeight="12.75" customHeight="1" x14ac:dyDescent="0.3"/>
  <cols>
    <col min="1" max="1" width="3.5546875" style="2" customWidth="1"/>
    <col min="2" max="2" width="11.6640625" style="2" customWidth="1"/>
    <col min="3" max="3" width="12.6640625" style="2" bestFit="1" customWidth="1"/>
    <col min="4" max="4" width="4.109375" style="2" customWidth="1"/>
    <col min="5" max="15" width="11.6640625" style="2" customWidth="1"/>
    <col min="16" max="16384" width="9.109375" style="2"/>
  </cols>
  <sheetData>
    <row r="2" spans="2:15" ht="12.75" customHeight="1" x14ac:dyDescent="0.3">
      <c r="B2" s="1" t="s">
        <v>1226</v>
      </c>
    </row>
    <row r="3" spans="2:15" ht="12.75" customHeight="1" x14ac:dyDescent="0.3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3">
      <c r="B4" s="417" t="s">
        <v>439</v>
      </c>
      <c r="C4" s="617" t="s">
        <v>3927</v>
      </c>
    </row>
    <row r="5" spans="2:15" ht="12.75" customHeight="1" x14ac:dyDescent="0.3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3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3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3">
      <c r="B8" s="2" t="s">
        <v>878</v>
      </c>
      <c r="O8" s="6"/>
    </row>
    <row r="9" spans="2:15" ht="12.75" customHeight="1" x14ac:dyDescent="0.3">
      <c r="B9" s="2" t="s">
        <v>1247</v>
      </c>
      <c r="O9" s="6"/>
    </row>
    <row r="10" spans="2:15" ht="12.75" customHeight="1" x14ac:dyDescent="0.3">
      <c r="B10" s="25" t="s">
        <v>3912</v>
      </c>
      <c r="D10" s="25"/>
      <c r="O10" s="6"/>
    </row>
    <row r="11" spans="2:15" ht="12.75" customHeight="1" x14ac:dyDescent="0.3">
      <c r="O11" s="6"/>
    </row>
    <row r="12" spans="2:15" ht="12.75" customHeight="1" x14ac:dyDescent="0.3">
      <c r="O12" s="6"/>
    </row>
    <row r="13" spans="2:15" ht="12.75" customHeight="1" x14ac:dyDescent="0.3">
      <c r="B13" s="4" t="s">
        <v>1248</v>
      </c>
      <c r="O13" s="6"/>
    </row>
    <row r="14" spans="2:15" ht="12.75" customHeight="1" x14ac:dyDescent="0.3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3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3">
      <c r="B16" s="29" t="s">
        <v>2121</v>
      </c>
      <c r="O16" s="6"/>
    </row>
    <row r="17" spans="2:15" ht="12.75" customHeight="1" x14ac:dyDescent="0.3">
      <c r="B17" s="29" t="s">
        <v>2122</v>
      </c>
      <c r="O17" s="6"/>
    </row>
    <row r="18" spans="2:15" ht="12.75" customHeight="1" x14ac:dyDescent="0.3">
      <c r="B18" s="2" t="s">
        <v>861</v>
      </c>
      <c r="O18" s="6"/>
    </row>
    <row r="19" spans="2:15" ht="12.75" customHeight="1" x14ac:dyDescent="0.3">
      <c r="O19" s="6"/>
    </row>
    <row r="20" spans="2:15" ht="12.75" customHeight="1" x14ac:dyDescent="0.3">
      <c r="B20" s="4" t="s">
        <v>1249</v>
      </c>
      <c r="O20" s="6"/>
    </row>
    <row r="21" spans="2:15" ht="12.75" customHeight="1" x14ac:dyDescent="0.3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3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3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3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3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3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3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3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3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3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3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3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3">
      <c r="B33" s="620"/>
      <c r="C33" s="29"/>
      <c r="D33" s="29"/>
      <c r="E33" s="29" t="s">
        <v>3948</v>
      </c>
      <c r="F33" s="29"/>
    </row>
    <row r="34" spans="2:12" ht="12.75" customHeight="1" x14ac:dyDescent="0.3">
      <c r="B34" s="29"/>
      <c r="C34" s="29"/>
      <c r="D34" s="29"/>
      <c r="E34" s="29" t="s">
        <v>3949</v>
      </c>
      <c r="F34" s="29"/>
    </row>
    <row r="35" spans="2:12" ht="12.75" customHeight="1" x14ac:dyDescent="0.3">
      <c r="B35" s="29"/>
      <c r="C35" s="29"/>
      <c r="D35" s="29" t="s">
        <v>3943</v>
      </c>
      <c r="E35" s="29"/>
      <c r="F35" s="29"/>
    </row>
    <row r="36" spans="2:12" ht="12.75" customHeight="1" x14ac:dyDescent="0.3">
      <c r="B36" s="29"/>
      <c r="C36" s="29"/>
      <c r="D36" s="29" t="s">
        <v>3944</v>
      </c>
      <c r="E36" s="29"/>
      <c r="F36" s="29"/>
    </row>
    <row r="37" spans="2:12" ht="12.75" customHeight="1" x14ac:dyDescent="0.3">
      <c r="B37" s="29"/>
      <c r="C37" s="29"/>
      <c r="D37" s="94" t="s">
        <v>3940</v>
      </c>
      <c r="E37" s="29"/>
      <c r="F37" s="29"/>
    </row>
    <row r="38" spans="2:12" ht="12.75" customHeight="1" x14ac:dyDescent="0.3">
      <c r="B38" s="29"/>
      <c r="C38" s="29"/>
      <c r="D38" s="94"/>
      <c r="E38" s="29" t="s">
        <v>3941</v>
      </c>
      <c r="F38" s="29"/>
    </row>
    <row r="39" spans="2:12" ht="12.75" customHeight="1" x14ac:dyDescent="0.3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3">
      <c r="B40" s="29"/>
      <c r="C40" s="29"/>
      <c r="D40" s="29" t="s">
        <v>3936</v>
      </c>
      <c r="E40" s="29"/>
      <c r="F40" s="29"/>
    </row>
    <row r="41" spans="2:12" ht="12.75" customHeight="1" x14ac:dyDescent="0.3">
      <c r="B41" s="657">
        <v>45496</v>
      </c>
      <c r="C41" s="90" t="s">
        <v>4057</v>
      </c>
      <c r="D41" s="90" t="s">
        <v>4054</v>
      </c>
    </row>
    <row r="42" spans="2:12" ht="12.75" customHeight="1" x14ac:dyDescent="0.3">
      <c r="D42" s="90" t="s">
        <v>4055</v>
      </c>
    </row>
    <row r="43" spans="2:12" ht="12.75" customHeight="1" x14ac:dyDescent="0.3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opLeftCell="F1" zoomScaleNormal="100" workbookViewId="0">
      <selection activeCell="I6" sqref="I6"/>
    </sheetView>
  </sheetViews>
  <sheetFormatPr defaultColWidth="9.109375" defaultRowHeight="12.75" customHeight="1" x14ac:dyDescent="0.3"/>
  <cols>
    <col min="1" max="5" width="1.6640625" customWidth="1"/>
    <col min="6" max="6" width="65.6640625" customWidth="1"/>
    <col min="7" max="7" width="22.6640625" style="79" customWidth="1"/>
    <col min="8" max="8" width="10.6640625" style="79" customWidth="1"/>
    <col min="9" max="9" width="9.6640625" style="358" customWidth="1"/>
    <col min="10" max="10" width="9.6640625" style="404" customWidth="1"/>
    <col min="11" max="12" width="9.6640625" style="357" customWidth="1"/>
    <col min="14" max="14" width="67.33203125" customWidth="1"/>
    <col min="15" max="15" width="2.6640625" style="7" customWidth="1"/>
    <col min="16" max="16384" width="9.109375" style="27"/>
  </cols>
  <sheetData>
    <row r="1" spans="1:15" s="26" customFormat="1" ht="12.75" customHeight="1" x14ac:dyDescent="0.3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3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3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3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" customHeight="1" x14ac:dyDescent="0.3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1-aminoanthraquinone</v>
      </c>
      <c r="M5" s="29"/>
      <c r="N5" s="92"/>
      <c r="O5" s="161"/>
    </row>
    <row r="6" spans="1:15" s="26" customFormat="1" ht="12.75" customHeight="1" x14ac:dyDescent="0.3">
      <c r="A6" s="36"/>
      <c r="B6" s="29"/>
      <c r="C6" s="29"/>
      <c r="D6" s="29"/>
      <c r="E6" s="29"/>
      <c r="F6" s="29"/>
      <c r="G6" s="36" t="s">
        <v>2014</v>
      </c>
      <c r="H6" s="36"/>
      <c r="I6" s="411">
        <v>67</v>
      </c>
      <c r="J6" s="400"/>
      <c r="K6" s="121">
        <f>VLOOKUP(ChemName,ChemData,26,FALSE)</f>
        <v>0</v>
      </c>
      <c r="L6" s="393">
        <f>IF(ISBLANK(I6),IF(ISBLANK(J6),K6,J6),I6)</f>
        <v>67</v>
      </c>
      <c r="M6" s="29"/>
      <c r="N6" s="36"/>
      <c r="O6" s="161"/>
    </row>
    <row r="7" spans="1:15" s="26" customFormat="1" ht="12.75" customHeight="1" x14ac:dyDescent="0.3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3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" customHeight="1" x14ac:dyDescent="0.3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3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/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223</v>
      </c>
      <c r="K15" s="345">
        <f>MEDIAN(substances!F$17:F$283)</f>
        <v>138</v>
      </c>
      <c r="L15" s="346">
        <f>IF(ISBLANK(I15),IF(ISNUMBER(J15)=FALSE,K15/1000,J15/1000),I15/1000)</f>
        <v>0.223</v>
      </c>
      <c r="M15" s="36" t="s">
        <v>1359</v>
      </c>
      <c r="N15" s="29"/>
      <c r="O15" s="159"/>
    </row>
    <row r="16" spans="1:15" s="26" customFormat="1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3.8430650478067814</v>
      </c>
      <c r="L17" s="346">
        <f t="shared" ref="L17:L23" si="0">IF(ISBLANK(I17), IF(ISNUMBER(J17)=FALSE, K17, J17), I17)</f>
        <v>3.8430650478067814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3.8430650478067814</v>
      </c>
      <c r="L18" s="346">
        <f t="shared" si="0"/>
        <v>3.8430650478067814</v>
      </c>
      <c r="M18" s="36" t="s">
        <v>486</v>
      </c>
      <c r="N18" s="29"/>
      <c r="O18" s="172"/>
    </row>
    <row r="19" spans="1:16" s="26" customFormat="1" ht="12.75" customHeight="1" x14ac:dyDescent="0.3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4.5003737530130299E-10</v>
      </c>
      <c r="L19" s="346">
        <f>IF(ISBLANK(I19), IF(ISNUMBER(J19)=FALSE, K19, J19), I19)</f>
        <v>4.5003737530130299E-10</v>
      </c>
      <c r="M19" s="36" t="s">
        <v>486</v>
      </c>
      <c r="N19" s="29"/>
      <c r="O19" s="172"/>
    </row>
    <row r="20" spans="1:16" s="26" customFormat="1" ht="12.75" customHeight="1" x14ac:dyDescent="0.3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160</v>
      </c>
      <c r="K20" s="345">
        <f>MEDIAN(substances!K$17:K$283)</f>
        <v>18</v>
      </c>
      <c r="L20" s="346">
        <f t="shared" si="0"/>
        <v>160</v>
      </c>
      <c r="M20" s="36" t="s">
        <v>486</v>
      </c>
      <c r="N20" s="29"/>
      <c r="O20" s="172"/>
    </row>
    <row r="21" spans="1:16" s="26" customFormat="1" ht="12.75" customHeight="1" x14ac:dyDescent="0.3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5.0596442562694036E-2</v>
      </c>
      <c r="L21" s="346">
        <f t="shared" si="0"/>
        <v>5.0596442562694036E-2</v>
      </c>
      <c r="M21" s="36" t="s">
        <v>486</v>
      </c>
      <c r="N21" s="29"/>
      <c r="O21" s="172"/>
    </row>
    <row r="22" spans="1:16" s="26" customFormat="1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3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160</v>
      </c>
      <c r="L23" s="346">
        <f t="shared" si="0"/>
        <v>160</v>
      </c>
      <c r="M23" s="36" t="s">
        <v>486</v>
      </c>
      <c r="N23" s="29" t="s">
        <v>215</v>
      </c>
      <c r="O23" s="172"/>
    </row>
    <row r="24" spans="1:16" s="26" customFormat="1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3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9.9999999999999995E-8</v>
      </c>
      <c r="K35" s="345">
        <f>MEDIAN(substances!$H$17:$H$283)</f>
        <v>4</v>
      </c>
      <c r="L35" s="346">
        <f t="shared" si="2"/>
        <v>9.9999999999999995E-8</v>
      </c>
      <c r="M35" s="29" t="s">
        <v>488</v>
      </c>
      <c r="N35" s="29"/>
      <c r="O35" s="172"/>
    </row>
    <row r="36" spans="1:15" s="26" customFormat="1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111.11682001753326</v>
      </c>
      <c r="L36" s="346">
        <f>IF(ISBLANK(I36),IF(ISNUMBER(J36)=FALSE,K36*1000,J36*1000),I36*1000)</f>
        <v>111116.82001753326</v>
      </c>
      <c r="M36" s="95" t="s">
        <v>1395</v>
      </c>
      <c r="N36" s="90"/>
      <c r="O36" s="172"/>
    </row>
    <row r="37" spans="1:15" s="26" customFormat="1" ht="12.75" customHeight="1" x14ac:dyDescent="0.3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20</v>
      </c>
      <c r="K37" s="345">
        <f>10^(LOG(Kow)*-1.214+0.85)*(Molweight*1000000)</f>
        <v>3330.4521941465923</v>
      </c>
      <c r="L37" s="346">
        <f>IF(ISBLANK(I37),IF(ISNUMBER(J37)=FALSE,K37/(1000*Molweight),J37/(1000*Molweight)),I37/(1000*Molweight))</f>
        <v>8.9686098654708515E-2</v>
      </c>
      <c r="M37" s="36" t="s">
        <v>1396</v>
      </c>
      <c r="N37" s="29"/>
      <c r="O37" s="172"/>
    </row>
    <row r="38" spans="1:15" s="26" customFormat="1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>
        <f>IF(HLOOKUP(CaseName,CaseData,ROW()-2,FALSE)="",IF(ISBLANK(VLOOKUP(ChemName,ChemData,MATCH("Tm",substances!$3:$3,FALSE)-1,FALSE)),"",VLOOKUP(ChemName,ChemData,MATCH("Tm",substances!$3:$3,FALSE)-1,FALSE)),HLOOKUP(CaseName,CaseData,ROW()-2,FALSE))</f>
        <v>260</v>
      </c>
      <c r="K39" s="345">
        <f>MEDIAN(substances!$G$17:$G$283)</f>
        <v>1</v>
      </c>
      <c r="L39" s="346">
        <f>IF(ISBLANK(I39),IF(ISNUMBER(J39)=FALSE,K39+273,J39+273),I39+273)</f>
        <v>533</v>
      </c>
      <c r="M39" s="29" t="s">
        <v>588</v>
      </c>
      <c r="N39" s="29"/>
      <c r="O39" s="172"/>
    </row>
    <row r="40" spans="1:15" s="26" customFormat="1" ht="12.75" customHeight="1" x14ac:dyDescent="0.3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3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3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76.861300956135622</v>
      </c>
      <c r="J42" s="245">
        <f>1.26*Kow^0.81</f>
        <v>76.861300956135622</v>
      </c>
      <c r="K42" s="245">
        <f>MAX(IF(Pvap25&gt;100000,(100000/_Sol25)/(8.314*298),(Pvap25/_Sol25)/(8.314*298)),1E-20)</f>
        <v>4.5003737530130299E-10</v>
      </c>
      <c r="L42" s="245">
        <f>MAX(IF(Pvap25&gt;100000,(100000/_Sol25)/(8.314*298),(Pvap25/_Sol25)/(8.314*298)),1E-20)</f>
        <v>4.5003737530130299E-10</v>
      </c>
      <c r="M42" s="244" t="s">
        <v>486</v>
      </c>
      <c r="N42" s="29"/>
      <c r="O42" s="172"/>
    </row>
    <row r="43" spans="1:15" ht="12.75" customHeight="1" x14ac:dyDescent="0.3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199.62953291926755</v>
      </c>
      <c r="J43" s="245">
        <f>10^(0.11*LOG(Kow)+1.54)</f>
        <v>60.597289411186779</v>
      </c>
      <c r="K43" s="245">
        <f>MAX(IF(Pvap25&gt;100000,(100000/_Sol25)/(8.314*298),(Pvap25/_Sol25)/(8.314*298)),1E-20)</f>
        <v>4.5003737530130299E-10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3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327.73618467249736</v>
      </c>
      <c r="J44" s="245">
        <f>IF(pKa&gt;0,10^(pKa^0.65*(Kow/(1+Kow))^0.14),1)</f>
        <v>3462.9228995105746</v>
      </c>
      <c r="K44" s="245">
        <f>MAX(IF(Pvap25&gt;100000,(100000/_Sol25)/(8.314*298),(Pvap25/_Sol25)/(8.314*298)),1E-20)</f>
        <v>4.5003737530130299E-10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3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3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76.861300956135622</v>
      </c>
      <c r="J46" s="245">
        <f>1.26*Kow^0.81</f>
        <v>76.861300956135622</v>
      </c>
      <c r="K46" s="245">
        <f t="shared" ref="K46:L64" si="3">MAX(IF(Pvap25&gt;100000,(100000/_Sol25)/(8.314*298),(Pvap25/_Sol25)/(8.314*298)),1E-20)</f>
        <v>4.5003737530130299E-10</v>
      </c>
      <c r="L46" s="245">
        <f t="shared" si="3"/>
        <v>4.5003737530130299E-10</v>
      </c>
      <c r="M46" s="244" t="s">
        <v>486</v>
      </c>
      <c r="N46" s="29"/>
      <c r="O46" s="172"/>
    </row>
    <row r="47" spans="1:15" ht="12.75" customHeight="1" x14ac:dyDescent="0.3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146.58484518029866</v>
      </c>
      <c r="J47" s="245">
        <f>10.47*Kow^0.52</f>
        <v>146.58484518029866</v>
      </c>
      <c r="K47" s="245">
        <f t="shared" si="3"/>
        <v>4.5003737530130299E-10</v>
      </c>
      <c r="L47" s="245">
        <f t="shared" si="3"/>
        <v>4.5003737530130299E-10</v>
      </c>
      <c r="M47" s="244" t="s">
        <v>486</v>
      </c>
      <c r="N47" s="29"/>
      <c r="O47" s="172"/>
    </row>
    <row r="48" spans="1:15" ht="12.75" customHeight="1" x14ac:dyDescent="0.3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194.2746304428793</v>
      </c>
      <c r="J48" s="245">
        <f>7.94*Kow^0.63</f>
        <v>194.2746304428793</v>
      </c>
      <c r="K48" s="245">
        <f t="shared" si="3"/>
        <v>4.5003737530130299E-10</v>
      </c>
      <c r="L48" s="245">
        <f t="shared" si="3"/>
        <v>4.5003737530130299E-10</v>
      </c>
      <c r="M48" s="244" t="s">
        <v>486</v>
      </c>
      <c r="N48" s="29"/>
      <c r="O48" s="172"/>
    </row>
    <row r="49" spans="1:15" ht="12.75" customHeight="1" x14ac:dyDescent="0.3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133.61078121159886</v>
      </c>
      <c r="J49" s="245">
        <f>12.3*Kow^0.47</f>
        <v>133.61078121159886</v>
      </c>
      <c r="K49" s="245">
        <f t="shared" si="3"/>
        <v>4.5003737530130299E-10</v>
      </c>
      <c r="L49" s="245">
        <f t="shared" si="3"/>
        <v>4.5003737530130299E-10</v>
      </c>
      <c r="M49" s="244" t="s">
        <v>486</v>
      </c>
      <c r="N49" s="29"/>
      <c r="O49" s="172"/>
    </row>
    <row r="50" spans="1:15" ht="12.75" customHeight="1" x14ac:dyDescent="0.3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34.326021839727836</v>
      </c>
      <c r="J50" s="245">
        <f>3.16*Kow^0.47</f>
        <v>34.326021839727836</v>
      </c>
      <c r="K50" s="245">
        <f t="shared" si="3"/>
        <v>4.5003737530130299E-10</v>
      </c>
      <c r="L50" s="245">
        <f t="shared" si="3"/>
        <v>4.5003737530130299E-10</v>
      </c>
      <c r="M50" s="244" t="s">
        <v>486</v>
      </c>
      <c r="N50" s="29"/>
      <c r="O50" s="172"/>
    </row>
    <row r="51" spans="1:15" ht="12.75" customHeight="1" x14ac:dyDescent="0.3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100.3606356491011</v>
      </c>
      <c r="J51" s="245">
        <f>13.18*Kow^0.4</f>
        <v>100.3606356491011</v>
      </c>
      <c r="K51" s="245">
        <f t="shared" si="3"/>
        <v>4.5003737530130299E-10</v>
      </c>
      <c r="L51" s="245">
        <f t="shared" si="3"/>
        <v>4.5003737530130299E-10</v>
      </c>
      <c r="M51" s="244" t="s">
        <v>486</v>
      </c>
      <c r="N51" s="29"/>
      <c r="O51" s="172"/>
    </row>
    <row r="52" spans="1:15" ht="12.75" customHeight="1" x14ac:dyDescent="0.3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22.871459324204174</v>
      </c>
      <c r="J52" s="245">
        <f>3.16*Kow^0.39</f>
        <v>22.871459324204174</v>
      </c>
      <c r="K52" s="245">
        <f t="shared" si="3"/>
        <v>4.5003737530130299E-10</v>
      </c>
      <c r="L52" s="245">
        <f t="shared" si="3"/>
        <v>4.5003737530130299E-10</v>
      </c>
      <c r="M52" s="244" t="s">
        <v>486</v>
      </c>
      <c r="N52" s="29"/>
      <c r="O52" s="172"/>
    </row>
    <row r="53" spans="1:15" ht="12.75" customHeight="1" x14ac:dyDescent="0.3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94.905493302853273</v>
      </c>
      <c r="J53" s="245">
        <f>17.78*Kow^0.33</f>
        <v>94.905493302853273</v>
      </c>
      <c r="K53" s="245">
        <f t="shared" si="3"/>
        <v>4.5003737530130299E-10</v>
      </c>
      <c r="L53" s="245">
        <f t="shared" si="3"/>
        <v>4.5003737530130299E-10</v>
      </c>
      <c r="M53" s="244" t="s">
        <v>486</v>
      </c>
      <c r="N53" s="29"/>
      <c r="O53" s="172"/>
    </row>
    <row r="54" spans="1:15" ht="12.75" customHeight="1" x14ac:dyDescent="0.3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164.65982402471172</v>
      </c>
      <c r="J54" s="245">
        <f>7.08*Kow^0.62</f>
        <v>164.65982402471172</v>
      </c>
      <c r="K54" s="245">
        <f t="shared" si="3"/>
        <v>4.5003737530130299E-10</v>
      </c>
      <c r="L54" s="245">
        <f t="shared" si="3"/>
        <v>4.5003737530130299E-10</v>
      </c>
      <c r="M54" s="244" t="s">
        <v>486</v>
      </c>
      <c r="N54" s="29"/>
      <c r="O54" s="172"/>
    </row>
    <row r="55" spans="1:15" ht="12.75" customHeight="1" x14ac:dyDescent="0.3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90.240912876962668</v>
      </c>
      <c r="J55" s="245">
        <f>13.8*Kow^0.37</f>
        <v>90.240912876962668</v>
      </c>
      <c r="K55" s="245">
        <f t="shared" si="3"/>
        <v>4.5003737530130299E-10</v>
      </c>
      <c r="L55" s="245">
        <f t="shared" si="3"/>
        <v>4.5003737530130299E-10</v>
      </c>
      <c r="M55" s="244" t="s">
        <v>486</v>
      </c>
      <c r="N55" s="29"/>
      <c r="O55" s="172"/>
    </row>
    <row r="56" spans="1:15" ht="12.75" customHeight="1" x14ac:dyDescent="0.3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572.24829771382952</v>
      </c>
      <c r="J56" s="245">
        <f>83.18*Kow^0.38</f>
        <v>572.24829771382952</v>
      </c>
      <c r="K56" s="245">
        <f t="shared" si="3"/>
        <v>4.5003737530130299E-10</v>
      </c>
      <c r="L56" s="245">
        <f t="shared" si="3"/>
        <v>4.5003737530130299E-10</v>
      </c>
      <c r="M56" s="244" t="s">
        <v>486</v>
      </c>
      <c r="N56" s="29"/>
      <c r="O56" s="172"/>
    </row>
    <row r="57" spans="1:15" ht="12.75" customHeight="1" x14ac:dyDescent="0.3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134.89990642602893</v>
      </c>
      <c r="J57" s="245">
        <f>11.22*Kow^0.49</f>
        <v>134.89990642602893</v>
      </c>
      <c r="K57" s="245">
        <f t="shared" si="3"/>
        <v>4.5003737530130299E-10</v>
      </c>
      <c r="L57" s="245">
        <f t="shared" si="3"/>
        <v>4.5003737530130299E-10</v>
      </c>
      <c r="M57" s="244" t="s">
        <v>486</v>
      </c>
      <c r="N57" s="29"/>
      <c r="O57" s="172"/>
    </row>
    <row r="58" spans="1:15" ht="12.75" customHeight="1" x14ac:dyDescent="0.3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176.76681616579415</v>
      </c>
      <c r="J58" s="245">
        <f>3.55*Kow^0.77</f>
        <v>176.76681616579415</v>
      </c>
      <c r="K58" s="245">
        <f t="shared" si="3"/>
        <v>4.5003737530130299E-10</v>
      </c>
      <c r="L58" s="245">
        <f t="shared" si="3"/>
        <v>4.5003737530130299E-10</v>
      </c>
      <c r="M58" s="244" t="s">
        <v>486</v>
      </c>
      <c r="N58" s="29"/>
      <c r="O58" s="172"/>
    </row>
    <row r="59" spans="1:15" ht="12.75" customHeight="1" x14ac:dyDescent="0.3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43.915544889630972</v>
      </c>
      <c r="J59" s="245">
        <f>2.09*Kow^0.6</f>
        <v>43.915544889630972</v>
      </c>
      <c r="K59" s="245">
        <f t="shared" si="3"/>
        <v>4.5003737530130299E-10</v>
      </c>
      <c r="L59" s="245">
        <f t="shared" si="3"/>
        <v>4.5003737530130299E-10</v>
      </c>
      <c r="M59" s="244" t="s">
        <v>486</v>
      </c>
      <c r="N59" s="29"/>
      <c r="O59" s="172"/>
    </row>
    <row r="60" spans="1:15" ht="12.75" customHeight="1" x14ac:dyDescent="0.3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216.89665671995149</v>
      </c>
      <c r="J60" s="245">
        <f>12.02*Kow^0.57</f>
        <v>216.89665671995149</v>
      </c>
      <c r="K60" s="245">
        <f t="shared" si="3"/>
        <v>4.5003737530130299E-10</v>
      </c>
      <c r="L60" s="245">
        <f t="shared" si="3"/>
        <v>4.5003737530130299E-10</v>
      </c>
      <c r="M60" s="244" t="s">
        <v>486</v>
      </c>
      <c r="N60" s="29"/>
      <c r="O60" s="172"/>
    </row>
    <row r="61" spans="1:15" ht="12.75" customHeight="1" x14ac:dyDescent="0.3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134.89990642602893</v>
      </c>
      <c r="J61" s="245">
        <f>11.22*Kow^0.49</f>
        <v>134.89990642602893</v>
      </c>
      <c r="K61" s="245">
        <f t="shared" si="3"/>
        <v>4.5003737530130299E-10</v>
      </c>
      <c r="L61" s="245">
        <f t="shared" si="3"/>
        <v>4.5003737530130299E-10</v>
      </c>
      <c r="M61" s="244" t="s">
        <v>486</v>
      </c>
      <c r="N61" s="29"/>
      <c r="O61" s="172"/>
    </row>
    <row r="62" spans="1:15" ht="12.75" customHeight="1" x14ac:dyDescent="0.3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177.82260392521994</v>
      </c>
      <c r="J62" s="245">
        <f>14.79*Kow^0.49</f>
        <v>177.82260392521994</v>
      </c>
      <c r="K62" s="245">
        <f t="shared" si="3"/>
        <v>4.5003737530130299E-10</v>
      </c>
      <c r="L62" s="245">
        <f t="shared" si="3"/>
        <v>4.5003737530130299E-10</v>
      </c>
      <c r="M62" s="244" t="s">
        <v>486</v>
      </c>
      <c r="N62" s="29"/>
      <c r="O62" s="172"/>
    </row>
    <row r="63" spans="1:15" ht="12.75" customHeight="1" x14ac:dyDescent="0.3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144.94320504587481</v>
      </c>
      <c r="J63" s="245">
        <f>31.62*Kow^0.3</f>
        <v>144.94320504587481</v>
      </c>
      <c r="K63" s="245">
        <f t="shared" si="3"/>
        <v>4.5003737530130299E-10</v>
      </c>
      <c r="L63" s="245">
        <f t="shared" si="3"/>
        <v>4.5003737530130299E-10</v>
      </c>
      <c r="M63" s="244" t="s">
        <v>486</v>
      </c>
      <c r="N63" s="29"/>
      <c r="O63" s="172"/>
    </row>
    <row r="64" spans="1:15" ht="12.75" customHeight="1" x14ac:dyDescent="0.3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279.17049407626752</v>
      </c>
      <c r="J64" s="247">
        <f>25.7*Kow^0.47</f>
        <v>279.17049407626752</v>
      </c>
      <c r="K64" s="247">
        <f t="shared" si="3"/>
        <v>4.5003737530130299E-10</v>
      </c>
      <c r="L64" s="247">
        <f t="shared" si="3"/>
        <v>4.5003737530130299E-10</v>
      </c>
      <c r="M64" s="246" t="s">
        <v>486</v>
      </c>
      <c r="N64" s="29"/>
      <c r="O64" s="172"/>
    </row>
    <row r="65" spans="1:15" s="26" customFormat="1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3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 t="str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/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3.5063474584268925E-6</v>
      </c>
      <c r="M66" s="36" t="s">
        <v>116</v>
      </c>
      <c r="N66" s="29"/>
      <c r="O66" s="172"/>
    </row>
    <row r="67" spans="1:15" s="26" customFormat="1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3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5.3000000000000003E-10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5.3000000000000003E-10</v>
      </c>
      <c r="M70" s="36" t="s">
        <v>116</v>
      </c>
      <c r="N70" s="29"/>
      <c r="O70" s="172"/>
    </row>
    <row r="71" spans="1:15" s="26" customFormat="1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3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3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 t="str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/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6.5846009179950362E-10</v>
      </c>
      <c r="L74" s="346">
        <f t="shared" si="4"/>
        <v>6.5846009179950362E-10</v>
      </c>
      <c r="M74" s="36" t="s">
        <v>116</v>
      </c>
      <c r="N74" s="29"/>
      <c r="O74" s="172"/>
    </row>
    <row r="75" spans="1:15" s="26" customFormat="1" ht="12.75" customHeight="1" x14ac:dyDescent="0.3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 t="str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/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6.5846009179950347E-9</v>
      </c>
      <c r="L75" s="346">
        <f t="shared" si="4"/>
        <v>6.5846009179950347E-9</v>
      </c>
      <c r="M75" s="36" t="s">
        <v>116</v>
      </c>
      <c r="N75" s="29"/>
      <c r="O75" s="172"/>
    </row>
    <row r="76" spans="1:15" s="26" customFormat="1" ht="12.75" customHeight="1" x14ac:dyDescent="0.3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3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1.4219637660880982</v>
      </c>
      <c r="M80" s="36" t="s">
        <v>716</v>
      </c>
      <c r="N80" s="29"/>
      <c r="O80" s="172"/>
    </row>
    <row r="81" spans="1:15" s="26" customFormat="1" ht="12.75" customHeight="1" x14ac:dyDescent="0.3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3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1.4219637660880982</v>
      </c>
      <c r="M82" s="36" t="s">
        <v>716</v>
      </c>
      <c r="N82" s="29"/>
      <c r="O82" s="172"/>
    </row>
    <row r="83" spans="1:15" s="26" customFormat="1" ht="12.75" customHeight="1" x14ac:dyDescent="0.3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1.4219637660880982</v>
      </c>
      <c r="M85" s="36" t="s">
        <v>2412</v>
      </c>
      <c r="N85" s="29"/>
      <c r="O85" s="172"/>
    </row>
    <row r="86" spans="1:15" s="26" customFormat="1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3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3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3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3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3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3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3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3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3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3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3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3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3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3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3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3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3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3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3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3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3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3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3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3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3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3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3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3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7.3015816211560352E-6</v>
      </c>
      <c r="L155" s="346">
        <f t="shared" ref="L155:L160" si="17">IF(ISBLANK(I155), IF(ISNUMBER(J155)=FALSE, K155, J155), I155)</f>
        <v>7.3015816211560352E-6</v>
      </c>
      <c r="M155" s="36" t="s">
        <v>1505</v>
      </c>
      <c r="N155" s="29"/>
      <c r="O155" s="172"/>
    </row>
    <row r="156" spans="1:15" s="26" customFormat="1" ht="12.75" customHeight="1" x14ac:dyDescent="0.3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7.5762195809660557E-10</v>
      </c>
      <c r="L156" s="346">
        <f t="shared" si="17"/>
        <v>7.5762195809660557E-10</v>
      </c>
      <c r="M156" s="36" t="s">
        <v>1505</v>
      </c>
      <c r="N156" s="29"/>
      <c r="O156" s="172"/>
    </row>
    <row r="157" spans="1:15" s="26" customFormat="1" ht="12.75" customHeight="1" x14ac:dyDescent="0.3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3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3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3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3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3"/>
  <cols>
    <col min="1" max="1" width="2.6640625" style="26" customWidth="1"/>
    <col min="2" max="2" width="26.88671875" style="26" customWidth="1"/>
    <col min="3" max="12" width="7.6640625" style="28" customWidth="1"/>
    <col min="13" max="23" width="9.109375" style="28" customWidth="1"/>
    <col min="24" max="26" width="2.6640625" style="26" customWidth="1"/>
    <col min="27" max="27" width="21" style="26" customWidth="1"/>
    <col min="28" max="35" width="9.109375" style="26" customWidth="1"/>
    <col min="36" max="36" width="8.44140625" style="26" bestFit="1" customWidth="1"/>
    <col min="37" max="37" width="8.6640625" style="26" customWidth="1"/>
    <col min="38" max="41" width="9.109375" style="26" customWidth="1"/>
    <col min="42" max="44" width="2.6640625" style="26" customWidth="1"/>
    <col min="45" max="60" width="10.6640625" style="26" customWidth="1"/>
    <col min="61" max="61" width="9.109375" style="26" customWidth="1"/>
    <col min="62" max="62" width="11.5546875" style="26" customWidth="1"/>
    <col min="63" max="64" width="2.6640625" style="26" customWidth="1"/>
    <col min="65" max="65" width="2.6640625" customWidth="1"/>
    <col min="67" max="67" width="30.33203125" customWidth="1"/>
    <col min="68" max="68" width="10.109375" customWidth="1"/>
    <col min="69" max="69" width="9.109375" style="183" customWidth="1"/>
    <col min="70" max="102" width="9.109375" style="179"/>
    <col min="103" max="103" width="3.5546875" customWidth="1"/>
  </cols>
  <sheetData>
    <row r="1" spans="1:103" ht="12.75" customHeight="1" x14ac:dyDescent="0.3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3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3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1-aminoanthraquinone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3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3">
      <c r="A5" s="29"/>
      <c r="B5" s="20" t="s">
        <v>1360</v>
      </c>
      <c r="C5" s="104" t="str">
        <f>ChemName</f>
        <v>1-aminoanthraquinone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1-aminoanthraquinone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1-aminoanthraquinone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3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3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3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2.7869309168574538E-2</v>
      </c>
      <c r="AY8" s="75"/>
      <c r="AZ8" s="295">
        <f>output!AF12</f>
        <v>6.6061689521141847E-6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3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4.493017103629266E-3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3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0.16987894543675269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3">
      <c r="A11" s="29"/>
      <c r="B11" s="65" t="s">
        <v>446</v>
      </c>
      <c r="C11" s="517">
        <f>M.aR*Molweight</f>
        <v>18033.585066788492</v>
      </c>
      <c r="D11" s="117">
        <f>C11/$C$51</f>
        <v>4.7703546362993604E-4</v>
      </c>
      <c r="E11" s="517">
        <f>M.aC*Molweight</f>
        <v>14957.28294205368</v>
      </c>
      <c r="F11" s="117">
        <f>E11/$E$51</f>
        <v>4.1927335855585933E-4</v>
      </c>
      <c r="G11" s="517">
        <f>M.aM*Molweight</f>
        <v>1905.1873772692443</v>
      </c>
      <c r="H11" s="117">
        <f>G11/$G$51</f>
        <v>2.0125140489943128E-6</v>
      </c>
      <c r="I11" s="517">
        <f>M.aA*Molweight</f>
        <v>80.086215860763957</v>
      </c>
      <c r="J11" s="117">
        <f>I11/$I$51</f>
        <v>1.2769888774299295E-7</v>
      </c>
      <c r="K11" s="517">
        <f>M.aT*Molweight</f>
        <v>114.64441734498992</v>
      </c>
      <c r="L11" s="118">
        <f>K11/$K$51</f>
        <v>1.0047613682833604E-7</v>
      </c>
      <c r="M11" s="320">
        <f>C.aR*(Molweight*1000)</f>
        <v>7.8553752958960189E-8</v>
      </c>
      <c r="N11" s="320">
        <f>C.aC*(Molweight*1000)</f>
        <v>2.0776168270380497E-9</v>
      </c>
      <c r="O11" s="320">
        <f>C.aM*(Molweight*1000)</f>
        <v>2.4560505296802809E-11</v>
      </c>
      <c r="P11" s="320">
        <f>C.aA*(Molweight*1000)</f>
        <v>1.8843815496650344E-12</v>
      </c>
      <c r="Q11" s="321">
        <f>C.aT*(Molweight*1000)</f>
        <v>8.991719007450189E-13</v>
      </c>
      <c r="R11" s="119" t="s">
        <v>1493</v>
      </c>
      <c r="S11" s="323">
        <f>F.aR</f>
        <v>8.3467413497186804E-7</v>
      </c>
      <c r="T11" s="323">
        <f>F.aC</f>
        <v>2.2075750204028649E-8</v>
      </c>
      <c r="U11" s="323">
        <f>F.aM</f>
        <v>2.609680345099609E-10</v>
      </c>
      <c r="V11" s="323">
        <f>F.aA</f>
        <v>1.847692725394471E-11</v>
      </c>
      <c r="W11" s="324">
        <f>F.aT</f>
        <v>9.9899691680387372E-12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4.7703546362993604E-4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3">
      <c r="A12" s="29"/>
      <c r="B12" s="121" t="s">
        <v>714</v>
      </c>
      <c r="C12" s="318">
        <f>FRgas.aR*C11</f>
        <v>8833.9029203949922</v>
      </c>
      <c r="D12" s="122">
        <f>C12/$C$51</f>
        <v>2.3367982348963606E-4</v>
      </c>
      <c r="E12" s="318">
        <f>FRgas.aC*E11</f>
        <v>7326.9505189138063</v>
      </c>
      <c r="F12" s="122">
        <f>E12/$E$51</f>
        <v>2.05384571779438E-4</v>
      </c>
      <c r="G12" s="318">
        <f>FRgas.aM*G11</f>
        <v>933.27201849363962</v>
      </c>
      <c r="H12" s="122">
        <f>G12/$G$51</f>
        <v>9.8584688895211817E-7</v>
      </c>
      <c r="I12" s="318">
        <f>FRgas.aA*I11</f>
        <v>7.4648141707060773</v>
      </c>
      <c r="J12" s="122">
        <f>I12/$I$51</f>
        <v>1.1902778231707116E-8</v>
      </c>
      <c r="K12" s="318">
        <f>FRgas.aT*K11</f>
        <v>63.256386032858174</v>
      </c>
      <c r="L12" s="123">
        <f>K12/$K$51</f>
        <v>5.5438873043225911E-8</v>
      </c>
      <c r="M12" s="320">
        <f>FRgas.aR*M11</f>
        <v>3.8480214838153904E-8</v>
      </c>
      <c r="N12" s="320">
        <f>FRgas.aC*N11</f>
        <v>1.0177380308940244E-9</v>
      </c>
      <c r="O12" s="320">
        <f>FRgas.aM*O11</f>
        <v>1.2031169546391322E-11</v>
      </c>
      <c r="P12" s="320">
        <f>FRgas.aA*P11</f>
        <v>1.7564268636955476E-13</v>
      </c>
      <c r="Q12" s="320">
        <f>FRgas.aT*Q11</f>
        <v>4.9612851790476993E-13</v>
      </c>
      <c r="R12" s="120" t="s">
        <v>1493</v>
      </c>
      <c r="S12" s="325">
        <f>S11*FRgas.aR</f>
        <v>4.0887212671236452E-7</v>
      </c>
      <c r="T12" s="325">
        <f>T11*FRgas.aC</f>
        <v>1.0813991420731311E-8</v>
      </c>
      <c r="U12" s="325">
        <f>U11*FRgas.aM</f>
        <v>1.2783738084519628E-10</v>
      </c>
      <c r="V12" s="325">
        <f>V11*FRgas.aA</f>
        <v>1.7222293114229319E-12</v>
      </c>
      <c r="W12" s="326">
        <f>W11*FRgas.aT</f>
        <v>5.5120812751675194E-12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4.493017103629266E-3</v>
      </c>
      <c r="AE12" s="325">
        <f>k.aR.aC*M.aR*Molweight</f>
        <v>0.16987894543675269</v>
      </c>
      <c r="AF12" s="325">
        <f>kesc.aR*M.aR*Molweight</f>
        <v>6.6061689521141847E-6</v>
      </c>
      <c r="AG12" s="326">
        <f>KDEG.aR*M.aR*Molweight</f>
        <v>2.7869309168574538E-2</v>
      </c>
      <c r="AH12" s="325">
        <f>SUM(AH13:AH15)</f>
        <v>5.0636130582941488E-3</v>
      </c>
      <c r="AI12" s="325">
        <f>SUM(AI13:AI15)</f>
        <v>9.7385157455104511E-7</v>
      </c>
      <c r="AJ12" s="325">
        <f>SUM(AJ18:AJ20)</f>
        <v>0.11877888130652983</v>
      </c>
      <c r="AK12" s="325">
        <f>SUM(AK18:AK20)</f>
        <v>5.4443462536250507E-6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67</v>
      </c>
      <c r="BO12" s="409" t="str">
        <f>ChemName</f>
        <v>1-aminoanthraquinone</v>
      </c>
      <c r="BP12" s="541" t="str">
        <f>substances!D6</f>
        <v/>
      </c>
      <c r="BQ12" s="542" t="str">
        <f>substances!E6</f>
        <v/>
      </c>
      <c r="BR12" s="425">
        <f>engine!D45</f>
        <v>80868.094469903546</v>
      </c>
      <c r="BS12" s="425"/>
      <c r="BT12" s="425">
        <f>engine!F45</f>
        <v>43845386.87537843</v>
      </c>
      <c r="BU12" s="425">
        <f>engine!G45</f>
        <v>2328591.9823089936</v>
      </c>
      <c r="BV12" s="425">
        <f>engine!H45</f>
        <v>1245888.5993615626</v>
      </c>
      <c r="BW12" s="425">
        <f>engine!I45</f>
        <v>19462.95123801479</v>
      </c>
      <c r="BX12" s="425">
        <f>engine!J45</f>
        <v>2497652.0314926743</v>
      </c>
      <c r="BY12" s="425">
        <f>engine!K45</f>
        <v>61519951.454031087</v>
      </c>
      <c r="BZ12" s="425">
        <f>engine!L45</f>
        <v>925056.3079602496</v>
      </c>
      <c r="CA12" s="425">
        <f>engine!M45</f>
        <v>67073.017677370764</v>
      </c>
      <c r="CB12" s="425">
        <f>engine!N45</f>
        <v>7114395.8930942006</v>
      </c>
      <c r="CC12" s="425">
        <f>engine!O45</f>
        <v>3036450.2662956524</v>
      </c>
      <c r="CD12" s="425">
        <f>engine!P45</f>
        <v>143036913.63053936</v>
      </c>
      <c r="CE12" s="425">
        <f>engine!Q45</f>
        <v>86282.253137799053</v>
      </c>
      <c r="CF12" s="425">
        <f>engine!R45</f>
        <v>59776.905880841136</v>
      </c>
      <c r="CG12" s="425">
        <f>engine!S45</f>
        <v>1094892.7566088028</v>
      </c>
      <c r="CH12" s="425">
        <f>engine!T45</f>
        <v>5073132.1318583498</v>
      </c>
      <c r="CI12" s="425">
        <f>engine!U45</f>
        <v>405515.83578103781</v>
      </c>
      <c r="CJ12" s="425">
        <f>engine!V45</f>
        <v>8543.4411536737407</v>
      </c>
      <c r="CK12" s="425">
        <f>engine!W45</f>
        <v>140323196.02934319</v>
      </c>
      <c r="CL12" s="611"/>
      <c r="CM12" s="425">
        <f>engine!Y45</f>
        <v>114345.65802425705</v>
      </c>
      <c r="CN12" s="425">
        <f>engine!Z45</f>
        <v>539647.97068435885</v>
      </c>
      <c r="CO12" s="425">
        <f>engine!AA45</f>
        <v>359.13101282853791</v>
      </c>
      <c r="CP12" s="425">
        <f>engine!AB45</f>
        <v>110212312.31346571</v>
      </c>
      <c r="CQ12" s="425"/>
      <c r="CR12" s="425">
        <f>engine!AD45</f>
        <v>75324.964938085628</v>
      </c>
      <c r="CS12" s="425">
        <f>engine!AE45</f>
        <v>54636.983941286519</v>
      </c>
      <c r="CT12" s="425">
        <f>engine!AF45</f>
        <v>514.10052621071713</v>
      </c>
      <c r="CU12" s="425">
        <f>engine!AG45</f>
        <v>153717696.10092276</v>
      </c>
      <c r="CV12" s="425"/>
      <c r="CW12" s="425">
        <f>engine!AI45</f>
        <v>138111.33277453974</v>
      </c>
      <c r="CX12" s="425">
        <f>engine!AJ45</f>
        <v>10339.034724245848</v>
      </c>
      <c r="CY12" s="591"/>
    </row>
    <row r="13" spans="1:103" ht="12.75" customHeight="1" x14ac:dyDescent="0.3">
      <c r="A13" s="29"/>
      <c r="B13" s="121" t="s">
        <v>1547</v>
      </c>
      <c r="C13" s="318">
        <f>(1-FRgas.aR)*C11</f>
        <v>9199.6821463934994</v>
      </c>
      <c r="D13" s="122">
        <f>C13/$C$51</f>
        <v>2.4335564014030001E-4</v>
      </c>
      <c r="E13" s="318">
        <f>(1-FRgas.aC)*E11</f>
        <v>7630.3324231398738</v>
      </c>
      <c r="F13" s="122">
        <f>E13/$E$51</f>
        <v>2.138887867764213E-4</v>
      </c>
      <c r="G13" s="318">
        <f>(1-FRgas.aM)*G11</f>
        <v>971.91535877560466</v>
      </c>
      <c r="H13" s="122">
        <f>G13/$G$51</f>
        <v>1.0266671600421947E-6</v>
      </c>
      <c r="I13" s="318">
        <f>(1-FRgas.aA)*I11</f>
        <v>72.62140169005788</v>
      </c>
      <c r="J13" s="122">
        <f>I13/$I$51</f>
        <v>1.1579610951128584E-7</v>
      </c>
      <c r="K13" s="318">
        <f>(1-FRgas.aT)*K11</f>
        <v>51.388031312131744</v>
      </c>
      <c r="L13" s="123">
        <f>K13/$K$51</f>
        <v>4.503726378511013E-8</v>
      </c>
      <c r="M13" s="320">
        <f>(1-FRgas.aR)*M11</f>
        <v>4.0073538120806284E-8</v>
      </c>
      <c r="N13" s="320">
        <f>(1-FRgas.aC)*N11</f>
        <v>1.0598787961440253E-9</v>
      </c>
      <c r="O13" s="320">
        <f>(1-FRgas.aM)*O11</f>
        <v>1.2529335750411487E-11</v>
      </c>
      <c r="P13" s="320">
        <f>(1-FRgas.aA)*P11</f>
        <v>1.7087388632954798E-12</v>
      </c>
      <c r="Q13" s="320">
        <f>(1-FRgas.aT)*Q11</f>
        <v>4.0304338284024897E-13</v>
      </c>
      <c r="R13" s="120" t="s">
        <v>1493</v>
      </c>
      <c r="S13" s="325">
        <f>S11*(1-FRgas.aR)</f>
        <v>4.2580200825950352E-7</v>
      </c>
      <c r="T13" s="325">
        <f>T11*(1-FRgas.aC)</f>
        <v>1.1261758783297339E-8</v>
      </c>
      <c r="U13" s="325">
        <f>U11*(1-FRgas.aM)</f>
        <v>1.3313065366476462E-10</v>
      </c>
      <c r="V13" s="325">
        <f>V11*(1-FRgas.aA)</f>
        <v>1.675469794252178E-11</v>
      </c>
      <c r="W13" s="326">
        <f>W11*(1-FRgas.aT)</f>
        <v>4.4778878928712177E-12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3.0503291143581523E-2</v>
      </c>
      <c r="AF13" s="330"/>
      <c r="AG13" s="326">
        <f>KDEG.w0R*M.w0R*Molweight</f>
        <v>2.7388052941287547E-3</v>
      </c>
      <c r="AH13" s="325">
        <f>k.aR.w0R*M.aR*Molweight</f>
        <v>3.682624749380475E-4</v>
      </c>
      <c r="AI13" s="325">
        <f>k.w0R.aR*M.w0R*Molweight</f>
        <v>3.604301422115365E-8</v>
      </c>
      <c r="AJ13" s="325"/>
      <c r="AK13" s="325"/>
      <c r="AL13" s="325">
        <f>SUM(AL18:AL20)*AREAFRAC.w0R/(AREAFRAC.w0R+AREAFRAC.w1R)</f>
        <v>3.287387000578644E-2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3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3.050329114358153E-2</v>
      </c>
      <c r="AE14" s="325">
        <f>(WATERflow.w1R.w0R+WATERflow.w1R.w2R)*C.w1R*Molweight</f>
        <v>0.71028070685414813</v>
      </c>
      <c r="AF14" s="330"/>
      <c r="AG14" s="326">
        <f>KDEG.w1R*M.w1R*Molweight</f>
        <v>2.1043114520556063E-3</v>
      </c>
      <c r="AH14" s="325">
        <f>k.aR.w1R*M.aR*Molweight</f>
        <v>4.0508872243185234E-3</v>
      </c>
      <c r="AI14" s="325">
        <f>k.w1R.aR*M.w1R*Molweight</f>
        <v>9.2309990971573288E-7</v>
      </c>
      <c r="AJ14" s="325"/>
      <c r="AK14" s="325"/>
      <c r="AL14" s="325">
        <f>SUM(AL18:AL20)*AREAFRAC.w1R/(AREAFRAC.w0R+AREAFRAC.w1R)</f>
        <v>0.36161257006365088</v>
      </c>
      <c r="AM14" s="325">
        <f>k.w1R.sd1R*M.w1R*Molweight</f>
        <v>0.10171006999875758</v>
      </c>
      <c r="AN14" s="326">
        <f>k.sd1R.w1R*M.sd1R*Molweight</f>
        <v>0.10083134313567427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3">
      <c r="A15" s="29"/>
      <c r="B15" s="66" t="s">
        <v>356</v>
      </c>
      <c r="C15" s="318">
        <f>M.w0R*Molweight</f>
        <v>12724230.019894008</v>
      </c>
      <c r="D15" s="122">
        <f>C15/$C$51</f>
        <v>0.33658914433230036</v>
      </c>
      <c r="E15" s="318">
        <f>M.w0C*Molweight</f>
        <v>1586510.2841600068</v>
      </c>
      <c r="F15" s="122">
        <f>E15/$E$51</f>
        <v>4.4472080778318511E-2</v>
      </c>
      <c r="G15" s="318"/>
      <c r="H15" s="122"/>
      <c r="I15" s="318"/>
      <c r="J15" s="122"/>
      <c r="K15" s="318"/>
      <c r="L15" s="123"/>
      <c r="M15" s="320">
        <f>C.w0R*Molweight</f>
        <v>2.2267541706950185E-4</v>
      </c>
      <c r="N15" s="320">
        <f>C.w0C*Molweight</f>
        <v>1.8205199138916378E-6</v>
      </c>
      <c r="O15" s="320"/>
      <c r="P15" s="320"/>
      <c r="Q15" s="320"/>
      <c r="R15" s="120" t="s">
        <v>1489</v>
      </c>
      <c r="S15" s="325">
        <f>F.w0R</f>
        <v>1.7303839096414515E-10</v>
      </c>
      <c r="T15" s="325">
        <f>F.w0C</f>
        <v>1.4147041499406672E-12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0.71081020815370921</v>
      </c>
      <c r="AE15" s="325">
        <f>k.w2R.w2C*M.w2R*Molweight</f>
        <v>0.7113325569586707</v>
      </c>
      <c r="AF15" s="330"/>
      <c r="AG15" s="326">
        <f>KDEG.w2R*M.w2R*Molweight</f>
        <v>1.1176681818110792E-4</v>
      </c>
      <c r="AH15" s="325">
        <f>k.aR.w2R*M.aR*Molweight</f>
        <v>6.4446335903757784E-4</v>
      </c>
      <c r="AI15" s="325">
        <f>k.w2R.aR*M.w2R*Molweight</f>
        <v>1.4708650614158585E-8</v>
      </c>
      <c r="AJ15" s="325"/>
      <c r="AK15" s="325"/>
      <c r="AL15" s="325"/>
      <c r="AM15" s="325">
        <f>k.w2R.sd2R*M.w2R*Molweight</f>
        <v>1.505164822883041E-3</v>
      </c>
      <c r="AN15" s="326">
        <f>k.sd2R.w2R*M.sd2R*Molweight</f>
        <v>1.494831795638616E-3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3">
      <c r="A16" s="29"/>
      <c r="B16" s="121" t="s">
        <v>715</v>
      </c>
      <c r="C16" s="318">
        <f>FRw.w0R*C15</f>
        <v>12724018.253230551</v>
      </c>
      <c r="D16" s="122">
        <f>C16/$C$51</f>
        <v>0.33658354255050771</v>
      </c>
      <c r="E16" s="318">
        <f>FRw.w0C*E15</f>
        <v>1586483.8802055914</v>
      </c>
      <c r="F16" s="122">
        <f>E16/$E$51</f>
        <v>4.4471340638903498E-2</v>
      </c>
      <c r="G16" s="318"/>
      <c r="H16" s="122"/>
      <c r="I16" s="318"/>
      <c r="J16" s="122"/>
      <c r="K16" s="318"/>
      <c r="L16" s="123"/>
      <c r="M16" s="320">
        <f>M15*FRw.w0R</f>
        <v>2.2267171112972924E-4</v>
      </c>
      <c r="N16" s="320">
        <f>N15*FRw.w0C</f>
        <v>1.8204896153645506E-6</v>
      </c>
      <c r="O16" s="320"/>
      <c r="P16" s="320"/>
      <c r="Q16" s="320"/>
      <c r="R16" s="120" t="s">
        <v>1489</v>
      </c>
      <c r="S16" s="325">
        <f>S15*FRw.w0R</f>
        <v>1.7303551112287797E-10</v>
      </c>
      <c r="T16" s="325">
        <f>T15*FRw.w0C</f>
        <v>1.4146806053193311E-12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8.0442930525289485E-4</v>
      </c>
      <c r="AG16" s="326">
        <f>KDEG.sd1R*M.sd1R*Molweight</f>
        <v>7.429755783042127E-5</v>
      </c>
      <c r="AH16" s="325"/>
      <c r="AI16" s="325"/>
      <c r="AJ16" s="325"/>
      <c r="AK16" s="325"/>
      <c r="AL16" s="325"/>
      <c r="AM16" s="325">
        <f>k.w1R.sd1R*M.w1R*Molweight</f>
        <v>0.10171006999875758</v>
      </c>
      <c r="AN16" s="326">
        <f>k.sd1R.w1R*M.sd1R*Molweight</f>
        <v>0.10083134313567427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3">
      <c r="A17" s="29"/>
      <c r="B17" s="121" t="s">
        <v>492</v>
      </c>
      <c r="C17" s="318">
        <f>(1-FRw.w0R)*C15</f>
        <v>211.76666345648158</v>
      </c>
      <c r="D17" s="122">
        <f>C17/$C$51</f>
        <v>5.6017817926492579E-6</v>
      </c>
      <c r="E17" s="318">
        <f>(1-FRw.w0C)*E15</f>
        <v>26.403954415369626</v>
      </c>
      <c r="F17" s="122">
        <f>E17/$E$51</f>
        <v>7.4013941501114807E-7</v>
      </c>
      <c r="G17" s="318"/>
      <c r="H17" s="122"/>
      <c r="I17" s="318"/>
      <c r="J17" s="122"/>
      <c r="K17" s="318"/>
      <c r="L17" s="123"/>
      <c r="M17" s="320">
        <f>M16*Kp.susp1R</f>
        <v>1.7114837403559814E-3</v>
      </c>
      <c r="N17" s="320">
        <f>N16*Kp.susp1C</f>
        <v>1.3992520021405431E-5</v>
      </c>
      <c r="O17" s="320"/>
      <c r="P17" s="320"/>
      <c r="Q17" s="320"/>
      <c r="R17" s="120" t="s">
        <v>1494</v>
      </c>
      <c r="S17" s="325">
        <f>S15*(1-FRw.w0R)</f>
        <v>2.8798412671779448E-15</v>
      </c>
      <c r="T17" s="325">
        <f>T15*(1-FRw.w0C)</f>
        <v>2.3544621336031826E-17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9.1723699064433543E-6</v>
      </c>
      <c r="AG17" s="326">
        <f>KDEG.sd2R*M.sd2R*Molweight</f>
        <v>1.1606573379819675E-6</v>
      </c>
      <c r="AH17" s="325"/>
      <c r="AI17" s="325"/>
      <c r="AJ17" s="325"/>
      <c r="AK17" s="325"/>
      <c r="AL17" s="325"/>
      <c r="AM17" s="325">
        <f>k.w2R.sd2R*M.w2R*Molweight</f>
        <v>1.505164822883041E-3</v>
      </c>
      <c r="AN17" s="326">
        <f>k.sd2R.w2R*M.sd2R*Molweight</f>
        <v>1.494831795638616E-3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3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2.1121840663031581E-4</v>
      </c>
      <c r="AG18" s="326">
        <f>KDEG.s1R*M.s1R*Molweight</f>
        <v>1.4894545655621896E-3</v>
      </c>
      <c r="AH18" s="325"/>
      <c r="AI18" s="325"/>
      <c r="AJ18" s="325">
        <f>k.aR.s1R*M.aR*Molweight</f>
        <v>3.3062162837900061E-2</v>
      </c>
      <c r="AK18" s="325">
        <f>k.s1R.aR*M.s1R*Molweight</f>
        <v>4.3281704035905286E-7</v>
      </c>
      <c r="AL18" s="325">
        <f>(k.s1R.w1R+k.s1R.w0R)*M.s1R*Molweight</f>
        <v>3.13610570486672E-2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3">
      <c r="A19" s="29"/>
      <c r="B19" s="66" t="s">
        <v>447</v>
      </c>
      <c r="C19" s="318">
        <f>M.w1R*Molweight</f>
        <v>9777521.2732093893</v>
      </c>
      <c r="D19" s="122">
        <f>C19/$C$51</f>
        <v>0.25864099547831237</v>
      </c>
      <c r="E19" s="318">
        <f>M.w1C*Molweight</f>
        <v>677128.4093839305</v>
      </c>
      <c r="F19" s="122">
        <f>E19/$E$51</f>
        <v>1.8980847221775347E-2</v>
      </c>
      <c r="G19" s="318"/>
      <c r="H19" s="122"/>
      <c r="I19" s="318"/>
      <c r="J19" s="122"/>
      <c r="K19" s="318"/>
      <c r="L19" s="123"/>
      <c r="M19" s="320">
        <f>C.w1R*Molweight</f>
        <v>5.1850815667950747E-4</v>
      </c>
      <c r="N19" s="320">
        <f>C.w1C*Molweight</f>
        <v>2.3545593267165394E-6</v>
      </c>
      <c r="O19" s="320"/>
      <c r="P19" s="320"/>
      <c r="Q19" s="320"/>
      <c r="R19" s="120" t="s">
        <v>1489</v>
      </c>
      <c r="S19" s="325">
        <f>F.w1R</f>
        <v>4.0292645822507976E-10</v>
      </c>
      <c r="T19" s="325">
        <f>F.w1C</f>
        <v>1.829699760694659E-12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2.3674399534129296E-3</v>
      </c>
      <c r="AG19" s="326">
        <f>KDEG.s2R*M.s2R*Molweight</f>
        <v>3.6686924924289488E-2</v>
      </c>
      <c r="AH19" s="325"/>
      <c r="AI19" s="325"/>
      <c r="AJ19" s="325">
        <f>k.aR.s2R*M.aR*Molweight</f>
        <v>7.3471472973111226E-2</v>
      </c>
      <c r="AK19" s="325">
        <f>k.s2R.aR*M.s2R*Molweight</f>
        <v>4.8512266057256083E-6</v>
      </c>
      <c r="AL19" s="325">
        <f>(k.s2R.w1R+k.s2R.w0R)*M.s2R*Molweight</f>
        <v>0.35151017670644896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3">
      <c r="A20" s="29"/>
      <c r="B20" s="121" t="s">
        <v>715</v>
      </c>
      <c r="C20" s="318">
        <f>FRw.w1R*C19</f>
        <v>9776269.0118339192</v>
      </c>
      <c r="D20" s="122">
        <f>C20/$C$51</f>
        <v>0.25860786989160173</v>
      </c>
      <c r="E20" s="318">
        <f>FRw.w1C*E19</f>
        <v>677041.68579319504</v>
      </c>
      <c r="F20" s="122">
        <f>E20/$E$51</f>
        <v>1.8978416239404113E-2</v>
      </c>
      <c r="G20" s="318"/>
      <c r="H20" s="122"/>
      <c r="I20" s="318"/>
      <c r="J20" s="122"/>
      <c r="K20" s="318"/>
      <c r="L20" s="123"/>
      <c r="M20" s="320">
        <f>M19*FRw.w1R</f>
        <v>5.1844174846424178E-4</v>
      </c>
      <c r="N20" s="320">
        <f>N19*FRw.w1C</f>
        <v>2.3542577652452102E-6</v>
      </c>
      <c r="O20" s="320"/>
      <c r="P20" s="320"/>
      <c r="Q20" s="320"/>
      <c r="R20" s="120" t="s">
        <v>1489</v>
      </c>
      <c r="S20" s="325">
        <f>S19*FRw.w1R</f>
        <v>4.0287485319894976E-10</v>
      </c>
      <c r="T20" s="325">
        <f>T19*FRw.w1C</f>
        <v>1.8294654208988148E-12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7.8229039492709544E-5</v>
      </c>
      <c r="AG20" s="326">
        <f>KDEG.s3R*M.s3R*Molweight</f>
        <v>5.516498390971072E-4</v>
      </c>
      <c r="AH20" s="325"/>
      <c r="AI20" s="325"/>
      <c r="AJ20" s="325">
        <f>k.aR.s3R*M.aR*Molweight</f>
        <v>1.2245245495518538E-2</v>
      </c>
      <c r="AK20" s="325">
        <f>k.s3R.aR*M.s3R*Molweight</f>
        <v>1.6030260754038993E-7</v>
      </c>
      <c r="AL20" s="325">
        <f>(k.s3R.w1R+k.s3R.w0R)*M.s3R*Molweight</f>
        <v>1.1615206314321185E-2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4.3281704035905286E-7</v>
      </c>
      <c r="BE20" s="2"/>
      <c r="BF20" s="296">
        <f>IF(output!AK20&lt;0,"",output!AK20)</f>
        <v>1.6030260754038993E-7</v>
      </c>
      <c r="BG20" s="75"/>
      <c r="BH20" s="296">
        <f>IF(output!AK19&lt;0,"",output!AK19)</f>
        <v>4.8512266057256083E-6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3">
      <c r="A21" s="29"/>
      <c r="B21" s="121" t="s">
        <v>492</v>
      </c>
      <c r="C21" s="318">
        <f>(1-FRw.w1R)*C19</f>
        <v>1252.2613754705196</v>
      </c>
      <c r="D21" s="122">
        <f>C21/$C$51</f>
        <v>3.3125586710630904E-5</v>
      </c>
      <c r="E21" s="318">
        <f>(1-FRw.w1C)*E19</f>
        <v>86.723590735482617</v>
      </c>
      <c r="F21" s="122">
        <f>E21/$E$51</f>
        <v>2.4309823712338719E-6</v>
      </c>
      <c r="G21" s="318"/>
      <c r="H21" s="122"/>
      <c r="I21" s="318"/>
      <c r="J21" s="122"/>
      <c r="K21" s="318"/>
      <c r="L21" s="123"/>
      <c r="M21" s="320">
        <f>M20*Kp.susp1R</f>
        <v>3.9848107256935253E-3</v>
      </c>
      <c r="N21" s="320">
        <f>N20*Kp.susp1C</f>
        <v>1.8095131462283139E-5</v>
      </c>
      <c r="O21" s="320"/>
      <c r="P21" s="320"/>
      <c r="Q21" s="320"/>
      <c r="R21" s="120" t="s">
        <v>1494</v>
      </c>
      <c r="S21" s="325">
        <f>S19*(1-FRw.w1R)</f>
        <v>5.160502612997974E-14</v>
      </c>
      <c r="T21" s="325">
        <f>T19*(1-FRw.w1C)</f>
        <v>2.3433979584413492E-16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1.4708650614158585E-8</v>
      </c>
      <c r="AV21" s="75"/>
      <c r="AW21" s="75"/>
      <c r="AX21" s="288">
        <f>IF(output!AI14&lt;0,"",output!AI14)</f>
        <v>9.2309990971573288E-7</v>
      </c>
      <c r="AY21" s="75"/>
      <c r="AZ21" s="75"/>
      <c r="BA21" s="296">
        <f>IF(output!AI13&lt;0,"",output!AI13)</f>
        <v>3.604301422115365E-8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3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0.17012326899961042</v>
      </c>
      <c r="AE22" s="325">
        <f>(k.aC.aM+k.aC.aR)*M.aC*Molweight</f>
        <v>2.5160781846284782E-2</v>
      </c>
      <c r="AF22" s="325">
        <f>kesc.aC*M.aC*Molweight</f>
        <v>5.4792398635009051E-6</v>
      </c>
      <c r="AG22" s="326">
        <f>KDEG.aC*M.aC*Molweight</f>
        <v>2.3115156586453207E-2</v>
      </c>
      <c r="AH22" s="325">
        <f>SUM(AH23:AH25)</f>
        <v>6.9773667755799559E-2</v>
      </c>
      <c r="AI22" s="325">
        <f>SUM(AI23:AI25)</f>
        <v>1.1359691124937691E-7</v>
      </c>
      <c r="AJ22" s="325">
        <f>SUM(AJ28:AJ30)</f>
        <v>5.2068957220952138E-2</v>
      </c>
      <c r="AK22" s="325">
        <f>SUM(AK28:AK30)</f>
        <v>6.6005283152334612E-7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3.3062162837900061E-2</v>
      </c>
      <c r="BE22" s="2"/>
      <c r="BF22" s="296">
        <f>IF(output!AJ20&lt;0,"",output!AJ20)</f>
        <v>1.2245245495518538E-2</v>
      </c>
      <c r="BG22" s="75"/>
      <c r="BH22" s="296">
        <f>IF(output!AJ19&lt;0,"",output!AJ19)</f>
        <v>7.3471472973111226E-2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3">
      <c r="A23" s="29"/>
      <c r="B23" s="66" t="s">
        <v>448</v>
      </c>
      <c r="C23" s="318">
        <f>M.sd1R*Molweight</f>
        <v>277833.15765762847</v>
      </c>
      <c r="D23" s="122">
        <f>C23/$C$51</f>
        <v>7.3494132577698601E-3</v>
      </c>
      <c r="E23" s="318">
        <f>M.sd1C*Molweight</f>
        <v>19240.942449729188</v>
      </c>
      <c r="F23" s="122">
        <f>E23/$E$51</f>
        <v>5.3935026795517093E-4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1.1333591252214552E-3</v>
      </c>
      <c r="N23" s="320">
        <f>C.sd1C*(Molweight*1000)/(FRACw.sdC*1000+FRACs.sdC*RHOsolid)</f>
        <v>5.1466139238749272E-6</v>
      </c>
      <c r="O23" s="320"/>
      <c r="P23" s="320"/>
      <c r="Q23" s="320"/>
      <c r="R23" s="120" t="s">
        <v>1495</v>
      </c>
      <c r="S23" s="325">
        <f>F.sd1R</f>
        <v>4.2069520581528539E-10</v>
      </c>
      <c r="T23" s="325">
        <f>F.sd1C</f>
        <v>1.9103881159763114E-12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3.8032780784657697E-3</v>
      </c>
      <c r="AF23" s="330"/>
      <c r="AG23" s="326">
        <f>KDEG.w0C*M.w0C*Molweight</f>
        <v>3.4148571337154558E-4</v>
      </c>
      <c r="AH23" s="325">
        <f>k.aC.w0C*M.aC*Molweight</f>
        <v>1.5925928812523705E-4</v>
      </c>
      <c r="AI23" s="325">
        <f>k.w0C.aC*M.w0C*Molweight</f>
        <v>4.4939939504851846E-9</v>
      </c>
      <c r="AJ23" s="325"/>
      <c r="AK23" s="325"/>
      <c r="AL23" s="325">
        <f>SUM(AL28:AL30)*AREAFRAC.w0C/(AREAFRAC.w1C+AREAFRAC.w0C)</f>
        <v>3.9855089977060285E-3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6.4446335903757784E-4</v>
      </c>
      <c r="AV23" s="75"/>
      <c r="AW23" s="75"/>
      <c r="AX23" s="288">
        <f>IF(output!AH14&lt;0,"",output!AH14)</f>
        <v>4.0508872243185234E-3</v>
      </c>
      <c r="AY23" s="291">
        <f>output!AL14</f>
        <v>0.36161257006365088</v>
      </c>
      <c r="AZ23" s="87"/>
      <c r="BA23" s="296">
        <f>IF(output!AH13&lt;0,"",output!AH13)</f>
        <v>3.682624749380475E-4</v>
      </c>
      <c r="BB23" s="291">
        <f>output!AL13</f>
        <v>3.287387000578644E-2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3">
      <c r="A24" s="29"/>
      <c r="B24" s="121" t="s">
        <v>717</v>
      </c>
      <c r="C24" s="318">
        <f>C23*FRACw.sdR</f>
        <v>222266.52612610278</v>
      </c>
      <c r="D24" s="122">
        <f>C24/$C$51</f>
        <v>5.8795306062158883E-3</v>
      </c>
      <c r="E24" s="318">
        <f>E23*FRACw.sdC</f>
        <v>15392.753959783351</v>
      </c>
      <c r="F24" s="122">
        <f>E24/$E$51</f>
        <v>4.3148021436413677E-4</v>
      </c>
      <c r="G24" s="318"/>
      <c r="H24" s="122"/>
      <c r="I24" s="318"/>
      <c r="J24" s="122"/>
      <c r="K24" s="318"/>
      <c r="L24" s="123"/>
      <c r="M24" s="320">
        <f>M25/Kp.sd1R</f>
        <v>5.413739684707856E-4</v>
      </c>
      <c r="N24" s="320">
        <f>N25/Kp.sd1C</f>
        <v>2.4583935860672115E-6</v>
      </c>
      <c r="O24" s="320"/>
      <c r="P24" s="320"/>
      <c r="Q24" s="320"/>
      <c r="R24" s="120" t="s">
        <v>1489</v>
      </c>
      <c r="S24" s="325">
        <f>S23*FRACw.sdR</f>
        <v>3.3655616465222835E-10</v>
      </c>
      <c r="T24" s="325">
        <f>T23*FRACw.sdC</f>
        <v>1.5283104927810493E-12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3.8032780784657697E-3</v>
      </c>
      <c r="AE24" s="325">
        <f>(k.w1C.w0C+k.w1C.w1R+k.w1C.w2C)*M.w1C*Molweight</f>
        <v>4.9189485945283454E-2</v>
      </c>
      <c r="AF24" s="330"/>
      <c r="AG24" s="326">
        <f>KDEG.w1C*M.w1C*Molweight</f>
        <v>1.4573111390542583E-4</v>
      </c>
      <c r="AH24" s="325">
        <f>k.aC.w1C*M.aC*Molweight</f>
        <v>1.7518521693776073E-3</v>
      </c>
      <c r="AI24" s="325">
        <f>k.w1C.aC*M.w1C*Molweight</f>
        <v>6.3927978891841799E-8</v>
      </c>
      <c r="AJ24" s="518"/>
      <c r="AK24" s="518"/>
      <c r="AL24" s="325">
        <f>SUM(AL28:AL30)*AREAFRAC.w1C/(AREAFRAC.w1C+AREAFRAC.w0C)</f>
        <v>4.3840598974766304E-2</v>
      </c>
      <c r="AM24" s="325">
        <f>k.w1C.sd1C*M.w1C*Molweight</f>
        <v>7.0437870695606959E-3</v>
      </c>
      <c r="AN24" s="326">
        <f>k.sd1C.w1C*M.sd1C*Molweight</f>
        <v>6.9833388341187944E-3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3.0503291143581523E-2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3">
      <c r="A25" s="29"/>
      <c r="B25" s="121" t="s">
        <v>718</v>
      </c>
      <c r="C25" s="318">
        <f>C23*FRACs.sdR</f>
        <v>55566.63153152568</v>
      </c>
      <c r="D25" s="122">
        <f>C25/$C$51</f>
        <v>1.4698826515539716E-3</v>
      </c>
      <c r="E25" s="318">
        <f>E23*FRACs.sdC</f>
        <v>3848.1884899458369</v>
      </c>
      <c r="F25" s="122">
        <f>E25/$E$51</f>
        <v>1.0787005359103417E-4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2.0805353760225266E-3</v>
      </c>
      <c r="N25" s="320">
        <f>C.sd1C*FRACs.sdC/(FRACw.sdC/(Kp.sd1C*RHOsolid/1000)+FRACs.sdC)*(Molweight*1000)/(FRACs.sdC*RHOsolid)</f>
        <v>9.4477664643672734E-6</v>
      </c>
      <c r="O25" s="320"/>
      <c r="P25" s="320"/>
      <c r="Q25" s="320"/>
      <c r="R25" s="120" t="s">
        <v>1494</v>
      </c>
      <c r="S25" s="325">
        <f>S23*(1-FRACw.sdR)</f>
        <v>8.4139041163057062E-11</v>
      </c>
      <c r="T25" s="325">
        <f>T23*(1-FRACw.sdC)</f>
        <v>3.8207762319526221E-13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0.95041441927758996</v>
      </c>
      <c r="AE25" s="325">
        <f>(k.w2C.w2M+k.w2C.w2R)*M.w2C*Molweight</f>
        <v>1.0113957498432464</v>
      </c>
      <c r="AF25" s="330"/>
      <c r="AG25" s="326">
        <f>KDEG.w2C*M.w2C*Molweight</f>
        <v>6.8654280528266274E-3</v>
      </c>
      <c r="AH25" s="325">
        <f>k.aC.w2C*M.aC*Molweight</f>
        <v>6.7862556298296711E-2</v>
      </c>
      <c r="AI25" s="325">
        <f>k.w2C.aC*M.w2C*Molweight</f>
        <v>4.5174938407049914E-8</v>
      </c>
      <c r="AJ25" s="325"/>
      <c r="AK25" s="325"/>
      <c r="AL25" s="325"/>
      <c r="AM25" s="325">
        <f>k.w2C.sd2C*M.w2C*Molweight</f>
        <v>4.6228393038819414E-3</v>
      </c>
      <c r="AN25" s="326">
        <f>k.sd2C.w2C*M.sd2C*Molweight</f>
        <v>4.6070867990068241E-3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0.71028070685414813</v>
      </c>
      <c r="AT25" s="75"/>
      <c r="AU25" s="75"/>
      <c r="AV25" s="87"/>
      <c r="AW25" s="75"/>
      <c r="AX25" s="289">
        <f>output!AD14</f>
        <v>3.050329114358153E-2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3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5.5302863138527116E-5</v>
      </c>
      <c r="AG26" s="326">
        <f>KDEG.sd1C*M.sd1C*Molweight</f>
        <v>5.1453723033742114E-6</v>
      </c>
      <c r="AH26" s="325"/>
      <c r="AI26" s="325"/>
      <c r="AJ26" s="325"/>
      <c r="AK26" s="325"/>
      <c r="AL26" s="325"/>
      <c r="AM26" s="325">
        <f>k.w1C.sd1C*M.w1C*Molweight</f>
        <v>7.0437870695606959E-3</v>
      </c>
      <c r="AN26" s="326">
        <f>k.sd1C.w1C*M.sd1C*Molweight</f>
        <v>6.9833388341187944E-3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0.7113325569586707</v>
      </c>
      <c r="AT26" s="75"/>
      <c r="AU26" s="285">
        <f>output!AD15</f>
        <v>0.71081020815370921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3">
      <c r="A27" s="29"/>
      <c r="B27" s="66" t="s">
        <v>1463</v>
      </c>
      <c r="C27" s="318">
        <f>M.w2R*Molweight</f>
        <v>519276.01205490559</v>
      </c>
      <c r="D27" s="122">
        <f>C27/$C$51</f>
        <v>1.3736207872427781E-2</v>
      </c>
      <c r="E27" s="318">
        <f>M.w2C*Molweight</f>
        <v>31897231.739610277</v>
      </c>
      <c r="F27" s="122">
        <f>E27/$E$51</f>
        <v>0.89412358727932928</v>
      </c>
      <c r="G27" s="318">
        <f>M.w2M*Molweight</f>
        <v>31292072.714543533</v>
      </c>
      <c r="H27" s="122">
        <f>G27/$G$51</f>
        <v>3.3054877809675212E-2</v>
      </c>
      <c r="I27" s="318">
        <f>M.w2A*Molweight</f>
        <v>24577345.645902853</v>
      </c>
      <c r="J27" s="122">
        <f>I27/$I$51</f>
        <v>3.9189012352804982E-2</v>
      </c>
      <c r="K27" s="318">
        <f>M.w2T*Molweight</f>
        <v>34279046.230505779</v>
      </c>
      <c r="L27" s="123">
        <f>K27/$K$51</f>
        <v>3.0042685192744556E-2</v>
      </c>
      <c r="M27" s="320">
        <f>C.w2R*Molweight</f>
        <v>5.1927601205490501E-5</v>
      </c>
      <c r="N27" s="320">
        <f>C.w2C*Molweight</f>
        <v>4.2948707171589286E-8</v>
      </c>
      <c r="O27" s="320">
        <f>C.w2M*Molweight</f>
        <v>8.0679635695998252E-9</v>
      </c>
      <c r="P27" s="320">
        <f>C.w2A*Molweight</f>
        <v>9.638174763099158E-9</v>
      </c>
      <c r="Q27" s="320">
        <f>C.w2T*Molweight</f>
        <v>3.8407894936140931E-9</v>
      </c>
      <c r="R27" s="120" t="s">
        <v>1489</v>
      </c>
      <c r="S27" s="325">
        <f>F.w2R</f>
        <v>4.0352314941084488E-11</v>
      </c>
      <c r="T27" s="325">
        <f>F.w2C</f>
        <v>3.3374924276631902E-14</v>
      </c>
      <c r="U27" s="325">
        <f>F.w2M</f>
        <v>6.2695175462729752E-15</v>
      </c>
      <c r="V27" s="325">
        <f>F.w2A</f>
        <v>2.1093596862331307E-16</v>
      </c>
      <c r="W27" s="326">
        <f>F.w2T</f>
        <v>1.9203947468070462E-14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1.218775749410664E-5</v>
      </c>
      <c r="AG27" s="326">
        <f>KDEG.sd2C*M.sd2C*Molweight</f>
        <v>3.5647473810108803E-6</v>
      </c>
      <c r="AH27" s="325"/>
      <c r="AI27" s="325"/>
      <c r="AJ27" s="325"/>
      <c r="AK27" s="325"/>
      <c r="AL27" s="325"/>
      <c r="AM27" s="325">
        <f>k.w2C.sd2C*M.w2C*Molweight</f>
        <v>4.6228393038819414E-3</v>
      </c>
      <c r="AN27" s="326">
        <f>k.sd2C.w2C*M.sd2C*Molweight</f>
        <v>4.6070867990068241E-3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2.7388052941287547E-3</v>
      </c>
      <c r="BB27" s="264">
        <f>IF(ISERROR(output!D15),0,output!D15)</f>
        <v>0.33658914433230036</v>
      </c>
      <c r="BC27" s="86"/>
      <c r="BD27" s="295">
        <f>output!AG18</f>
        <v>1.4894545655621896E-3</v>
      </c>
      <c r="BE27" s="75"/>
      <c r="BF27" s="295">
        <f>output!AG19</f>
        <v>3.6686924924289488E-2</v>
      </c>
      <c r="BG27" s="75"/>
      <c r="BH27" s="256">
        <f>output!AG20</f>
        <v>5.516498390971072E-4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3">
      <c r="A28" s="29"/>
      <c r="B28" s="121" t="s">
        <v>715</v>
      </c>
      <c r="C28" s="318">
        <f>FRw.w2R*C27</f>
        <v>519249.41056984174</v>
      </c>
      <c r="D28" s="122">
        <f>C28/$C$51</f>
        <v>1.3735504193613298E-2</v>
      </c>
      <c r="E28" s="318">
        <f>FRw.w2C*E27</f>
        <v>31895597.707392342</v>
      </c>
      <c r="F28" s="122">
        <f>E28/$E$51</f>
        <v>0.89407778309292341</v>
      </c>
      <c r="G28" s="318">
        <f>FRw.w2M*G27</f>
        <v>31290469.683427885</v>
      </c>
      <c r="H28" s="122">
        <f>G28/$G$51</f>
        <v>3.305318447353426E-2</v>
      </c>
      <c r="I28" s="318">
        <f>FRw.w2A*I27</f>
        <v>24576086.597000282</v>
      </c>
      <c r="J28" s="122">
        <f>I28/$I$51</f>
        <v>3.9187004777059969E-2</v>
      </c>
      <c r="K28" s="318">
        <f>FRw.w2T*K27</f>
        <v>34277290.182633094</v>
      </c>
      <c r="L28" s="123">
        <f>K28/$K$51</f>
        <v>3.0041146165285398E-2</v>
      </c>
      <c r="M28" s="320">
        <f>M27*FRw.w2R</f>
        <v>5.1924941056984115E-5</v>
      </c>
      <c r="N28" s="320">
        <f>N27*FRw.w2C</f>
        <v>4.2946506994100216E-8</v>
      </c>
      <c r="O28" s="320">
        <f>O27*FRw.w2M</f>
        <v>8.0675502637520493E-9</v>
      </c>
      <c r="P28" s="320">
        <f>P27*FRw.w2A</f>
        <v>9.6376810184314841E-9</v>
      </c>
      <c r="Q28" s="320">
        <f>Q27*FRw.w2T</f>
        <v>3.8405927375499271E-9</v>
      </c>
      <c r="R28" s="120" t="s">
        <v>1489</v>
      </c>
      <c r="S28" s="325">
        <f>S27*FRw.w2R</f>
        <v>4.0350247771644193E-11</v>
      </c>
      <c r="T28" s="325">
        <f>T27*FRw.w2C</f>
        <v>3.3373214545142211E-14</v>
      </c>
      <c r="U28" s="325">
        <f>U27*FRw.w2M</f>
        <v>6.2691963712649006E-15</v>
      </c>
      <c r="V28" s="325">
        <f>V27*FRw.w2A</f>
        <v>2.1092516279002115E-16</v>
      </c>
      <c r="W28" s="326">
        <f>W27*FRw.w2T</f>
        <v>1.9202963687749633E-14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9.2591562221650402E-5</v>
      </c>
      <c r="AG28" s="326">
        <f>KDEG.s1C*M.s1C*Molweight</f>
        <v>6.5293043008770929E-4</v>
      </c>
      <c r="AH28" s="325"/>
      <c r="AI28" s="325"/>
      <c r="AJ28" s="325">
        <f>k.aC.s1C*M.aC*Molweight</f>
        <v>1.4493421082120699E-2</v>
      </c>
      <c r="AK28" s="325">
        <f>k.s1C.aC*M.s1C*Molweight</f>
        <v>1.8973349227625456E-7</v>
      </c>
      <c r="AL28" s="325">
        <f>(k.s1C.w1C+k.s1C.w0C)*M.s1C*Molweight</f>
        <v>1.3747709356319063E-2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3">
      <c r="A29" s="29"/>
      <c r="B29" s="121" t="s">
        <v>492</v>
      </c>
      <c r="C29" s="318">
        <f>(1-FRw.w2R)*C27</f>
        <v>26.601485063844422</v>
      </c>
      <c r="D29" s="122">
        <f>C29/$C$51</f>
        <v>7.0367881448298808E-7</v>
      </c>
      <c r="E29" s="318">
        <f>(1-FRw.w2C)*E27</f>
        <v>1634.0322179363632</v>
      </c>
      <c r="F29" s="122">
        <f>E29/$E$51</f>
        <v>4.5804186405836063E-5</v>
      </c>
      <c r="G29" s="318">
        <f>(1-FRw.w2M)*G27</f>
        <v>1603.0311156461585</v>
      </c>
      <c r="H29" s="122">
        <f>G29/$G$51</f>
        <v>1.6933361409506126E-6</v>
      </c>
      <c r="I29" s="318">
        <f>(1-FRw.w2A)*I27</f>
        <v>1259.0489025695599</v>
      </c>
      <c r="J29" s="122">
        <f>I29/$I$51</f>
        <v>2.0075757450157917E-6</v>
      </c>
      <c r="K29" s="318">
        <f>(1-FRw.w2T)*K27</f>
        <v>1756.047872681658</v>
      </c>
      <c r="L29" s="123">
        <f>K29/$K$51</f>
        <v>1.5390274591541752E-6</v>
      </c>
      <c r="M29" s="320">
        <f>M28*Kp.susp2R</f>
        <v>3.9910185217104593E-4</v>
      </c>
      <c r="N29" s="320">
        <f>N28*Kp.susp2C</f>
        <v>3.3009243990883201E-7</v>
      </c>
      <c r="O29" s="320">
        <f>O28*Kp.susp2M</f>
        <v>6.2008240880099756E-8</v>
      </c>
      <c r="P29" s="320">
        <f>P28*Kp.susp2A</f>
        <v>7.4076470127689799E-8</v>
      </c>
      <c r="Q29" s="320">
        <f>Q28*Kp.susp2T</f>
        <v>2.9519295425077376E-8</v>
      </c>
      <c r="R29" s="120" t="s">
        <v>1494</v>
      </c>
      <c r="S29" s="325">
        <f>S27*(1-FRw.w2R)</f>
        <v>2.067169440292393E-15</v>
      </c>
      <c r="T29" s="325">
        <f>T27*(1-FRw.w2C)</f>
        <v>1.7097314896916291E-18</v>
      </c>
      <c r="U29" s="325">
        <f>U27*(1-FRw.w2M)</f>
        <v>3.2117500807462056E-19</v>
      </c>
      <c r="V29" s="325">
        <f>V27*(1-FRw.w2A)</f>
        <v>1.0805833291924368E-20</v>
      </c>
      <c r="W29" s="326">
        <f>W27*(1-FRw.w2T)</f>
        <v>9.8378032083006031E-19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1.9522667710293509E-4</v>
      </c>
      <c r="AG29" s="326">
        <f>KDEG.s2C*M.s2C*Molweight</f>
        <v>3.0253212698251025E-3</v>
      </c>
      <c r="AH29" s="325"/>
      <c r="AI29" s="325"/>
      <c r="AJ29" s="325">
        <f>k.aC.s2C*M.aC*Molweight</f>
        <v>3.2207602404712661E-2</v>
      </c>
      <c r="AK29" s="325">
        <f>k.s2C.aC*M.s2C*Molweight</f>
        <v>4.0004767544107147E-7</v>
      </c>
      <c r="AL29" s="325">
        <f>(k.s2C.w1C+k.s2C.w0C)*M.s2C*Molweight</f>
        <v>2.8986654410109176E-2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3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3.4293171193203831E-5</v>
      </c>
      <c r="AG30" s="326">
        <f>KDEG.s3C*M.s3C*Molweight</f>
        <v>2.4182608521766997E-4</v>
      </c>
      <c r="AH30" s="325"/>
      <c r="AI30" s="325"/>
      <c r="AJ30" s="325">
        <f>k.aC.s3C*M.aC*Molweight</f>
        <v>5.3679337341187754E-3</v>
      </c>
      <c r="AK30" s="325">
        <f>k.s3C.aC*M.s3C*Molweight</f>
        <v>7.0271663806020172E-8</v>
      </c>
      <c r="AL30" s="325">
        <f>(k.s3C.w1C+k.s3C.w0C)*M.s3C*Molweight</f>
        <v>5.0917442060440937E-3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0.25864099547831237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3">
      <c r="A31" s="29"/>
      <c r="B31" s="66" t="s">
        <v>810</v>
      </c>
      <c r="C31" s="318"/>
      <c r="D31" s="122"/>
      <c r="E31" s="318"/>
      <c r="F31" s="122"/>
      <c r="G31" s="318">
        <f>M.w3M*Molweight</f>
        <v>915230530.58863819</v>
      </c>
      <c r="H31" s="122">
        <f>G31/$G$51</f>
        <v>0.96678905332567244</v>
      </c>
      <c r="I31" s="318">
        <f>M.w3A*Molweight</f>
        <v>602542483.99457085</v>
      </c>
      <c r="J31" s="122">
        <f>I31/$I$51</f>
        <v>0.96076464841065656</v>
      </c>
      <c r="K31" s="318">
        <f>M.w3T*Molweight</f>
        <v>1106699132.661783</v>
      </c>
      <c r="L31" s="123">
        <f>K31/$K$51</f>
        <v>0.96992820109600875</v>
      </c>
      <c r="M31" s="320"/>
      <c r="N31" s="320"/>
      <c r="O31" s="320">
        <f>C.w3M*Molweight</f>
        <v>7.8657265115612813E-9</v>
      </c>
      <c r="P31" s="320">
        <f>C.w3A*Molweight</f>
        <v>7.8763723397983113E-9</v>
      </c>
      <c r="Q31" s="320">
        <f>C.w3T*Molweight</f>
        <v>4.1333300939749139E-9</v>
      </c>
      <c r="R31" s="120" t="s">
        <v>1489</v>
      </c>
      <c r="S31" s="325"/>
      <c r="T31" s="325"/>
      <c r="U31" s="325">
        <f>F.w3M</f>
        <v>6.1123615585269659E-15</v>
      </c>
      <c r="V31" s="325">
        <f>F.w3A</f>
        <v>1.7237809746863321E-16</v>
      </c>
      <c r="W31" s="326">
        <f>F.w3T</f>
        <v>2.0666650469874565E-14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2.1043114520556063E-3</v>
      </c>
      <c r="AY31" s="75"/>
      <c r="AZ31" s="75"/>
      <c r="BA31" s="87"/>
      <c r="BB31" s="2"/>
      <c r="BC31" s="86"/>
      <c r="BD31" s="277">
        <f>IF(ISERROR(output!D39),0,output!D39)</f>
        <v>1.473348175988968E-2</v>
      </c>
      <c r="BE31" s="75"/>
      <c r="BF31" s="277">
        <f>IF(ISERROR(output!D43),0,output!D43)</f>
        <v>0.36290206609588088</v>
      </c>
      <c r="BG31" s="75"/>
      <c r="BH31" s="273">
        <f>IF(ISERROR(output!D47),0,output!D47)</f>
        <v>5.456845096255436E-3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3">
      <c r="A32" s="29"/>
      <c r="B32" s="121" t="s">
        <v>715</v>
      </c>
      <c r="C32" s="318"/>
      <c r="D32" s="122"/>
      <c r="E32" s="318"/>
      <c r="F32" s="122"/>
      <c r="G32" s="318">
        <f>FRw.w3M*G31</f>
        <v>915183645.13519108</v>
      </c>
      <c r="H32" s="122">
        <f>G32/$G$51</f>
        <v>0.96673952663088036</v>
      </c>
      <c r="I32" s="318">
        <f>FRw.w3A*I31</f>
        <v>602511616.93251479</v>
      </c>
      <c r="J32" s="122">
        <f>I32/$I$51</f>
        <v>0.96071543033423623</v>
      </c>
      <c r="K32" s="318">
        <f>FRw.w3T*K31</f>
        <v>1106642438.6498044</v>
      </c>
      <c r="L32" s="123">
        <f>K32/$K$51</f>
        <v>0.96987851358887289</v>
      </c>
      <c r="M32" s="320"/>
      <c r="N32" s="320"/>
      <c r="O32" s="320">
        <f>O31*FRw.w3M</f>
        <v>7.8653235659187792E-9</v>
      </c>
      <c r="P32" s="320">
        <f>P31*FRw.w3A</f>
        <v>7.8759688487910421E-9</v>
      </c>
      <c r="Q32" s="320">
        <f>Q31*FRw.w3T</f>
        <v>4.1331183516332567E-9</v>
      </c>
      <c r="R32" s="120" t="s">
        <v>1489</v>
      </c>
      <c r="S32" s="325"/>
      <c r="T32" s="325"/>
      <c r="U32" s="325">
        <f>U31*FRw.w3M</f>
        <v>6.1120484343099225E-15</v>
      </c>
      <c r="V32" s="325">
        <f>V31*FRw.w3A</f>
        <v>1.7236926687896857E-16</v>
      </c>
      <c r="W32" s="326">
        <f>W31*FRw.w3T</f>
        <v>2.066559175816628E-14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2.0769037878647912E-2</v>
      </c>
      <c r="AE32" s="325">
        <f>(k.aM.aA+k.aM.aC+k.aM.aT)*M.aM*Molweight</f>
        <v>2.218725574363613E-3</v>
      </c>
      <c r="AF32" s="325">
        <f>kesc.aM*M.aM*Molweight</f>
        <v>6.9791944602600915E-7</v>
      </c>
      <c r="AG32" s="326">
        <f>KDEG.aM*M.aM*Molweight</f>
        <v>2.9442984212255615E-3</v>
      </c>
      <c r="AH32" s="325">
        <f>AH33</f>
        <v>8.4620174148718665E-3</v>
      </c>
      <c r="AI32" s="325">
        <f>AI33</f>
        <v>8.8635745512234415E-8</v>
      </c>
      <c r="AJ32" s="325">
        <f>AJ36</f>
        <v>7.1434806998498116E-3</v>
      </c>
      <c r="AK32" s="325">
        <f>AK36</f>
        <v>9.3515363454285958E-8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0.10083134313567427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3">
      <c r="A33" s="29"/>
      <c r="B33" s="121" t="s">
        <v>492</v>
      </c>
      <c r="C33" s="318"/>
      <c r="D33" s="122"/>
      <c r="E33" s="318"/>
      <c r="F33" s="122"/>
      <c r="G33" s="318">
        <f>(1-FRw.w3M)*G31</f>
        <v>46885.453447161723</v>
      </c>
      <c r="H33" s="122">
        <f>G33/$G$51</f>
        <v>4.9526694792155876E-5</v>
      </c>
      <c r="I33" s="318">
        <f>(1-FRw.w3A)*I31</f>
        <v>30867.062056042978</v>
      </c>
      <c r="J33" s="122">
        <f>I33/$I$51</f>
        <v>4.9218076420336302E-5</v>
      </c>
      <c r="K33" s="318">
        <f>(1-FRw.w3T)*K31</f>
        <v>56694.011978660739</v>
      </c>
      <c r="L33" s="123">
        <f>K33/$K$51</f>
        <v>4.9687507135855995E-5</v>
      </c>
      <c r="M33" s="320"/>
      <c r="N33" s="320"/>
      <c r="O33" s="320">
        <f>O32*Kp.susp3M</f>
        <v>6.0453900171746916E-8</v>
      </c>
      <c r="P33" s="320">
        <f>P32*Kp.susp3A</f>
        <v>6.0535721200807729E-8</v>
      </c>
      <c r="Q33" s="320">
        <f>Q32*Kp.susp3T</f>
        <v>3.1767685351221092E-8</v>
      </c>
      <c r="R33" s="120" t="s">
        <v>1494</v>
      </c>
      <c r="S33" s="325"/>
      <c r="T33" s="325"/>
      <c r="U33" s="325">
        <f>U31*(1-FRw.w3M)</f>
        <v>3.1312421704313126E-19</v>
      </c>
      <c r="V33" s="325">
        <f>V31*(1-FRw.w3A)</f>
        <v>8.8305896646366089E-21</v>
      </c>
      <c r="W33" s="326">
        <f>W31*(1-FRw.w3T)</f>
        <v>1.0587117082849811E-18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9.1868108953121226</v>
      </c>
      <c r="AE33" s="325">
        <f>(k.w2M.w2C+k.w2M.w2A+k.w2M.w2T+k.w2M.w3M)*M.w2M*Molweight</f>
        <v>9.1953135841524745</v>
      </c>
      <c r="AF33" s="330"/>
      <c r="AG33" s="326">
        <f>KDEG.w2M*M.w2M*Molweight</f>
        <v>6.7351761306212558E-3</v>
      </c>
      <c r="AH33" s="325">
        <f>k.aM.w2M*M.aM*Molweight</f>
        <v>8.4620174148718665E-3</v>
      </c>
      <c r="AI33" s="325">
        <f>k.w2M.aM*M.w2M*Molweight</f>
        <v>8.8635745512234415E-8</v>
      </c>
      <c r="AJ33" s="325"/>
      <c r="AK33" s="325"/>
      <c r="AL33" s="325">
        <f>AL36</f>
        <v>6.775936191846306E-3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1.1176681818110792E-4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3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8.9766825233086109</v>
      </c>
      <c r="AE34" s="325">
        <f>(k.w3M.w2M+k.w3M.w3A+k.w3M.w3T)*M.w3M*Molweight</f>
        <v>8.7796851994605145</v>
      </c>
      <c r="AF34" s="330"/>
      <c r="AG34" s="326">
        <f>KDEG.w3M*M.w3M*Molweight</f>
        <v>0.1969904288497798</v>
      </c>
      <c r="AH34" s="325"/>
      <c r="AI34" s="325"/>
      <c r="AJ34" s="325"/>
      <c r="AK34" s="325"/>
      <c r="AL34" s="325"/>
      <c r="AM34" s="325">
        <f>k.w3M.sdM*M.w3M*Molweight</f>
        <v>8.8429067104357946E-3</v>
      </c>
      <c r="AN34" s="326">
        <f>k.sdM.w3M*M.sdM*Molweight</f>
        <v>8.8360117121198817E-3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0.10171006999875758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3">
      <c r="A35" s="29"/>
      <c r="B35" s="66" t="s">
        <v>449</v>
      </c>
      <c r="C35" s="318">
        <f>M.sd2R*Molweight</f>
        <v>4340.2381260772981</v>
      </c>
      <c r="D35" s="122">
        <f>C35/$C$51</f>
        <v>1.1481064353369444E-4</v>
      </c>
      <c r="E35" s="318">
        <f>M.sd2C*Molweight</f>
        <v>13330.250011427574</v>
      </c>
      <c r="F35" s="122">
        <f>E35/$E$51</f>
        <v>3.7366537186820991E-4</v>
      </c>
      <c r="G35" s="318">
        <f>M.sdM*Molweight</f>
        <v>25499.081739409321</v>
      </c>
      <c r="H35" s="122">
        <f>G35/$G$51</f>
        <v>2.6935544949163999E-5</v>
      </c>
      <c r="I35" s="318">
        <f>M.sdA*Molweight</f>
        <v>16797.467181193097</v>
      </c>
      <c r="J35" s="122">
        <f>I35/$I$51</f>
        <v>2.6783858531498905E-5</v>
      </c>
      <c r="K35" s="318">
        <f>M.sdT*Molweight</f>
        <v>30798.827208722363</v>
      </c>
      <c r="L35" s="123">
        <f>K35/$K$51</f>
        <v>2.6992567526979562E-5</v>
      </c>
      <c r="M35" s="320">
        <f>C.sd2R*(Molweight*1000)/(FRACw.sdR*1000+FRACs.sdR*RHOsolid)</f>
        <v>1.1128815707890497E-4</v>
      </c>
      <c r="N35" s="320">
        <f>C.sd2C*(Molweight*1000)/(FRACw.sdC*1000+FRACs.sdC*RHOsolid)</f>
        <v>9.2045123577600301E-8</v>
      </c>
      <c r="O35" s="320">
        <f>C.sdM*(Molweight*1000)/(FRACw.sdM*1000+FRACs.sdM*RHOsolid)</f>
        <v>1.6857358846489203E-8</v>
      </c>
      <c r="P35" s="320">
        <f>C.sdA*(Molweight*1000)/(FRACw.sdA*1000+FRACs.sdA*RHOsolid)</f>
        <v>1.6890364184206228E-8</v>
      </c>
      <c r="Q35" s="320">
        <f>C.sdT*(Molweight*1000)/(FRACw.sdT*1000+FRACs.sdT*RHOsolid)</f>
        <v>8.8483307358248536E-9</v>
      </c>
      <c r="R35" s="120" t="s">
        <v>1495</v>
      </c>
      <c r="S35" s="325">
        <f>F.sd2R</f>
        <v>4.1309407676022866E-11</v>
      </c>
      <c r="T35" s="325">
        <f>F.sd2C</f>
        <v>3.4166524401703292E-14</v>
      </c>
      <c r="U35" s="325">
        <f>F.sdM</f>
        <v>6.2573370537252944E-15</v>
      </c>
      <c r="V35" s="325">
        <f>F.sdA</f>
        <v>1.7657315705128019E-16</v>
      </c>
      <c r="W35" s="326">
        <f>F.sdT</f>
        <v>2.1133001085862899E-14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7.6087584994445717E-8</v>
      </c>
      <c r="AG35" s="326">
        <f>KDEG.sdM*M.sdM*Molweight</f>
        <v>6.8189107309178845E-6</v>
      </c>
      <c r="AH35" s="325"/>
      <c r="AI35" s="325"/>
      <c r="AJ35" s="325"/>
      <c r="AK35" s="325"/>
      <c r="AL35" s="325"/>
      <c r="AM35" s="325">
        <f>k.w3M.sdM*M.w3M*Molweight</f>
        <v>8.8429067104357946E-3</v>
      </c>
      <c r="AN35" s="326">
        <f>k.sdM.w3M*M.sdM*Molweight</f>
        <v>8.8360117121198817E-3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7.429755783042127E-5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3">
      <c r="A36" s="29"/>
      <c r="B36" s="121" t="s">
        <v>717</v>
      </c>
      <c r="C36" s="318">
        <f>C35*FRACw.sdR</f>
        <v>3472.1905008618387</v>
      </c>
      <c r="D36" s="122">
        <f>C36/$C$51</f>
        <v>9.1848514826955554E-5</v>
      </c>
      <c r="E36" s="318">
        <f>E35*FRACw.sdC</f>
        <v>10664.20000914206</v>
      </c>
      <c r="F36" s="122">
        <f>E36/$E$51</f>
        <v>2.9893229749456795E-4</v>
      </c>
      <c r="G36" s="318">
        <f>G35*FRACw.sdM</f>
        <v>20399.265391527457</v>
      </c>
      <c r="H36" s="122">
        <f>G36/$G$51</f>
        <v>2.1548435959331197E-5</v>
      </c>
      <c r="I36" s="318">
        <f>I35*FRACw.sdA</f>
        <v>13437.973744954477</v>
      </c>
      <c r="J36" s="122">
        <f>I36/$I$51</f>
        <v>2.1427086825199123E-5</v>
      </c>
      <c r="K36" s="318">
        <f>K35*FRACw.sdT</f>
        <v>24639.061766977891</v>
      </c>
      <c r="L36" s="123">
        <f>K36/$K$51</f>
        <v>2.1594054021583651E-5</v>
      </c>
      <c r="M36" s="320">
        <f>M37/Kp.sd2R</f>
        <v>5.3159241321531291E-5</v>
      </c>
      <c r="N36" s="320">
        <f>N37/Kp.sd2C</f>
        <v>4.3967382200988195E-8</v>
      </c>
      <c r="O36" s="320">
        <f>O37/Kp.sdM</f>
        <v>8.0522890349312229E-9</v>
      </c>
      <c r="P36" s="320">
        <f>P37/Kp.sdA</f>
        <v>8.0680547620189144E-9</v>
      </c>
      <c r="Q36" s="320">
        <f>Q37/Kp.sdT</f>
        <v>4.2266002171725809E-9</v>
      </c>
      <c r="R36" s="120" t="s">
        <v>1489</v>
      </c>
      <c r="S36" s="325">
        <f>S35*FRACw.sdR</f>
        <v>3.3047526140818295E-11</v>
      </c>
      <c r="T36" s="325">
        <f>T35*FRACw.sdC</f>
        <v>2.7333219521362634E-14</v>
      </c>
      <c r="U36" s="325">
        <f>U35*FRACw.sdM</f>
        <v>5.0058696429802355E-15</v>
      </c>
      <c r="V36" s="325">
        <f>V35*FRACw.sdA</f>
        <v>1.4125852564102415E-16</v>
      </c>
      <c r="W36" s="326">
        <f>W35*FRACw.sdT</f>
        <v>1.6906400868690321E-14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4.5636294836920708E-5</v>
      </c>
      <c r="AG36" s="326">
        <f>KDEG.sM*M.sM*Molweight</f>
        <v>3.2181469780313013E-4</v>
      </c>
      <c r="AH36" s="325"/>
      <c r="AI36" s="325"/>
      <c r="AJ36" s="325">
        <f>k.aM.sM*M.aM*Molweight</f>
        <v>7.1434806998498116E-3</v>
      </c>
      <c r="AK36" s="325">
        <f>k.sM.aM*M.sM*Molweight</f>
        <v>9.3515363454285958E-8</v>
      </c>
      <c r="AL36" s="325">
        <f>k.sM.w2M*M.sM*Molweight</f>
        <v>6.775936191846306E-3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3">
      <c r="A37" s="29"/>
      <c r="B37" s="121" t="s">
        <v>718</v>
      </c>
      <c r="C37" s="318">
        <f>C35*FRACs.sdR</f>
        <v>868.04762521545945</v>
      </c>
      <c r="D37" s="122">
        <f>C37/$C$51</f>
        <v>2.2962128706738882E-5</v>
      </c>
      <c r="E37" s="318">
        <f>E35*FRACs.sdC</f>
        <v>2666.050002285514</v>
      </c>
      <c r="F37" s="122">
        <f>E37/$E$51</f>
        <v>7.4733074373641961E-5</v>
      </c>
      <c r="G37" s="318">
        <f>G35*FRACs.sdM</f>
        <v>5099.8163478818633</v>
      </c>
      <c r="H37" s="122">
        <f>G37/$G$51</f>
        <v>5.3871089898327985E-6</v>
      </c>
      <c r="I37" s="318">
        <f>I35*FRACs.sdA</f>
        <v>3359.4934362386184</v>
      </c>
      <c r="J37" s="122">
        <f>I37/$I$51</f>
        <v>5.3567717062997791E-6</v>
      </c>
      <c r="K37" s="318">
        <f>K35*FRACs.sdT</f>
        <v>6159.765441744471</v>
      </c>
      <c r="L37" s="123">
        <f>K37/$K$51</f>
        <v>5.3985135053959111E-6</v>
      </c>
      <c r="M37" s="320">
        <f>C.sd2R*FRACs.sdR/(FRACw.sdR/(Kp.sd2R*RHOsolid/1000)+FRACs.sdR)*(Molweight*1000)/(FRACs.sdR*RHOsolid)</f>
        <v>2.0429442229070289E-4</v>
      </c>
      <c r="N37" s="320">
        <f>C.sd2C*FRACs.sdC/(FRACw.sdC/(Kp.sd2C*RHOsolid/1000)+FRACs.sdC)*(Molweight*1000)/(FRACs.sdC*RHOsolid)</f>
        <v>1.6896950978017974E-7</v>
      </c>
      <c r="O37" s="320">
        <f>C.sdM*FRACs.sdM/(FRACw.sdM/(Kp.sdM*RHOsolid/1000)+FRACs.sdM)*(Molweight*1000)/(FRACs.sdM*RHOsolid)</f>
        <v>3.0945470544981979E-8</v>
      </c>
      <c r="P37" s="320">
        <f>C.sdA*FRACs.sdA/(FRACw.sdA/(Kp.sdA*RHOsolid/1000)+FRACs.sdA)*(Molweight*1000)/(FRACs.sdA*RHOsolid)</f>
        <v>3.1006059259705948E-8</v>
      </c>
      <c r="Q37" s="320">
        <f>C.sdT*FRACs.sdT/(FRACw.sdT/(Kp.sdT*RHOsolid/1000)+FRACs.sdT)*(Molweight*1000)/(FRACs.sdT*RHOsolid)</f>
        <v>1.6243099565668498E-8</v>
      </c>
      <c r="R37" s="120" t="s">
        <v>1494</v>
      </c>
      <c r="S37" s="325">
        <f>S35*(1-FRACw.sdR)</f>
        <v>8.2618815352045706E-12</v>
      </c>
      <c r="T37" s="325">
        <f>T35*(1-FRACw.sdC)</f>
        <v>6.8333048803406569E-15</v>
      </c>
      <c r="U37" s="325">
        <f>U35*(1-FRACw.sdM)</f>
        <v>1.2514674107450587E-15</v>
      </c>
      <c r="V37" s="325">
        <f>V35*(1-FRACw.sdA)</f>
        <v>3.5314631410256032E-17</v>
      </c>
      <c r="W37" s="326">
        <f>W35*(1-FRACw.sdT)</f>
        <v>4.2266002171725786E-15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1.3736207872427781E-2</v>
      </c>
      <c r="AW37" s="75"/>
      <c r="AX37" s="75"/>
      <c r="AY37" s="300">
        <f>IF(ISERROR(output!D23),0,output!D23)</f>
        <v>7.3494132577698601E-3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3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7.2268129349425632E-4</v>
      </c>
      <c r="AE38" s="325">
        <f>k.aA.aM*M.aA*Molweight</f>
        <v>5.5447039028383213E-5</v>
      </c>
      <c r="AF38" s="325">
        <f>kesc.aA*M.aA*Molweight</f>
        <v>2.9337653647473629E-8</v>
      </c>
      <c r="AG38" s="326">
        <f>KDEG.aA*M.aA*Molweight</f>
        <v>1.9694601090329215E-5</v>
      </c>
      <c r="AH38" s="325">
        <f>AH39</f>
        <v>3.9356971085026876E-4</v>
      </c>
      <c r="AI38" s="325">
        <f>AI39</f>
        <v>2.1246350244405665E-9</v>
      </c>
      <c r="AJ38" s="325">
        <f>AJ42</f>
        <v>2.5394301849251201E-4</v>
      </c>
      <c r="AK38" s="325">
        <f>AK42</f>
        <v>2.8898585968076E-10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3">
      <c r="A39" s="29"/>
      <c r="B39" s="66" t="s">
        <v>450</v>
      </c>
      <c r="C39" s="318">
        <f>M.s1R*Molweight</f>
        <v>556976.40302286635</v>
      </c>
      <c r="D39" s="122">
        <f>C39/$C$51</f>
        <v>1.473348175988968E-2</v>
      </c>
      <c r="E39" s="318">
        <f>M.s1C*Molweight</f>
        <v>244161.08472376302</v>
      </c>
      <c r="F39" s="122">
        <f>E39/$E$51</f>
        <v>6.8441733981611831E-3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1.0617808248992361E-4</v>
      </c>
      <c r="N39" s="320">
        <f>C.s1C*(Molweight*1000)/(FRACw.s1C*1000+(1-FRACa.s1C-FRACw.s1C)*RHOsolid)</f>
        <v>3.0520124908426643E-6</v>
      </c>
      <c r="O39" s="320"/>
      <c r="P39" s="320"/>
      <c r="Q39" s="320"/>
      <c r="R39" s="120" t="s">
        <v>1495</v>
      </c>
      <c r="S39" s="325">
        <f>F.s1R</f>
        <v>5.5975866338455457E-11</v>
      </c>
      <c r="T39" s="325">
        <f>F.s1C</f>
        <v>1.6089859530748097E-12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6.6182390788519969</v>
      </c>
      <c r="AE39" s="325">
        <f>(k.w2A.w2M+k.w2A.w3A)*M.w2A*Molweight</f>
        <v>6.6177265608249014</v>
      </c>
      <c r="AF39" s="330"/>
      <c r="AG39" s="326">
        <f>KDEG.w2A*M.w2A*Molweight</f>
        <v>1.1512870335645456E-3</v>
      </c>
      <c r="AH39" s="325">
        <f>k.aA.w2A*M.aA*Molweight</f>
        <v>3.9356971085026876E-4</v>
      </c>
      <c r="AI39" s="325">
        <f>k.w2A.aA*M.w2A*Molweight</f>
        <v>2.1246350244405665E-9</v>
      </c>
      <c r="AJ39" s="325"/>
      <c r="AK39" s="325"/>
      <c r="AL39" s="325">
        <f>AL42</f>
        <v>2.4520142025529911E-4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3">
      <c r="A40" s="29"/>
      <c r="B40" s="121" t="s">
        <v>435</v>
      </c>
      <c r="C40" s="318">
        <f>C39*FRw.s1R</f>
        <v>44454.284305094334</v>
      </c>
      <c r="D40" s="122">
        <f>C40/$C$51</f>
        <v>1.1759320204650899E-3</v>
      </c>
      <c r="E40" s="318">
        <f>E39*FRw.s1C</f>
        <v>19487.371848506806</v>
      </c>
      <c r="F40" s="122">
        <f>E40/$E$51</f>
        <v>5.4625802533815767E-4</v>
      </c>
      <c r="G40" s="318"/>
      <c r="H40" s="122"/>
      <c r="I40" s="318"/>
      <c r="J40" s="122"/>
      <c r="K40" s="318"/>
      <c r="L40" s="123"/>
      <c r="M40" s="320">
        <f>M41/Kp.s1R</f>
        <v>7.2032855329341253E-5</v>
      </c>
      <c r="N40" s="320">
        <f>N41/Kp.s1C</f>
        <v>2.0705325342174609E-6</v>
      </c>
      <c r="O40" s="320"/>
      <c r="P40" s="320"/>
      <c r="Q40" s="320"/>
      <c r="R40" s="120" t="s">
        <v>1489</v>
      </c>
      <c r="S40" s="325">
        <f>S39*FRACw.s1R</f>
        <v>1.1195173267691092E-11</v>
      </c>
      <c r="T40" s="325">
        <f>T39*FRACw.s1C</f>
        <v>3.2179719061496195E-13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6.6177265608249014</v>
      </c>
      <c r="AE40" s="325">
        <f>(k.w3A.w2A+k.w3A.w3M)*M.w3A*Molweight</f>
        <v>6.58950039438177</v>
      </c>
      <c r="AF40" s="330"/>
      <c r="AG40" s="326">
        <f>KDEG.w3A*M.w3A*Molweight</f>
        <v>2.8225153317578244E-2</v>
      </c>
      <c r="AH40" s="325"/>
      <c r="AI40" s="325"/>
      <c r="AJ40" s="325"/>
      <c r="AK40" s="325"/>
      <c r="AL40" s="325"/>
      <c r="AM40" s="325">
        <f>k.w3A.sdA*M.w3A*Molweight</f>
        <v>5.8217321177117523E-3</v>
      </c>
      <c r="AN40" s="326">
        <f>k.sdA.w3A*M.sdA*Molweight</f>
        <v>5.8207189921579252E-3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1.494831795638616E-3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3">
      <c r="A41" s="29"/>
      <c r="B41" s="121" t="s">
        <v>718</v>
      </c>
      <c r="C41" s="318">
        <f>C39*FRs.s1R</f>
        <v>512522.11871452094</v>
      </c>
      <c r="D41" s="122">
        <f>C41/$C$51</f>
        <v>1.3557549739338591E-2</v>
      </c>
      <c r="E41" s="318">
        <f>E39*FRs.s1C</f>
        <v>224673.71287383104</v>
      </c>
      <c r="F41" s="122">
        <f>E41/$E$51</f>
        <v>6.2979153727830764E-3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1.1073077944396551E-4</v>
      </c>
      <c r="N41" s="320">
        <f>C.s1C*FRs.s1C*(Molweight*1000)/(FRACs.s1C*RHOsolid)</f>
        <v>3.1828764850391687E-6</v>
      </c>
      <c r="O41" s="320"/>
      <c r="P41" s="320"/>
      <c r="Q41" s="320"/>
      <c r="R41" s="120" t="s">
        <v>1494</v>
      </c>
      <c r="S41" s="325">
        <f>S39*(1-FRACw.s1R)</f>
        <v>4.478069307076437E-11</v>
      </c>
      <c r="T41" s="325">
        <f>T39*(1-FRACw.s1C)</f>
        <v>1.2871887624598478E-12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3.5509612677982655E-8</v>
      </c>
      <c r="AG41" s="326">
        <f>KDEG.sdA*M.sdA*Molweight</f>
        <v>9.7761594114962994E-7</v>
      </c>
      <c r="AH41" s="325"/>
      <c r="AI41" s="325"/>
      <c r="AJ41" s="325"/>
      <c r="AK41" s="325"/>
      <c r="AL41" s="325"/>
      <c r="AM41" s="325">
        <f>k.w3A.sdA*M.w3A*Molweight</f>
        <v>5.8217321177117523E-3</v>
      </c>
      <c r="AN41" s="326">
        <f>k.sdA.w3A*M.sdA*Molweight</f>
        <v>5.8207189921579252E-3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3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1.6501693455806421E-6</v>
      </c>
      <c r="AG42" s="326">
        <f>KDEG.sA*M.sA*Molweight</f>
        <v>7.0911399057725914E-6</v>
      </c>
      <c r="AH42" s="325"/>
      <c r="AI42" s="325"/>
      <c r="AJ42" s="325">
        <f>k.aA.sA*M.aA*Molweight</f>
        <v>2.5394301849251201E-4</v>
      </c>
      <c r="AK42" s="325">
        <f>k.sA.aA*M.sA*Molweight</f>
        <v>2.8898585968076E-10</v>
      </c>
      <c r="AL42" s="325">
        <f>k.sA.w2A*M.sA*Molweight</f>
        <v>2.4520142025529911E-4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1.505164822883041E-3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3">
      <c r="A43" s="29"/>
      <c r="B43" s="66" t="s">
        <v>451</v>
      </c>
      <c r="C43" s="318">
        <f>M.s2R*Molweight</f>
        <v>13718949.174248932</v>
      </c>
      <c r="D43" s="122">
        <f>C43/$C$51</f>
        <v>0.36290206609588088</v>
      </c>
      <c r="E43" s="318">
        <f>M.s2C*Molweight</f>
        <v>1131308.465404412</v>
      </c>
      <c r="F43" s="122">
        <f>E43/$E$51</f>
        <v>3.1712143287680322E-2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2.9421949885882406E-4</v>
      </c>
      <c r="N43" s="320">
        <f>C.s2C*(Molweight*1000)/(FRACw.s2C*1000+(1-FRACa.s2C-FRACw.s2C)*RHOsolid)</f>
        <v>1.5909019726592636E-6</v>
      </c>
      <c r="O43" s="320"/>
      <c r="P43" s="320"/>
      <c r="Q43" s="320"/>
      <c r="R43" s="120" t="s">
        <v>1495</v>
      </c>
      <c r="S43" s="325">
        <f>F.s2R</f>
        <v>1.5510914264110797E-10</v>
      </c>
      <c r="T43" s="325">
        <f>F.s2C</f>
        <v>8.3870525904073629E-13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1.1481064353369444E-4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3">
      <c r="A44" s="29"/>
      <c r="B44" s="121" t="s">
        <v>435</v>
      </c>
      <c r="C44" s="318">
        <f>C43*FRw.s2R</f>
        <v>1094958.5362131824</v>
      </c>
      <c r="D44" s="122">
        <f>C44/$C$51</f>
        <v>2.8964515432927801E-2</v>
      </c>
      <c r="E44" s="318">
        <f>E43*FRw.s2C</f>
        <v>90293.78602917766</v>
      </c>
      <c r="F44" s="122">
        <f>E44/$E$51</f>
        <v>2.5310598904789761E-3</v>
      </c>
      <c r="G44" s="318"/>
      <c r="H44" s="122"/>
      <c r="I44" s="318"/>
      <c r="J44" s="122"/>
      <c r="K44" s="318"/>
      <c r="L44" s="123"/>
      <c r="M44" s="320">
        <f>M45/Kp.s2R</f>
        <v>1.9960306401634479E-4</v>
      </c>
      <c r="N44" s="320">
        <f>N45/Kp.s2C</f>
        <v>1.0792925333776275E-6</v>
      </c>
      <c r="O44" s="320"/>
      <c r="P44" s="320"/>
      <c r="Q44" s="320"/>
      <c r="R44" s="120" t="s">
        <v>1489</v>
      </c>
      <c r="S44" s="325">
        <f>S43*FRACw.s2R</f>
        <v>3.1021828528221592E-11</v>
      </c>
      <c r="T44" s="325">
        <f>T43*FRACw.s2C</f>
        <v>1.6774105180814727E-13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1.2517207180116475E-3</v>
      </c>
      <c r="AE44" s="325">
        <f>k.aT.aM*M.aT*Molweight</f>
        <v>4.582609696401351E-5</v>
      </c>
      <c r="AF44" s="325">
        <f>kesc.aT*M.aT*Molweight</f>
        <v>4.1997217280577462E-8</v>
      </c>
      <c r="AG44" s="326">
        <f>KDEG.aT*M.aT*Molweight</f>
        <v>2.2179886839558268E-4</v>
      </c>
      <c r="AH44" s="325">
        <f>AH45</f>
        <v>7.2680106406163535E-4</v>
      </c>
      <c r="AI44" s="325">
        <f>AI45</f>
        <v>5.9749128073414995E-7</v>
      </c>
      <c r="AJ44" s="325">
        <f>AJ48</f>
        <v>2.5786120582078778E-4</v>
      </c>
      <c r="AK44" s="325">
        <f>AK48</f>
        <v>1.1023166917037372E-8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1.1606573379819675E-6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3">
      <c r="A45" s="29"/>
      <c r="B45" s="121" t="s">
        <v>718</v>
      </c>
      <c r="C45" s="318">
        <f>C43*FRs.s2R</f>
        <v>12623990.637955671</v>
      </c>
      <c r="D45" s="122">
        <f>C45/$C$51</f>
        <v>0.3339375506608348</v>
      </c>
      <c r="E45" s="318">
        <f>E43*FRs.s2C</f>
        <v>1041014.6793686309</v>
      </c>
      <c r="F45" s="122">
        <f>E45/$E$51</f>
        <v>2.9181083397016243E-2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3.0683502350254164E-4</v>
      </c>
      <c r="N45" s="320">
        <f>C.s2C*FRs.s2C*(Molweight*1000)/(FRACs.s2C*RHOsolid)</f>
        <v>1.6591165645529576E-6</v>
      </c>
      <c r="O45" s="320"/>
      <c r="P45" s="320"/>
      <c r="Q45" s="320"/>
      <c r="R45" s="120" t="s">
        <v>1494</v>
      </c>
      <c r="S45" s="325">
        <f>S43*(1-FRACw.s2R)</f>
        <v>1.2408731411288637E-10</v>
      </c>
      <c r="T45" s="325">
        <f>T43*(1-FRACw.s2C)</f>
        <v>6.7096420723258909E-13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8.3830405681210891</v>
      </c>
      <c r="AE45" s="325">
        <f>(k.w2T.w2M+k.w2T.w3T)*M.w2T*Molweight</f>
        <v>8.3658408528202912</v>
      </c>
      <c r="AF45" s="330"/>
      <c r="AG45" s="326">
        <f>KDEG.w2T*M.w2T*Molweight</f>
        <v>1.8166963796795541E-2</v>
      </c>
      <c r="AH45" s="325">
        <f>k.aT.w2T*M.aT*Molweight</f>
        <v>7.2680106406163535E-4</v>
      </c>
      <c r="AI45" s="325">
        <f>k.w2T.aT*M.w2T*Molweight</f>
        <v>5.9749128073414995E-7</v>
      </c>
      <c r="AJ45" s="325"/>
      <c r="AK45" s="325"/>
      <c r="AL45" s="325">
        <f>AL48</f>
        <v>2.4104492321808287E-4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3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8.9695814055123702</v>
      </c>
      <c r="AE46" s="325">
        <f>(k.w3T.w2T+k.w3T.w3M)*M.w3T*Molweight</f>
        <v>8.3830405681210891</v>
      </c>
      <c r="AF46" s="330"/>
      <c r="AG46" s="326">
        <f>KDEG.w3T*M.w3T*Molweight</f>
        <v>0.58652049248439631</v>
      </c>
      <c r="AH46" s="325"/>
      <c r="AI46" s="325"/>
      <c r="AJ46" s="325"/>
      <c r="AK46" s="325"/>
      <c r="AL46" s="325"/>
      <c r="AM46" s="325">
        <f>k.w3T.sdT*M.w3T*Molweight</f>
        <v>1.0692865742092461E-2</v>
      </c>
      <c r="AN46" s="326">
        <f>k.sdT.w3T*M.sdT*Molweight</f>
        <v>1.0672520835207679E-2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3">
      <c r="A47" s="29"/>
      <c r="B47" s="66" t="s">
        <v>452</v>
      </c>
      <c r="C47" s="318">
        <f>M.s3R*Molweight</f>
        <v>206287.55667513565</v>
      </c>
      <c r="D47" s="122">
        <f>C47/$C$51</f>
        <v>5.456845096255436E-3</v>
      </c>
      <c r="E47" s="318">
        <f>M.s3C*Molweight</f>
        <v>90430.031379171429</v>
      </c>
      <c r="F47" s="122">
        <f>E47/$E$51</f>
        <v>2.5348790363559923E-3</v>
      </c>
      <c r="G47" s="318">
        <f>M.sM*Molweight</f>
        <v>120341.49746261202</v>
      </c>
      <c r="H47" s="122">
        <f>G47/$G$51</f>
        <v>1.2712080565411681E-4</v>
      </c>
      <c r="I47" s="318">
        <f>M.sA*Molweight</f>
        <v>12184.047418906894</v>
      </c>
      <c r="J47" s="122">
        <f>I47/$I$51</f>
        <v>1.942767911905499E-5</v>
      </c>
      <c r="K47" s="318">
        <f>M.sT*Molweight</f>
        <v>2305.6047435068244</v>
      </c>
      <c r="L47" s="123">
        <f>K47/$K$51</f>
        <v>2.020667582823003E-6</v>
      </c>
      <c r="M47" s="320">
        <f>C.s3R*(Molweight*1000)/(FRACw.s3R*1000+(1-FRACa.s3R-FRACw.s3R)*RHOsolid)</f>
        <v>1.0617808248992361E-4</v>
      </c>
      <c r="N47" s="320">
        <f>C.s3C*(Molweight*1000)/(FRACw.s3C*1000+(1-FRACa.s3C-FRACw.s3C)*RHOsolid)</f>
        <v>3.0520124908426635E-6</v>
      </c>
      <c r="O47" s="320">
        <f>C.sM*(Molweight*1000)/(FRACw.sM*1000+(1-FRACa.sM-FRACw.sM)*RHOsolid)</f>
        <v>3.6502791967056651E-8</v>
      </c>
      <c r="P47" s="320">
        <f>C.sA*(Molweight*1000)/(FRACw.sA*1000+(1-FRACa.sA-FRACw.sA)*RHOsolid)</f>
        <v>8.431866725887123E-9</v>
      </c>
      <c r="Q47" s="320">
        <f>C.sT*(Molweight*1000)/(FRACw.sT*1000+(1-FRACa.sT-FRACw.sT)*RHOsolid)</f>
        <v>7.0914409642655076E-10</v>
      </c>
      <c r="R47" s="120" t="s">
        <v>1495</v>
      </c>
      <c r="S47" s="325">
        <f>F.s3R</f>
        <v>5.5975866338455457E-11</v>
      </c>
      <c r="T47" s="325">
        <f>F.s3C</f>
        <v>1.6089859530748091E-12</v>
      </c>
      <c r="U47" s="325">
        <f>F.sM</f>
        <v>1.9243852932852853E-14</v>
      </c>
      <c r="V47" s="325">
        <f>F.sA</f>
        <v>1.2519164051014347E-16</v>
      </c>
      <c r="W47" s="326">
        <f>F.sT</f>
        <v>2.4054716805071896E-15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6.5108293608833314E-8</v>
      </c>
      <c r="AG47" s="326">
        <f>KDEG.sdT*M.sdT*Molweight</f>
        <v>2.0279798591172374E-5</v>
      </c>
      <c r="AH47" s="325"/>
      <c r="AI47" s="325"/>
      <c r="AJ47" s="325"/>
      <c r="AK47" s="325"/>
      <c r="AL47" s="325"/>
      <c r="AM47" s="325">
        <f>k.w3T.sdT*M.w3T*Molweight</f>
        <v>1.0692865742092461E-2</v>
      </c>
      <c r="AN47" s="326">
        <f>k.sdT.w3T*M.sdT*Molweight</f>
        <v>1.0672520835207679E-2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9.1723699064433543E-6</v>
      </c>
      <c r="AW47" s="75"/>
      <c r="AX47" s="290">
        <f>output!AF16</f>
        <v>8.0442930525289485E-4</v>
      </c>
      <c r="AY47" s="75"/>
      <c r="AZ47" s="75"/>
      <c r="BA47" s="75"/>
      <c r="BB47" s="75"/>
      <c r="BC47" s="2"/>
      <c r="BD47" s="295">
        <f>output!AF18</f>
        <v>2.1121840663031581E-4</v>
      </c>
      <c r="BE47" s="75"/>
      <c r="BF47" s="295">
        <f>output!AF20</f>
        <v>7.8229039492709544E-5</v>
      </c>
      <c r="BG47" s="75"/>
      <c r="BH47" s="299">
        <f>output!AF19</f>
        <v>2.3674399534129296E-3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3">
      <c r="A48" s="29"/>
      <c r="B48" s="121" t="s">
        <v>435</v>
      </c>
      <c r="C48" s="318">
        <f>C47*FRw.s3R</f>
        <v>16464.549742627529</v>
      </c>
      <c r="D48" s="122">
        <f>C48/$C$51</f>
        <v>4.3553037795003325E-4</v>
      </c>
      <c r="E48" s="318">
        <f>E47*FRw.s3C</f>
        <v>7217.5451290765905</v>
      </c>
      <c r="F48" s="122">
        <f>E48/$E$51</f>
        <v>2.0231778716228052E-4</v>
      </c>
      <c r="G48" s="318">
        <f>G47*FRw.sM</f>
        <v>9604.8865138082256</v>
      </c>
      <c r="H48" s="122">
        <f>G48/$G$51</f>
        <v>1.014596741436594E-5</v>
      </c>
      <c r="I48" s="318">
        <f>I47*FRw.sA</f>
        <v>972.45252224386695</v>
      </c>
      <c r="J48" s="122">
        <f>I48/$I$51</f>
        <v>1.5505927473125754E-6</v>
      </c>
      <c r="K48" s="318">
        <f>K47*FRw.sT</f>
        <v>184.01858355880015</v>
      </c>
      <c r="L48" s="123">
        <f>K48/$K$51</f>
        <v>1.612767268463823E-7</v>
      </c>
      <c r="M48" s="320">
        <f>M49/Kp.s3R</f>
        <v>7.2032855329341253E-5</v>
      </c>
      <c r="N48" s="320">
        <f>N49/Kp.s3C</f>
        <v>2.07053253421746E-6</v>
      </c>
      <c r="O48" s="320">
        <f>O49/Kp.sM</f>
        <v>2.4764059316380711E-8</v>
      </c>
      <c r="P48" s="320">
        <f>P49/Kp.sA</f>
        <v>5.720308954375688E-9</v>
      </c>
      <c r="Q48" s="320">
        <f>Q49/Kp.sT</f>
        <v>4.8109433610143795E-10</v>
      </c>
      <c r="R48" s="120" t="s">
        <v>1489</v>
      </c>
      <c r="S48" s="325">
        <f>S47*FRACw.s3R</f>
        <v>1.1195173267691092E-11</v>
      </c>
      <c r="T48" s="325">
        <f>T47*FRACw.s3C</f>
        <v>3.2179719061496185E-13</v>
      </c>
      <c r="U48" s="325">
        <f>U47*FRACw.sM</f>
        <v>3.8487705865705711E-15</v>
      </c>
      <c r="V48" s="325">
        <f>V47*FRACw.sA</f>
        <v>2.5038328102028695E-17</v>
      </c>
      <c r="W48" s="326">
        <f>W47*FRACw.sT</f>
        <v>4.8109433610143797E-16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1.6237723251590322E-6</v>
      </c>
      <c r="AG48" s="326">
        <f>KDEG.sT*M.sT*Molweight</f>
        <v>1.518148711062874E-5</v>
      </c>
      <c r="AH48" s="325"/>
      <c r="AI48" s="325"/>
      <c r="AJ48" s="325">
        <f>k.aT.sT*M.aT*Molweight</f>
        <v>2.5786120582078778E-4</v>
      </c>
      <c r="AK48" s="325">
        <f>k.sT.aT*M.sT*Molweight</f>
        <v>1.1023166917037372E-8</v>
      </c>
      <c r="AL48" s="333">
        <f>k.sT.w2T*M.sT*Molweight</f>
        <v>2.4104492321808287E-4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35">
      <c r="A49" s="29"/>
      <c r="B49" s="121" t="s">
        <v>718</v>
      </c>
      <c r="C49" s="318">
        <f>C47*FRs.s3R</f>
        <v>189823.00693130403</v>
      </c>
      <c r="D49" s="122">
        <f>C49/$C$51</f>
        <v>5.0213147182735516E-3</v>
      </c>
      <c r="E49" s="318">
        <f>E47*FRs.s3C</f>
        <v>83212.486249566995</v>
      </c>
      <c r="F49" s="122">
        <f>E49/$E$51</f>
        <v>2.3325612491789153E-3</v>
      </c>
      <c r="G49" s="318">
        <f>G47*FRs.sM</f>
        <v>110736.61094810137</v>
      </c>
      <c r="H49" s="122">
        <f>G49/$G$51</f>
        <v>1.1697483823900888E-4</v>
      </c>
      <c r="I49" s="318">
        <f>I47*FRs.sA</f>
        <v>11211.594896660856</v>
      </c>
      <c r="J49" s="122">
        <f>I49/$I$51</f>
        <v>1.7877086371738953E-5</v>
      </c>
      <c r="K49" s="318">
        <f>K47*FRs.sT</f>
        <v>2121.5861598652091</v>
      </c>
      <c r="L49" s="123">
        <f>K49/$K$51</f>
        <v>1.8593908559040401E-6</v>
      </c>
      <c r="M49" s="320">
        <f>C.s3R*FRs.s3R*(Molweight*1000)/(FRACs.s3R*RHOsolid)</f>
        <v>1.1073077944396551E-4</v>
      </c>
      <c r="N49" s="320">
        <f>C.s3C*FRs.s3C*(Molweight*1000)/(FRACs.s3C*RHOsolid)</f>
        <v>3.1828764850391674E-6</v>
      </c>
      <c r="O49" s="320">
        <f>C.sM*FRs.sM*(Molweight*1000)/(FRACs.sM*RHOsolid)</f>
        <v>3.8067956320238639E-8</v>
      </c>
      <c r="P49" s="320">
        <f>C.sA*FRs.sA*(Molweight*1000)/(FRACs.sA*RHOsolid)</f>
        <v>8.7934077620869449E-9</v>
      </c>
      <c r="Q49" s="320">
        <f>C.sT*FRs.sT*(Molweight*1000)/(FRACs.sT*RHOsolid)</f>
        <v>7.3955073110769776E-10</v>
      </c>
      <c r="R49" s="120" t="s">
        <v>1494</v>
      </c>
      <c r="S49" s="325">
        <f>S47*(1-FRACw.s3R)</f>
        <v>4.478069307076437E-11</v>
      </c>
      <c r="T49" s="325">
        <f>T47*(1-FRACw.s3C)</f>
        <v>1.2871887624598474E-12</v>
      </c>
      <c r="U49" s="325">
        <f>U47*(1-FRACw.sM)</f>
        <v>1.5395082346282284E-14</v>
      </c>
      <c r="V49" s="325">
        <f>V47*(1-FRACw.sA)</f>
        <v>1.0015331240811478E-16</v>
      </c>
      <c r="W49" s="326">
        <f>W47*(1-FRACw.sT)</f>
        <v>1.9243773444057519E-15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3.9220327109772265E-3</v>
      </c>
      <c r="AG49" s="336">
        <f>SUM(AG11:AG48)</f>
        <v>0.9473717268019588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3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35">
      <c r="A51" s="29"/>
      <c r="B51" s="129" t="s">
        <v>23</v>
      </c>
      <c r="C51" s="317">
        <f>SUM(C11,C15,C19,C23,C27,C31,C35,C39,C43,C47)</f>
        <v>37803447.41995573</v>
      </c>
      <c r="D51" s="130">
        <f>C51/SUM($C$51,$E$51,$G$51,$I$51,$K$51)</f>
        <v>1.3557843039998334E-2</v>
      </c>
      <c r="E51" s="317">
        <f>SUM(E11,E15,E19,E23,E27,E31,E35,E39,E43,E47)</f>
        <v>35674298.490064777</v>
      </c>
      <c r="F51" s="130">
        <f>E51/SUM($C$51,$E$51,$G$51,$I$51,$K$51)</f>
        <v>1.2794244242260016E-2</v>
      </c>
      <c r="G51" s="317">
        <f>SUM(G11,G15,G19,G23,G27,G31,G35,G39,G43,G47)</f>
        <v>946670349.06976104</v>
      </c>
      <c r="H51" s="130">
        <f>G51/SUM($C$51,$E$51,$G$51,$I$51,$K$51)</f>
        <v>0.33951422103723272</v>
      </c>
      <c r="I51" s="317">
        <f>SUM(I11,I15,I19,I23,I27,I31,I35,I39,I43,I47)</f>
        <v>627148891.24128973</v>
      </c>
      <c r="J51" s="130">
        <f>I51/SUM($C$51,$E$51,$G$51,$I$51,$K$51)</f>
        <v>0.22492092151547882</v>
      </c>
      <c r="K51" s="317">
        <f>SUM(K11,K15,K19,K23,K27,K31,K35,K39,K43,K47)</f>
        <v>1141011397.9686584</v>
      </c>
      <c r="L51" s="130">
        <f>K51/SUM($C$51,$E$51,$G$51,$I$51,$K$51)</f>
        <v>0.40921277016503016</v>
      </c>
      <c r="M51" s="199"/>
      <c r="N51" s="199"/>
      <c r="O51" s="199"/>
      <c r="P51" s="199"/>
      <c r="Q51" s="199"/>
      <c r="R51" s="199"/>
      <c r="S51" s="328">
        <f>SUM(S11,S15,S19,S23,S27,S35,S39,S43,S47)</f>
        <v>8.360195176248078E-7</v>
      </c>
      <c r="T51" s="328">
        <f>SUM(T11,T15,T19,T23,T27,T35,T39,T43,T47)</f>
        <v>2.2085029214669127E-8</v>
      </c>
      <c r="U51" s="328">
        <f>SUM(U11,U15,U19,U23,U27,U35,U39,U43,U47)</f>
        <v>2.6099980521749369E-10</v>
      </c>
      <c r="V51" s="328">
        <f>SUM(V11,V15,V19,V23,V27,V35,V39,V43,V47)</f>
        <v>1.8477439954710895E-11</v>
      </c>
      <c r="W51" s="328">
        <f>SUM(W11,W15,W19,W23,W27,W35,W39,W43,W47)</f>
        <v>1.0032711588273178E-11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7.8553752958960189E-8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3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2.2267541706950185E-4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3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5.1850815667950747E-4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3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5.1927601205490501E-5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3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1.1333591252214552E-3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3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1.1128815707890497E-4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3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1.0617808248992361E-4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3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2.9421949885882406E-4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3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1.0617808248992361E-4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3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3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3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3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3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3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3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3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1-aminoanthraquinone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3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3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3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3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3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2.3115156586453207E-2</v>
      </c>
      <c r="AY72" s="75"/>
      <c r="AZ72" s="256">
        <f>output!AF22</f>
        <v>5.4792398635009051E-6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3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0.17012326899961042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3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2.5160781846284782E-2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3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4.1927335855585933E-4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3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3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3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3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3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3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3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3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3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1.8973349227625456E-7</v>
      </c>
      <c r="BE84" s="2"/>
      <c r="BF84" s="304">
        <f>IF(output!AK30&lt;0,"",output!AK30)</f>
        <v>7.0271663806020172E-8</v>
      </c>
      <c r="BG84" s="75"/>
      <c r="BH84" s="311">
        <f>IF(output!AK29&lt;0,"",output!AK29)</f>
        <v>4.0004767544107147E-7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3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4.5174938407049914E-8</v>
      </c>
      <c r="AV85" s="87"/>
      <c r="AW85" s="75"/>
      <c r="AX85" s="304">
        <f>output!AL24</f>
        <v>4.3840598974766304E-2</v>
      </c>
      <c r="AY85" s="87"/>
      <c r="AZ85" s="201"/>
      <c r="BA85" s="311">
        <f>IF(output!AI23&lt;0,"",output!AI23)</f>
        <v>4.4939939504851846E-9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3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1.4493421082120699E-2</v>
      </c>
      <c r="BE86" s="87"/>
      <c r="BF86" s="304">
        <f>IF(output!AJ30&lt;0,"",output!AJ30)</f>
        <v>5.3679337341187754E-3</v>
      </c>
      <c r="BG86" s="75"/>
      <c r="BH86" s="311">
        <f>IF(output!AJ29&lt;0,"",output!AJ29)</f>
        <v>3.2207602404712661E-2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3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6.7862556298296711E-2</v>
      </c>
      <c r="AV87" s="200"/>
      <c r="AW87" s="84"/>
      <c r="AX87" s="304">
        <f>IF(output!AH24&lt;0,"",output!AH24)</f>
        <v>1.7518521693776073E-3</v>
      </c>
      <c r="AY87" s="291">
        <f>output!AL24</f>
        <v>4.3840598974766304E-2</v>
      </c>
      <c r="AZ87" s="75"/>
      <c r="BA87" s="311">
        <f>IF(output!AH23&lt;0,"",output!AH23)</f>
        <v>1.5925928812523705E-4</v>
      </c>
      <c r="BB87" s="291">
        <f>output!AL23</f>
        <v>3.9855089977060285E-3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3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3.8032780784657697E-3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3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4.9189485945283454E-2</v>
      </c>
      <c r="AT89" s="83"/>
      <c r="AU89" s="302"/>
      <c r="AV89" s="75"/>
      <c r="AW89" s="81"/>
      <c r="AX89" s="265">
        <f>output!AD24</f>
        <v>3.8032780784657697E-3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3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1.0113957498432464</v>
      </c>
      <c r="AT90" s="81"/>
      <c r="AU90" s="278">
        <f>output!AD25</f>
        <v>0.95041441927758996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3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3.4148571337154558E-4</v>
      </c>
      <c r="BB91" s="309">
        <f>IF(ISERROR(output!F15),0,output!F15)</f>
        <v>4.4472080778318511E-2</v>
      </c>
      <c r="BC91" s="2"/>
      <c r="BD91" s="295">
        <f>output!AG28</f>
        <v>6.5293043008770929E-4</v>
      </c>
      <c r="BE91" s="2"/>
      <c r="BF91" s="312">
        <f>output!AG30</f>
        <v>2.4182608521766997E-4</v>
      </c>
      <c r="BG91" s="75"/>
      <c r="BH91" s="295">
        <f>output!AG29</f>
        <v>3.0253212698251025E-3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3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3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3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1.8980847221775347E-2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3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1.4573111390542583E-4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3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6.9833388341187944E-3</v>
      </c>
      <c r="AZ96" s="75"/>
      <c r="BA96" s="75"/>
      <c r="BB96" s="43"/>
      <c r="BC96" s="2"/>
      <c r="BD96" s="277">
        <f>IF(ISERROR(output!F39),0,output!F39)</f>
        <v>6.8441733981611831E-3</v>
      </c>
      <c r="BE96" s="43"/>
      <c r="BF96" s="277">
        <f>IF(ISERROR(output!F47),0,output!F47)</f>
        <v>2.5348790363559923E-3</v>
      </c>
      <c r="BG96" s="43"/>
      <c r="BH96" s="277">
        <f>IF(ISERROR(output!F43),0,output!F43)</f>
        <v>3.1712143287680322E-2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3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6.8654280528266274E-3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3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7.0437870695606959E-3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3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5.1453723033742114E-6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3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3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0.89412358727932928</v>
      </c>
      <c r="AW101" s="56"/>
      <c r="AX101" s="307"/>
      <c r="AY101" s="276">
        <f>IF(ISERROR(output!F23),0,output!F23)</f>
        <v>5.3935026795517093E-4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3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3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3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4.6070867990068241E-3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3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3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4.6228393038819414E-3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3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3.7366537186820991E-4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3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3.5647473810108803E-6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3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3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3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1.218775749410664E-5</v>
      </c>
      <c r="AW111" s="75"/>
      <c r="AX111" s="290">
        <f>output!AF26</f>
        <v>5.5302863138527116E-5</v>
      </c>
      <c r="AY111" s="75"/>
      <c r="AZ111" s="75"/>
      <c r="BA111" s="75"/>
      <c r="BB111" s="76"/>
      <c r="BC111" s="2"/>
      <c r="BD111" s="295">
        <f>output!AF28</f>
        <v>9.2591562221650402E-5</v>
      </c>
      <c r="BE111" s="76"/>
      <c r="BF111" s="295">
        <f>output!AF30</f>
        <v>3.4293171193203831E-5</v>
      </c>
      <c r="BG111" s="43"/>
      <c r="BH111" s="294">
        <f>output!AF29</f>
        <v>1.9522667710293509E-4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3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3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3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3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3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2.0776168270380497E-9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3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1.8205199138916378E-6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3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2.3545593267165394E-6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3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4.2948707171589286E-8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3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5.1466139238749272E-6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3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9.2045123577600301E-8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3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3.0520124908426643E-6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3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1.5909019726592636E-6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3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3.0520124908426635E-6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3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3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3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3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3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3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3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3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1-aminoanthraquinone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3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3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3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3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2.218725574363613E-3</v>
      </c>
      <c r="AT136" s="81">
        <f>output!AD32</f>
        <v>2.0769037878647912E-2</v>
      </c>
      <c r="AU136" s="268">
        <f>output!AF32</f>
        <v>6.9791944602600915E-7</v>
      </c>
      <c r="AV136" s="221"/>
      <c r="AW136" s="221"/>
      <c r="AX136" s="221"/>
      <c r="AY136" s="279">
        <f>output!AE38</f>
        <v>5.5447039028383213E-5</v>
      </c>
      <c r="AZ136" s="266">
        <f>output!AD38</f>
        <v>7.2268129349425632E-4</v>
      </c>
      <c r="BA136" s="268">
        <f>output!AF38</f>
        <v>2.9337653647473629E-8</v>
      </c>
      <c r="BB136" s="75"/>
      <c r="BC136" s="75"/>
      <c r="BD136" s="75"/>
      <c r="BE136" s="279">
        <f>output!AE44</f>
        <v>4.582609696401351E-5</v>
      </c>
      <c r="BF136" s="266">
        <f>output!AD44</f>
        <v>1.2517207180116475E-3</v>
      </c>
      <c r="BG136" s="268">
        <f>output!AF44</f>
        <v>4.1997217280577462E-8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3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3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3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3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3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2.9442984212255615E-3</v>
      </c>
      <c r="AV141" s="223" t="s">
        <v>446</v>
      </c>
      <c r="AW141" s="221"/>
      <c r="AX141" s="221"/>
      <c r="AY141" s="2"/>
      <c r="AZ141" s="202"/>
      <c r="BA141" s="269">
        <f>output!AG38</f>
        <v>1.9694601090329215E-5</v>
      </c>
      <c r="BB141" s="47" t="s">
        <v>446</v>
      </c>
      <c r="BC141" s="75"/>
      <c r="BD141" s="75"/>
      <c r="BE141" s="2"/>
      <c r="BF141" s="202"/>
      <c r="BG141" s="269">
        <f>output!AG44</f>
        <v>2.2179886839558268E-4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3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2.0125140489943128E-6</v>
      </c>
      <c r="AW142" s="221"/>
      <c r="AX142" s="221"/>
      <c r="AY142" s="203"/>
      <c r="AZ142" s="202"/>
      <c r="BA142" s="75"/>
      <c r="BB142" s="277">
        <f>IF(ISERROR(output!J11),0,output!J11)</f>
        <v>1.2769888774299295E-7</v>
      </c>
      <c r="BC142" s="75"/>
      <c r="BD142" s="75"/>
      <c r="BE142" s="203"/>
      <c r="BF142" s="75"/>
      <c r="BG142" s="75"/>
      <c r="BH142" s="277">
        <f>IF(ISERROR(output!L11),0,output!L11)</f>
        <v>1.0047613682833604E-7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3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3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9.3515363454285958E-8</v>
      </c>
      <c r="AY144" s="2"/>
      <c r="AZ144" s="75"/>
      <c r="BA144" s="75"/>
      <c r="BB144" s="75"/>
      <c r="BC144" s="75"/>
      <c r="BD144" s="270">
        <f>k.sA.aA*M.sA*Molweight</f>
        <v>2.8898585968076E-10</v>
      </c>
      <c r="BE144" s="2"/>
      <c r="BF144" s="75"/>
      <c r="BG144" s="75"/>
      <c r="BH144" s="75"/>
      <c r="BI144" s="75"/>
      <c r="BJ144" s="270">
        <f>k.sT.aT*M.sT*Molweight</f>
        <v>1.1023166917037372E-8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8.8635745512234415E-8</v>
      </c>
      <c r="AV145" s="221"/>
      <c r="AW145" s="221"/>
      <c r="AX145" s="221"/>
      <c r="AY145" s="2"/>
      <c r="AZ145" s="75"/>
      <c r="BA145" s="270">
        <f>k.w2A.aA*M.w2A*Molweight</f>
        <v>2.1246350244405665E-9</v>
      </c>
      <c r="BB145" s="75"/>
      <c r="BC145" s="75"/>
      <c r="BD145" s="221"/>
      <c r="BE145" s="2"/>
      <c r="BF145" s="75"/>
      <c r="BG145" s="270">
        <f>k.w2T.aT*M.w2T*Molweight</f>
        <v>5.9749128073414995E-7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3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7.1434806998498116E-3</v>
      </c>
      <c r="AY146" s="2"/>
      <c r="AZ146" s="75"/>
      <c r="BA146" s="221"/>
      <c r="BB146" s="75"/>
      <c r="BC146" s="75"/>
      <c r="BD146" s="270">
        <f>IF(output!AJ42&lt;0,"",output!AJ42)</f>
        <v>2.5394301849251201E-4</v>
      </c>
      <c r="BE146" s="2"/>
      <c r="BF146" s="75"/>
      <c r="BG146" s="221"/>
      <c r="BH146" s="75"/>
      <c r="BI146" s="75"/>
      <c r="BJ146" s="270">
        <f>IF(output!AJ48&lt;0,"",output!AJ48)</f>
        <v>2.5786120582078778E-4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3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9.1953135841524745</v>
      </c>
      <c r="AT147" s="81">
        <f>output!AD33</f>
        <v>9.1868108953121226</v>
      </c>
      <c r="AU147" s="270">
        <f>IF(output!AH33&lt;0,"",output!AH33)</f>
        <v>8.4620174148718665E-3</v>
      </c>
      <c r="AV147" s="272">
        <f>output!AL33</f>
        <v>6.775936191846306E-3</v>
      </c>
      <c r="AW147" s="221"/>
      <c r="AX147" s="221"/>
      <c r="AY147" s="279">
        <f>output!AE39</f>
        <v>6.6177265608249014</v>
      </c>
      <c r="AZ147" s="266">
        <f>output!AD39</f>
        <v>6.6182390788519969</v>
      </c>
      <c r="BA147" s="270">
        <f>IF(output!AH39&lt;0,"",output!AH39)</f>
        <v>3.9356971085026876E-4</v>
      </c>
      <c r="BB147" s="272">
        <f>output!AL39</f>
        <v>2.4520142025529911E-4</v>
      </c>
      <c r="BC147" s="75"/>
      <c r="BD147" s="75"/>
      <c r="BE147" s="279">
        <f>output!AE45</f>
        <v>8.3658408528202912</v>
      </c>
      <c r="BF147" s="266">
        <f>output!AD45</f>
        <v>8.3830405681210891</v>
      </c>
      <c r="BG147" s="270">
        <f>IF(output!AH45&lt;0,"",output!AH45)</f>
        <v>7.2680106406163535E-4</v>
      </c>
      <c r="BH147" s="272">
        <f>output!AL45</f>
        <v>2.4104492321808287E-4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3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3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3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3.3054877809675212E-2</v>
      </c>
      <c r="AW150" s="221"/>
      <c r="AX150" s="221"/>
      <c r="AY150" s="2"/>
      <c r="AZ150" s="75"/>
      <c r="BA150" s="59"/>
      <c r="BB150" s="273">
        <f>IF(ISERROR(output!J27),0,output!J27)</f>
        <v>3.9189012352804982E-2</v>
      </c>
      <c r="BC150" s="78"/>
      <c r="BD150" s="75"/>
      <c r="BE150" s="2"/>
      <c r="BF150" s="75"/>
      <c r="BG150" s="59"/>
      <c r="BH150" s="273">
        <f>IF(ISERROR(output!L27),0,output!L27)</f>
        <v>3.0042685192744556E-2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3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3.2181469780313013E-4</v>
      </c>
      <c r="AY151" s="2"/>
      <c r="AZ151" s="75"/>
      <c r="BA151" s="59"/>
      <c r="BB151" s="49"/>
      <c r="BC151" s="75"/>
      <c r="BD151" s="274">
        <f>output!AJ42</f>
        <v>2.5394301849251201E-4</v>
      </c>
      <c r="BE151" s="2"/>
      <c r="BF151" s="75"/>
      <c r="BG151" s="59"/>
      <c r="BH151" s="59"/>
      <c r="BI151" s="75"/>
      <c r="BJ151" s="274">
        <f>output!AG48</f>
        <v>1.518148711062874E-5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3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6.7351761306212558E-3</v>
      </c>
      <c r="AW152" s="221"/>
      <c r="AX152" s="221"/>
      <c r="AY152" s="2"/>
      <c r="AZ152" s="75"/>
      <c r="BA152" s="59"/>
      <c r="BB152" s="257">
        <f>output!AG39</f>
        <v>1.1512870335645456E-3</v>
      </c>
      <c r="BC152" s="2"/>
      <c r="BD152" s="75"/>
      <c r="BE152" s="2"/>
      <c r="BF152" s="75"/>
      <c r="BG152" s="59"/>
      <c r="BH152" s="257">
        <f>output!AG45</f>
        <v>1.8166963796795541E-2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3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7.5998262227263238</v>
      </c>
      <c r="AU153" s="224"/>
      <c r="AV153" s="225"/>
      <c r="AW153" s="221"/>
      <c r="AX153" s="221"/>
      <c r="AY153" s="2"/>
      <c r="AZ153" s="275">
        <f>k.w3A.w2A*M.w3A*Molweight</f>
        <v>5.4080445434120232</v>
      </c>
      <c r="BA153" s="59"/>
      <c r="BB153" s="49"/>
      <c r="BC153" s="2"/>
      <c r="BD153" s="75"/>
      <c r="BE153" s="2"/>
      <c r="BF153" s="275">
        <f>k.w3T.w2T*M.w3T*Molweight</f>
        <v>8.3830405681210891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3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3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7.7952266723388641</v>
      </c>
      <c r="AU155" s="221"/>
      <c r="AV155" s="223" t="s">
        <v>2166</v>
      </c>
      <c r="AW155" s="221"/>
      <c r="AX155" s="271">
        <f>IF(ISERROR(output!H47),0,output!H47)</f>
        <v>1.2712080565411681E-4</v>
      </c>
      <c r="AY155" s="2"/>
      <c r="AZ155" s="275">
        <f>k.w2A.w3A*M.w2A*Molweight</f>
        <v>6.6177265608249014</v>
      </c>
      <c r="BA155" s="75"/>
      <c r="BB155" s="223" t="s">
        <v>2166</v>
      </c>
      <c r="BC155" s="47"/>
      <c r="BD155" s="271">
        <f>IF(ISERROR(output!J47),0,output!J47)</f>
        <v>1.942767911905499E-5</v>
      </c>
      <c r="BE155" s="2"/>
      <c r="BF155" s="275">
        <f>k.w2T.w3T*M.w2T*Molweight</f>
        <v>7.7897224287781786</v>
      </c>
      <c r="BG155" s="75"/>
      <c r="BH155" s="223" t="s">
        <v>2166</v>
      </c>
      <c r="BI155" s="47"/>
      <c r="BJ155" s="271">
        <f>IF(ISERROR(output!L47),0,output!L47)</f>
        <v>2.020667582823003E-6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3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0.96678905332567244</v>
      </c>
      <c r="AW156" s="221"/>
      <c r="AX156" s="221"/>
      <c r="AY156" s="203"/>
      <c r="AZ156" s="2"/>
      <c r="BA156" s="75"/>
      <c r="BB156" s="273">
        <f>IF(ISERROR(output!J31),0,output!J31)</f>
        <v>0.96076464841065656</v>
      </c>
      <c r="BC156" s="75"/>
      <c r="BD156" s="75"/>
      <c r="BE156" s="203"/>
      <c r="BF156" s="2"/>
      <c r="BG156" s="75"/>
      <c r="BH156" s="273">
        <f>IF(ISERROR(output!L31),0,output!L31)</f>
        <v>0.96992820109600875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3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8.7796851994605145</v>
      </c>
      <c r="AT157" s="266">
        <f>output!AD34</f>
        <v>8.9766825233086109</v>
      </c>
      <c r="AU157" s="221"/>
      <c r="AV157" s="225"/>
      <c r="AW157" s="226"/>
      <c r="AX157" s="221"/>
      <c r="AY157" s="279">
        <f>output!AE40</f>
        <v>6.58950039438177</v>
      </c>
      <c r="AZ157" s="266">
        <f>output!AD40</f>
        <v>6.6177265608249014</v>
      </c>
      <c r="BA157" s="75"/>
      <c r="BB157" s="2"/>
      <c r="BC157" s="76"/>
      <c r="BD157" s="75"/>
      <c r="BE157" s="279">
        <f>output!AE46</f>
        <v>8.3830405681210891</v>
      </c>
      <c r="BF157" s="266">
        <f>output!AD46</f>
        <v>8.9695814055123702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3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0.1969904288497798</v>
      </c>
      <c r="AW158" s="226"/>
      <c r="AX158" s="221"/>
      <c r="AY158" s="2"/>
      <c r="AZ158" s="75"/>
      <c r="BA158" s="75"/>
      <c r="BB158" s="274">
        <f>output!AG40</f>
        <v>2.8225153317578244E-2</v>
      </c>
      <c r="BC158" s="2"/>
      <c r="BD158" s="75"/>
      <c r="BE158" s="2"/>
      <c r="BF158" s="75"/>
      <c r="BG158" s="75"/>
      <c r="BH158" s="274">
        <f>output!AG46</f>
        <v>0.58652049248439631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3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8.8360117121198817E-3</v>
      </c>
      <c r="AU159" s="221"/>
      <c r="AV159" s="221"/>
      <c r="AW159" s="226"/>
      <c r="AX159" s="221"/>
      <c r="AY159" s="2"/>
      <c r="AZ159" s="272">
        <f>k.sdA.w3A*M.sdA*Molweight</f>
        <v>5.8207189921579252E-3</v>
      </c>
      <c r="BA159" s="2"/>
      <c r="BB159" s="75"/>
      <c r="BC159" s="2"/>
      <c r="BD159" s="75"/>
      <c r="BE159" s="2"/>
      <c r="BF159" s="275">
        <f>k.sdT.w3T*M.sdT*Molweight</f>
        <v>1.0672520835207679E-2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3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3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8.8429067104357946E-3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5.8217321177117523E-3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1.0692865742092461E-2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3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2.6935544949163999E-5</v>
      </c>
      <c r="AW162" s="221"/>
      <c r="AX162" s="221"/>
      <c r="AY162" s="2"/>
      <c r="AZ162" s="75"/>
      <c r="BA162" s="47"/>
      <c r="BB162" s="276">
        <f>IF(ISERROR(output!J35),0,output!J35)</f>
        <v>2.6783858531498905E-5</v>
      </c>
      <c r="BC162" s="75"/>
      <c r="BD162" s="75"/>
      <c r="BE162" s="2"/>
      <c r="BF162" s="75"/>
      <c r="BG162" s="47"/>
      <c r="BH162" s="276">
        <f>IF(ISERROR(output!L35),0,output!L35)</f>
        <v>2.6992567526979562E-5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3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3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6.8189107309178845E-6</v>
      </c>
      <c r="AV164" s="269">
        <f>output!AF35</f>
        <v>7.6087584994445717E-8</v>
      </c>
      <c r="AW164" s="221"/>
      <c r="AX164" s="274">
        <f>output!AF36</f>
        <v>4.5636294836920708E-5</v>
      </c>
      <c r="AY164" s="2"/>
      <c r="AZ164" s="2"/>
      <c r="BA164" s="269">
        <f>output!AG41</f>
        <v>9.7761594114962994E-7</v>
      </c>
      <c r="BB164" s="269">
        <f>output!AF41</f>
        <v>3.5509612677982655E-8</v>
      </c>
      <c r="BC164" s="75"/>
      <c r="BD164" s="274">
        <f>output!AF42</f>
        <v>1.6501693455806421E-6</v>
      </c>
      <c r="BE164" s="2"/>
      <c r="BF164" s="2"/>
      <c r="BG164" s="269">
        <f>output!AG47</f>
        <v>2.0279798591172374E-5</v>
      </c>
      <c r="BH164" s="269">
        <f>output!AF47</f>
        <v>6.5108293608833314E-8</v>
      </c>
      <c r="BI164" s="75"/>
      <c r="BJ164" s="274">
        <f>output!AF48</f>
        <v>1.6237723251590322E-6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3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3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3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3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3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3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1905.1873772692443</v>
      </c>
      <c r="BA172" s="128">
        <f>output!I11</f>
        <v>80.086215860763957</v>
      </c>
      <c r="BB172" s="128">
        <f>output!K11</f>
        <v>114.64441734498992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3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31292072.714543533</v>
      </c>
      <c r="BA173" s="128">
        <f>output!I27</f>
        <v>24577345.645902853</v>
      </c>
      <c r="BB173" s="128">
        <f>output!K27</f>
        <v>34279046.230505779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3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915230530.58863819</v>
      </c>
      <c r="BA174" s="128">
        <f>output!I31</f>
        <v>602542483.99457085</v>
      </c>
      <c r="BB174" s="128">
        <f>output!K31</f>
        <v>1106699132.661783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3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25499.081739409321</v>
      </c>
      <c r="BA175" s="128">
        <f>output!I35</f>
        <v>16797.467181193097</v>
      </c>
      <c r="BB175" s="128">
        <f>output!K35</f>
        <v>30798.827208722363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3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120341.49746261202</v>
      </c>
      <c r="BA176" s="128">
        <f>output!I47</f>
        <v>12184.047418906894</v>
      </c>
      <c r="BB176" s="128">
        <f>output!K47</f>
        <v>2305.6047435068244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3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3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3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3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3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3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3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3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3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3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3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3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3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3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3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3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3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3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3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3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3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3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3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3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3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3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3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3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3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3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3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3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3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3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3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3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3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3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3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3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3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3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3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3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3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3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3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3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3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3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3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3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3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3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3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3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3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3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3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3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3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3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3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3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3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3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3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3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3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3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3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3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3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3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3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3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3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3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3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3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3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3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3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3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3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3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3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3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3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3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3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3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3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3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3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3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3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3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3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3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3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3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3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3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3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3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3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3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3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3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3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3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3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3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3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3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3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3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3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3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3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3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3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3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3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3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3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3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3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3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3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3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3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3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3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3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3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3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3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3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3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3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3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3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3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3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3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3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3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3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3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3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3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3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3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3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3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3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3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3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3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3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3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3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3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3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3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3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3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3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3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3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3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3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3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3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3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3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3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3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3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3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3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3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3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3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3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3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3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3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3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3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3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3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3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3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3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3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3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3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3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3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3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3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3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3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3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3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3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3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3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3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3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3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3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3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3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3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3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3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3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3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3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3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3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3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3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3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3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3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3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3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3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3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3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3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3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3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3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3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3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3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3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3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3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3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3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3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3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3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3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3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3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3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3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3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3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3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3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3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3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3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3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3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3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3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3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3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3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3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3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3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3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3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3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3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3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3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3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3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3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3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3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3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3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3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3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3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3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3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3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3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3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3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3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3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3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3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3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3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3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3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3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3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3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3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3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3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3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3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3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3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3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3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3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3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3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3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3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3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3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3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3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3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3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3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3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3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3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3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3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3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3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3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3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3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3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3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3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3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3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3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3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3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3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3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3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3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3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3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3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3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3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3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3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3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3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3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3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3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3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3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3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3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3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3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3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3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3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3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3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3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3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3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3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3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3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3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3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3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3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3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3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3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3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3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3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3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3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3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3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3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3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3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3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3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3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3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3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3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3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3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3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3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3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3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3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3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3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3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3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3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3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3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3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3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3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3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3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3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3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3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3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3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3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3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3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3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3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3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3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3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3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3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3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3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3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3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3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3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3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3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3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3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3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3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3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3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3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3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3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3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3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3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3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3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3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3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3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3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3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3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3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3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3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3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3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3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3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3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3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3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3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3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3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3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3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3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3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3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3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3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3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3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3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3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3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3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3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3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3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3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3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3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3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3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3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3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3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3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3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3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3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3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3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3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3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3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3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3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3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3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3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3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3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3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3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3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3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3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3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3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3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3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3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3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3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3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3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3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3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3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3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3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3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3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3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3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3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3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3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3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3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3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3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3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3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3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3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3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3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3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3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3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3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3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3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3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3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3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3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3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3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3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3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3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3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3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3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3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3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3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3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3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3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3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3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3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3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3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3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3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3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3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3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3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3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3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3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3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3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3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3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3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3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3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3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3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3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3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3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3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3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3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3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3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3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3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3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3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3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3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3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3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3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3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3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3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3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3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3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3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3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3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3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3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3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3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3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3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3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3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3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3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3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3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3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3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3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3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3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3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3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3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3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3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3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3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3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3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3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3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3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3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3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3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3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3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3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3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3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3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3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3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3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3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3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3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3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3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3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3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3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3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3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3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3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3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3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3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3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3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3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3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3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3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3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3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3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3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3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3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3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3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3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3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3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3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3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3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3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3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3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3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3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3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3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3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3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3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3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3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3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3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3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3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3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3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3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3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3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3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3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3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3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3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3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3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3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3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3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3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3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3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3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3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3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3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3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3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3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3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3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3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3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3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3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3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3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3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3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3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3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3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3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3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3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3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3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3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3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3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3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3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3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3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3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3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3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3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3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3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3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3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3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3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3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3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3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3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3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3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3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3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3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3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3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3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3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3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3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3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3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3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3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3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3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3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3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3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3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3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3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3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3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3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3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3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3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3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3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3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3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3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3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3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3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3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3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3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3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3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3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3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3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3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3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3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3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3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3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3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3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3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3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3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3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3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3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3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3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3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3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3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3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3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3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3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3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3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3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3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3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3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3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3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3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3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3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3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3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3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3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3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3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3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3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3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3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3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09375" defaultRowHeight="12.75" customHeight="1" x14ac:dyDescent="0.3"/>
  <cols>
    <col min="1" max="1" width="3.109375" customWidth="1"/>
    <col min="2" max="2" width="64.5546875" customWidth="1"/>
    <col min="3" max="3" width="4.33203125" customWidth="1"/>
    <col min="4" max="4" width="3.109375" style="10" customWidth="1"/>
    <col min="5" max="5" width="10.33203125" style="10" customWidth="1"/>
    <col min="6" max="39" width="8.6640625" style="9" customWidth="1"/>
    <col min="40" max="16384" width="9.109375" style="7"/>
  </cols>
  <sheetData>
    <row r="1" spans="1:39" ht="12.75" customHeight="1" thickBot="1" x14ac:dyDescent="0.3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3">
      <c r="A2" s="174"/>
      <c r="B2" s="174"/>
      <c r="C2" s="174"/>
      <c r="E2" s="79" t="s">
        <v>2334</v>
      </c>
      <c r="I2" s="10"/>
      <c r="J2" s="10"/>
    </row>
    <row r="3" spans="1:39" ht="12.75" customHeight="1" x14ac:dyDescent="0.3">
      <c r="A3" s="174"/>
      <c r="B3" s="174"/>
      <c r="C3" s="174"/>
      <c r="E3" s="9"/>
      <c r="I3" s="10"/>
      <c r="J3" s="10"/>
    </row>
    <row r="4" spans="1:39" ht="12.75" customHeight="1" x14ac:dyDescent="0.3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3">
      <c r="A5" s="174"/>
      <c r="B5" s="174"/>
      <c r="C5" s="174"/>
      <c r="E5" s="491" t="s">
        <v>1360</v>
      </c>
      <c r="F5" s="492" t="str">
        <f>ChemName</f>
        <v>1-aminoanthraquinone</v>
      </c>
      <c r="I5" s="10"/>
      <c r="J5" s="10"/>
    </row>
    <row r="6" spans="1:39" ht="12.75" customHeight="1" x14ac:dyDescent="0.3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3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3">
      <c r="A8" s="174"/>
      <c r="B8" s="174"/>
      <c r="C8" s="174"/>
      <c r="E8" s="494" t="s">
        <v>2327</v>
      </c>
      <c r="G8" s="196">
        <f>(M.tot/Emis.tot)/(3600*24*365)</f>
        <v>92.943612806324296</v>
      </c>
      <c r="H8" s="218" t="s">
        <v>2326</v>
      </c>
      <c r="I8" s="10"/>
      <c r="J8" s="10"/>
    </row>
    <row r="9" spans="1:39" ht="12.75" customHeight="1" x14ac:dyDescent="0.3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3">
      <c r="A10" s="174"/>
      <c r="B10" s="174"/>
      <c r="C10" s="174"/>
      <c r="E10" s="495" t="s">
        <v>743</v>
      </c>
      <c r="F10" s="508">
        <v>0</v>
      </c>
      <c r="G10" s="508">
        <f>F11</f>
        <v>278.83083841897292</v>
      </c>
      <c r="H10" s="218" t="s">
        <v>2326</v>
      </c>
      <c r="I10" s="10"/>
      <c r="J10" s="22" t="s">
        <v>3925</v>
      </c>
    </row>
    <row r="11" spans="1:39" ht="12.75" customHeight="1" x14ac:dyDescent="0.3">
      <c r="A11" s="174"/>
      <c r="B11" s="174"/>
      <c r="C11" s="174"/>
      <c r="D11" s="14"/>
      <c r="E11" s="495" t="s">
        <v>1015</v>
      </c>
      <c r="F11" s="508">
        <f>Scale*(M.tot/Emis.tot)/(3600*24*365)</f>
        <v>278.83083841897292</v>
      </c>
      <c r="G11" s="508">
        <f>2*Scale*(M.tot/Emis.tot)/(3600*24*365)</f>
        <v>557.66167683794583</v>
      </c>
      <c r="H11" s="218" t="s">
        <v>2326</v>
      </c>
      <c r="I11" s="10"/>
      <c r="J11" s="616" t="s">
        <v>3926</v>
      </c>
    </row>
    <row r="12" spans="1:39" ht="12.75" customHeight="1" x14ac:dyDescent="0.3">
      <c r="A12" s="174"/>
      <c r="B12" s="174"/>
      <c r="C12" s="174"/>
      <c r="D12" s="15"/>
    </row>
    <row r="13" spans="1:39" ht="12.75" customHeight="1" x14ac:dyDescent="0.3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3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3">
      <c r="A15" s="174"/>
      <c r="B15" s="174"/>
      <c r="C15" s="174"/>
      <c r="E15" s="218" t="s">
        <v>2332</v>
      </c>
      <c r="G15" s="481">
        <f t="array" ref="G15:AM15">emis</f>
        <v>1.4219637660880982</v>
      </c>
      <c r="H15" s="482">
        <v>0</v>
      </c>
      <c r="I15" s="482">
        <v>1.4219637660880982</v>
      </c>
      <c r="J15" s="482">
        <v>0</v>
      </c>
      <c r="K15" s="482">
        <v>0</v>
      </c>
      <c r="L15" s="482">
        <v>0</v>
      </c>
      <c r="M15" s="482">
        <v>0</v>
      </c>
      <c r="N15" s="482">
        <v>1.4219637660880982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3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3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3">
      <c r="A18" s="174"/>
      <c r="B18" s="174"/>
      <c r="C18" s="174"/>
      <c r="D18" s="15"/>
    </row>
    <row r="19" spans="1:39" ht="12.75" customHeight="1" x14ac:dyDescent="0.3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3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3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3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3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3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3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3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3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3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3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3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3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3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3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3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3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3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3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3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3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3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3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3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3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3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3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3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3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3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3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3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3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3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3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3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3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3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3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3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3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3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3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3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3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3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3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3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3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3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3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3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3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3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3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3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3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3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3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3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3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3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3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3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3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3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3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3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3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3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3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3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3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3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3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3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3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3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3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3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3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3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3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3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3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3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3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3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3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3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3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3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3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3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3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3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3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3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3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3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3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09375" defaultRowHeight="12.75" customHeight="1" x14ac:dyDescent="0.3"/>
  <cols>
    <col min="1" max="1" width="5.88671875" style="23" customWidth="1"/>
    <col min="2" max="2" width="31.44140625" style="7" customWidth="1"/>
    <col min="3" max="3" width="11.33203125" style="22" bestFit="1" customWidth="1"/>
    <col min="4" max="4" width="10.33203125" style="18" customWidth="1"/>
    <col min="5" max="5" width="8.109375" style="540" customWidth="1"/>
    <col min="6" max="6" width="6.6640625" style="23" customWidth="1"/>
    <col min="7" max="7" width="7.88671875" style="23" bestFit="1" customWidth="1"/>
    <col min="8" max="11" width="8.109375" style="8" customWidth="1"/>
    <col min="12" max="16" width="8" style="8" customWidth="1"/>
    <col min="17" max="17" width="8.88671875" style="8" customWidth="1"/>
    <col min="18" max="18" width="12" style="8" customWidth="1"/>
    <col min="19" max="19" width="10" style="8" customWidth="1"/>
    <col min="20" max="20" width="9.5546875" style="8" customWidth="1"/>
    <col min="21" max="21" width="10.88671875" style="182" bestFit="1" customWidth="1"/>
    <col min="22" max="22" width="11.6640625" style="183" customWidth="1"/>
    <col min="23" max="23" width="11.6640625" style="179" customWidth="1"/>
    <col min="24" max="24" width="9.6640625" style="187" customWidth="1"/>
    <col min="25" max="25" width="12" style="188" customWidth="1"/>
    <col min="26" max="26" width="9.33203125" style="188" customWidth="1"/>
    <col min="27" max="27" width="5.109375" style="196" hidden="1" customWidth="1"/>
    <col min="28" max="28" width="3.6640625" style="7" customWidth="1"/>
    <col min="29" max="16384" width="9.109375" style="7"/>
  </cols>
  <sheetData>
    <row r="1" spans="1:28" ht="12.75" customHeight="1" x14ac:dyDescent="0.3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3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3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3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3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3">
      <c r="A6" s="544">
        <f>ChemRowNr</f>
        <v>67</v>
      </c>
      <c r="B6" s="439" t="str">
        <f t="shared" ref="B6:Z6" si="0">IF(ISBLANK(VLOOKUP($A6,$A$8:$Z$1041,COLUMN(),0)),"",VLOOKUP($A6,$A$8:$Z$1041,COLUMN(),0))</f>
        <v>1-aminoanthraquinone</v>
      </c>
      <c r="C6" s="439" t="str">
        <f t="shared" si="0"/>
        <v>82-45-1</v>
      </c>
      <c r="D6" s="439" t="str">
        <f t="shared" si="0"/>
        <v/>
      </c>
      <c r="E6" s="544" t="str">
        <f t="shared" si="0"/>
        <v/>
      </c>
      <c r="F6" s="544">
        <f t="shared" si="0"/>
        <v>223</v>
      </c>
      <c r="G6" s="544">
        <f t="shared" si="0"/>
        <v>260</v>
      </c>
      <c r="H6" s="545">
        <f t="shared" si="0"/>
        <v>9.9999999999999995E-8</v>
      </c>
      <c r="I6" s="545">
        <f t="shared" si="0"/>
        <v>20</v>
      </c>
      <c r="J6" s="545" t="str">
        <f t="shared" si="0"/>
        <v/>
      </c>
      <c r="K6" s="545">
        <f t="shared" si="0"/>
        <v>160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 t="str">
        <f t="shared" si="0"/>
        <v/>
      </c>
      <c r="R6" s="545">
        <f t="shared" si="0"/>
        <v>5.3000000000000003E-10</v>
      </c>
      <c r="S6" s="545" t="str">
        <f t="shared" si="0"/>
        <v/>
      </c>
      <c r="T6" s="545" t="str">
        <f t="shared" si="0"/>
        <v/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3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3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3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3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3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3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3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3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3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3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3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3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3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3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3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3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3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3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3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3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3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3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3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3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3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3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3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3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3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3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3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3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3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3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3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3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3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3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3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3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3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3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3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3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3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3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3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3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3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3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3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3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3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3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3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3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3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3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3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3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3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3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3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3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3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3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3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3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3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3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3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3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3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3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3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3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3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3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3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3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3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3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3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3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3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3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3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3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3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3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3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3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3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3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3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3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3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3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3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3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3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3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3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3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3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3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3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3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3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3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3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3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3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3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3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3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3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3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3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3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3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3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3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3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3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3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3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3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3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3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3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3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3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3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3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3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3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3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3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3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3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3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3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3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3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3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3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3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3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3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3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3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3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3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3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3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3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3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3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3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3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3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3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3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3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3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3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3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3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3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3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3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3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3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3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3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3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3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3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3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3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3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3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3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3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3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3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3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3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3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3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3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3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3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3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3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3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3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3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3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3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3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3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3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3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3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3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3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3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3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3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3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3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3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3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3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3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3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3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3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3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3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3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3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3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3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3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3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3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3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3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3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3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3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3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3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3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3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3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3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3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3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3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3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3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3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3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3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3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3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3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3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3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3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3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3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3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3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3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3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3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3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3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3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3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3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3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3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3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3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3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3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3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3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3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3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3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3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3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3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3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3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3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3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3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3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3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3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3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3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3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3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3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3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3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3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3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3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3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3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3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3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3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3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3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3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3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3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3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3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3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3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3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3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3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3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3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3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3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3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3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3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3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3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3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3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3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3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3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3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3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3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3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3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3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3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3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3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3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3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3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3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3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3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3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3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3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3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3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3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3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3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3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3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3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3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3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3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3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3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3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3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3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3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3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3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3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3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3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3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3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3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3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3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3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3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3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3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3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3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3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3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3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3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3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3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3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3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3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3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3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3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3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3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3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3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3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3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3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3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3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3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3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3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3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3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3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3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3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3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3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3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3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3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3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3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3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3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3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3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3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3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3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3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3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3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3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3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3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3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3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3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3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3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3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3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3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3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3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3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3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3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3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3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3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3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3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3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3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3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3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3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3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3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3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3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3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3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3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3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3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3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3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3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3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3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3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3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3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3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3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3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3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3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3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3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3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3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3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3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3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3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3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3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3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3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3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3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3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3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3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3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3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3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3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3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3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3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3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3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3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3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3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3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3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3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3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3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3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3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3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3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3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3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3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3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3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3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3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3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3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3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3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3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3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3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3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3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3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3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3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3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3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3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3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3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3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3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3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3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3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3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3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3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3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3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3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3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3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3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3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3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3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3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3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3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3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3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3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3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3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3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3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3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3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3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3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3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3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3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3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3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3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3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3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3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3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3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3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3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3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3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3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3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3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3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3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3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3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3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3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3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3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3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3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3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3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3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3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3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3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3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3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3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3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3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3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3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3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3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3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3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3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3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3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3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3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3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3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3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3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3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3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3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3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3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3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3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3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3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3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3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3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3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3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3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3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3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3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3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3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3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3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3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3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3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3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3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3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3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3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3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3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3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3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3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3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3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3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3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3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3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3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3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3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3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3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3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3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3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3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3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3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3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3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3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3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3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3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3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3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3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3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3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3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3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3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3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3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3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3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3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3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3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3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3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3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3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3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3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3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3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3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3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3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3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3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3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3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3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3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3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3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3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3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3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3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3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3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3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3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3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3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3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3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3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3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3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3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3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3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3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3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3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3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3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3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3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3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3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3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3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3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3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3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3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3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3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3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3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3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3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3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3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3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3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3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3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3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3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3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3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3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3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3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3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3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3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3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3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3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3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3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3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3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3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3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3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3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3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3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3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3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3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3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3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3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3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3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3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3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3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3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3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3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3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3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3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3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3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3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3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3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3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3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3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3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3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3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3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3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3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3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3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3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3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3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3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3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3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3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3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3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3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3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3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3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3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3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3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3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3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3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3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3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3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3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3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3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3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3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3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3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3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3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3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3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3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3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3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3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3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3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3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3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3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3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3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3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3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3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3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3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3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3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3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3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3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3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3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3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3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3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3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3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3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3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3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3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3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3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3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3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3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3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3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3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3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3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3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3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3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3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3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3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3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3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3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3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3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3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3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3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3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3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3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3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3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3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3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3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3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3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3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3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3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3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3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3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3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3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3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3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3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3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3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3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3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3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3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3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3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3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3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3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3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3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3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3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3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3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3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3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3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3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3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3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3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3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3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3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3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3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3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3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3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3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3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3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3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3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3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3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3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3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3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3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3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3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3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3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3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3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3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3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3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3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3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3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3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3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3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3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3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3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3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3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3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3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3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3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3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3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3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3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3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3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3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3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3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3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3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3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3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3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3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3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3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3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3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3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3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3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3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3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3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3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3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3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3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3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3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3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3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3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3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3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3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3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3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3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3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3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3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3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09375" defaultRowHeight="13.8" x14ac:dyDescent="0.3"/>
  <cols>
    <col min="1" max="5" width="1.6640625" customWidth="1"/>
    <col min="6" max="6" width="45.109375" customWidth="1"/>
    <col min="7" max="7" width="22.6640625" style="79" customWidth="1"/>
    <col min="8" max="8" width="10.6640625" style="79" customWidth="1"/>
    <col min="9" max="30" width="9.109375" style="179"/>
    <col min="31" max="32" width="9.109375" style="144"/>
    <col min="33" max="33" width="3" customWidth="1"/>
    <col min="34" max="16384" width="9.109375" style="19"/>
  </cols>
  <sheetData>
    <row r="1" spans="1:33" ht="12.75" customHeight="1" x14ac:dyDescent="0.3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3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" customHeight="1" x14ac:dyDescent="0.3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3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3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3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3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3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3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3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3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3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3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3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3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3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3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3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3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3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3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3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3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3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3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3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3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3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3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3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3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3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3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3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3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3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3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3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3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3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3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3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3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3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3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3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3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3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3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3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3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3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3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3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3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3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3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3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3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3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3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3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3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3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3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3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3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3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3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3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4.4" thickBot="1" x14ac:dyDescent="0.3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3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S3" sqref="S3"/>
    </sheetView>
  </sheetViews>
  <sheetFormatPr defaultColWidth="9.10937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528" customWidth="1"/>
    <col min="10" max="12" width="9.109375" style="430" customWidth="1"/>
    <col min="13" max="17" width="9.109375" style="179" customWidth="1"/>
    <col min="18" max="18" width="3.109375" customWidth="1"/>
    <col min="19" max="16384" width="9.109375" style="18"/>
  </cols>
  <sheetData>
    <row r="1" spans="1:19" ht="12.75" customHeight="1" x14ac:dyDescent="0.3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9" ht="12.75" customHeight="1" thickBot="1" x14ac:dyDescent="0.3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9" ht="26.4" customHeight="1" x14ac:dyDescent="0.3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  <c r="S3" s="18" t="s">
        <v>4058</v>
      </c>
    </row>
    <row r="4" spans="1:19" ht="12.75" customHeight="1" x14ac:dyDescent="0.3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9" ht="26.4" customHeight="1" x14ac:dyDescent="0.3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9" ht="12.75" customHeight="1" x14ac:dyDescent="0.3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9" ht="12.75" customHeight="1" x14ac:dyDescent="0.3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9" ht="26.4" customHeight="1" x14ac:dyDescent="0.3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9" ht="12.75" customHeight="1" x14ac:dyDescent="0.3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9" ht="26.4" customHeight="1" x14ac:dyDescent="0.3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9" ht="13.5" customHeight="1" x14ac:dyDescent="0.3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9" ht="12.75" customHeight="1" x14ac:dyDescent="0.3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9" ht="12.75" customHeight="1" x14ac:dyDescent="0.3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9" ht="12.75" customHeight="1" x14ac:dyDescent="0.3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9" ht="12.75" customHeight="1" x14ac:dyDescent="0.3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9" ht="12.75" customHeight="1" x14ac:dyDescent="0.3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3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3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3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3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3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3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3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3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3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3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3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3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3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3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3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3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3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3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3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3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3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3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3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3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3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3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3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3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3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3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3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3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3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3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3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3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3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3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3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3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3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3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3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3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3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3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3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3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3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3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3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3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3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3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3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3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3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3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3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3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3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3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3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3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3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3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3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3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3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3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3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3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3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3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3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3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3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3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3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3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3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3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3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3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3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3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3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3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3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3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3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3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3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3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3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3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3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3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3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3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3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3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3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3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3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3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3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3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3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3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3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3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3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3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3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3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3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3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3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3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3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3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3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3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3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3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3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3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3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3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3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3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3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3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3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3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3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3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3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3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3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3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3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3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3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3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3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3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3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3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3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3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3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3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3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3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3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3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3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3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3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3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3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3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3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3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3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3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3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3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3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3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3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3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3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3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3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3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3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3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3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3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3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3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3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3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3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3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3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3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3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3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3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3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3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3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3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3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3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3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3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3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9.5852946805328521E-2</v>
      </c>
      <c r="M220" s="452">
        <f t="shared" si="0"/>
        <v>9.5852946805328521E-2</v>
      </c>
      <c r="N220" s="452">
        <f t="shared" si="0"/>
        <v>9.5852946805328521E-2</v>
      </c>
      <c r="O220" s="452">
        <f t="shared" si="0"/>
        <v>9.5852946805328521E-2</v>
      </c>
      <c r="P220" s="452">
        <f t="shared" si="0"/>
        <v>9.5852946805328521E-2</v>
      </c>
      <c r="Q220" s="452"/>
      <c r="R220" s="158"/>
    </row>
    <row r="221" spans="1:18" ht="12.75" customHeight="1" x14ac:dyDescent="0.3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3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0.90414705319467148</v>
      </c>
      <c r="M222" s="452">
        <f>(0.00015*0.172)/((IF(Tm&gt;298,EXP(-6.79*(1-Tm/298))*Pvap25*EXP((H0vap/8.314)*(1/298-1/TEMP.R)),Pvap25*EXP((H0vap/8.314)*(1/298-1/TEMP.R))))+(0.00015*0.172))</f>
        <v>0.90414705319467148</v>
      </c>
      <c r="N222" s="452">
        <f>(0.00015*0.172)/((IF(Tm&gt;298,EXP(-6.79*(1-Tm/298))*Pvap25*EXP((H0vap/8.314)*(1/298-1/TEMP.R)),Pvap25*EXP((H0vap/8.314)*(1/298-1/TEMP.R))))+(0.00015*0.172))</f>
        <v>0.90414705319467148</v>
      </c>
      <c r="O222" s="452">
        <f>(0.00015*0.172)/((IF(Tm&gt;298,EXP(-6.79*(1-Tm/298))*Pvap25*EXP((H0vap/8.314)*(1/298-1/TEMP.R)),Pvap25*EXP((H0vap/8.314)*(1/298-1/TEMP.R))))+(0.00015*0.172))</f>
        <v>0.90414705319467148</v>
      </c>
      <c r="P222" s="452">
        <f>(0.00015*0.172)/((IF(Tm&gt;298,EXP(-6.79*(1-Tm/298))*Pvap25*EXP((H0vap/8.314)*(1/298-1/TEMP.R)),Pvap25*EXP((H0vap/8.314)*(1/298-1/TEMP.R))))+(0.00015*0.172))</f>
        <v>0.90414705319467148</v>
      </c>
      <c r="Q222" s="452"/>
      <c r="R222" s="158"/>
    </row>
    <row r="223" spans="1:18" ht="12.75" customHeight="1" x14ac:dyDescent="0.3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3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3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3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0.99998815707520883</v>
      </c>
      <c r="M226" s="452">
        <f t="shared" si="1"/>
        <v>0.99998815707520883</v>
      </c>
      <c r="N226" s="452">
        <f t="shared" si="1"/>
        <v>0.99998815707520883</v>
      </c>
      <c r="O226" s="452">
        <f t="shared" si="1"/>
        <v>0.99998815707520883</v>
      </c>
      <c r="P226" s="452">
        <f t="shared" si="1"/>
        <v>0.99998815707520883</v>
      </c>
      <c r="Q226" s="452"/>
      <c r="R226" s="158"/>
    </row>
    <row r="227" spans="1:18" ht="12.75" customHeight="1" x14ac:dyDescent="0.3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3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3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3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3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3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0.99987672324759713</v>
      </c>
      <c r="M232" s="452">
        <f t="shared" si="2"/>
        <v>0.99987672324759713</v>
      </c>
      <c r="N232" s="452">
        <f t="shared" si="2"/>
        <v>0.99987672324759713</v>
      </c>
      <c r="O232" s="452">
        <f t="shared" si="2"/>
        <v>0.99987672324759713</v>
      </c>
      <c r="P232" s="452">
        <f t="shared" si="2"/>
        <v>0.99987672324759713</v>
      </c>
      <c r="Q232" s="452"/>
      <c r="R232" s="158"/>
    </row>
    <row r="233" spans="1:18" ht="12.75" customHeight="1" x14ac:dyDescent="0.3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3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3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3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3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3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0.99995357150522701</v>
      </c>
      <c r="M238" s="452">
        <f t="shared" si="3"/>
        <v>0.99995357150522701</v>
      </c>
      <c r="N238" s="452">
        <f t="shared" si="3"/>
        <v>0.99995357150522701</v>
      </c>
      <c r="O238" s="452">
        <f t="shared" si="3"/>
        <v>0.99995357150522701</v>
      </c>
      <c r="P238" s="452">
        <f t="shared" si="3"/>
        <v>0.99995357150522701</v>
      </c>
      <c r="Q238" s="452"/>
      <c r="R238" s="158"/>
    </row>
    <row r="239" spans="1:18" ht="12.75" customHeight="1" x14ac:dyDescent="0.3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3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3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3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3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3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3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3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3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3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3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3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3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3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3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3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3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3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3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3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3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3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3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3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3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3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3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3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3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3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6.1679374174024746E-3</v>
      </c>
      <c r="M268" s="451">
        <f>((DRYDEPaerosol.R+AerosolWashout.R+GasWashout.R+GASABS.aR.wR)/HEIGHT.aR)*AREAFRAC.w0R</f>
        <v>6.1679374174024746E-3</v>
      </c>
      <c r="N268" s="451">
        <f>((DRYDEPaerosol.R+AerosolWashout.R+GasWashout.R+GASABS.aR.wR)/HEIGHT.aR)*AREAFRAC.w0R</f>
        <v>6.1679374174024746E-3</v>
      </c>
      <c r="O268" s="451">
        <f>((DRYDEPaerosol.R+AerosolWashout.R+GasWashout.R+GASABS.aR.wR)/HEIGHT.aR)*AREAFRAC.w0R</f>
        <v>6.1679374174024746E-3</v>
      </c>
      <c r="P268" s="451">
        <f>((DRYDEPaerosol.R+AerosolWashout.R+GasWashout.R+GASABS.aR.wR)/HEIGHT.aR)*AREAFRAC.w0R</f>
        <v>6.1679374174024746E-3</v>
      </c>
      <c r="Q268" s="452"/>
      <c r="R268" s="158"/>
    </row>
    <row r="269" spans="1:18" ht="12.75" customHeight="1" x14ac:dyDescent="0.3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6.784731159142722E-2</v>
      </c>
      <c r="M269" s="451">
        <f>((DRYDEPaerosol.R+AerosolWashout.R+GasWashout.R+GASABS.aR.wR)/HEIGHT.aR)*AREAFRAC.w1R</f>
        <v>6.784731159142722E-2</v>
      </c>
      <c r="N269" s="451">
        <f>((DRYDEPaerosol.R+AerosolWashout.R+GasWashout.R+GASABS.aR.wR)/HEIGHT.aR)*AREAFRAC.w1R</f>
        <v>6.784731159142722E-2</v>
      </c>
      <c r="O269" s="451">
        <f>((DRYDEPaerosol.R+AerosolWashout.R+GasWashout.R+GASABS.aR.wR)/HEIGHT.aR)*AREAFRAC.w1R</f>
        <v>6.784731159142722E-2</v>
      </c>
      <c r="P269" s="451">
        <f>((DRYDEPaerosol.R+AerosolWashout.R+GasWashout.R+GASABS.aR.wR)/HEIGHT.aR)*AREAFRAC.w1R</f>
        <v>6.784731159142722E-2</v>
      </c>
      <c r="Q269" s="452"/>
      <c r="R269" s="158"/>
    </row>
    <row r="270" spans="1:18" ht="12.75" customHeight="1" x14ac:dyDescent="0.3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1.0793957942691484E-2</v>
      </c>
      <c r="M270" s="451">
        <f>((DRYDEPaerosol.R+AerosolWashout.R+GasWashout.R+GASABS.aR.wR)/HEIGHT.aR)*AREAFRAC.w2R</f>
        <v>1.0793957942691484E-2</v>
      </c>
      <c r="N270" s="451">
        <f>((DRYDEPaerosol.R+AerosolWashout.R+GasWashout.R+GASABS.aR.wR)/HEIGHT.aR)*AREAFRAC.w2R</f>
        <v>1.0793957942691484E-2</v>
      </c>
      <c r="O270" s="451">
        <f>((DRYDEPaerosol.R+AerosolWashout.R+GasWashout.R+GASABS.aR.wR)/HEIGHT.aR)*AREAFRAC.w2R</f>
        <v>1.0793957942691484E-2</v>
      </c>
      <c r="P270" s="451">
        <f>((DRYDEPaerosol.R+AerosolWashout.R+GasWashout.R+GASABS.aR.wR)/HEIGHT.aR)*AREAFRAC.w2R</f>
        <v>1.0793957942691484E-2</v>
      </c>
      <c r="Q270" s="452"/>
      <c r="R270" s="158"/>
    </row>
    <row r="271" spans="1:18" ht="12.75" customHeight="1" x14ac:dyDescent="0.3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0.66613686898570845</v>
      </c>
      <c r="M271" s="451">
        <f>((DRYDEPaerosol.R+AerosolWashout.R+GasWashout.R+GASABS.aR.sR)/HEIGHT.aR)*AREAFRAC.s1R</f>
        <v>0.66613686898570845</v>
      </c>
      <c r="N271" s="451">
        <f>((DRYDEPaerosol.R+AerosolWashout.R+GasWashout.R+GASABS.aR.sR)/HEIGHT.aR)*AREAFRAC.s1R</f>
        <v>0.66613686898570845</v>
      </c>
      <c r="O271" s="451">
        <f>((DRYDEPaerosol.R+AerosolWashout.R+GasWashout.R+GASABS.aR.sR)/HEIGHT.aR)*AREAFRAC.s1R</f>
        <v>0.66613686898570845</v>
      </c>
      <c r="P271" s="451">
        <f>((DRYDEPaerosol.R+AerosolWashout.R+GasWashout.R+GASABS.aR.sR)/HEIGHT.aR)*AREAFRAC.s1R</f>
        <v>0.66613686898570845</v>
      </c>
      <c r="Q271" s="452"/>
      <c r="R271" s="158"/>
    </row>
    <row r="272" spans="1:18" ht="12.75" customHeight="1" x14ac:dyDescent="0.3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1.4803041533015742</v>
      </c>
      <c r="M272" s="451">
        <f>((DRYDEPaerosol.R+AerosolWashout.R+GasWashout.R+GASABS.aR.sR)/HEIGHT.aR)*AREAFRAC.s2R</f>
        <v>1.4803041533015742</v>
      </c>
      <c r="N272" s="451">
        <f>((DRYDEPaerosol.R+AerosolWashout.R+GasWashout.R+GASABS.aR.sR)/HEIGHT.aR)*AREAFRAC.s2R</f>
        <v>1.4803041533015742</v>
      </c>
      <c r="O272" s="451">
        <f>((DRYDEPaerosol.R+AerosolWashout.R+GasWashout.R+GASABS.aR.sR)/HEIGHT.aR)*AREAFRAC.s2R</f>
        <v>1.4803041533015742</v>
      </c>
      <c r="P272" s="451">
        <f>((DRYDEPaerosol.R+AerosolWashout.R+GasWashout.R+GASABS.aR.sR)/HEIGHT.aR)*AREAFRAC.s2R</f>
        <v>1.4803041533015742</v>
      </c>
      <c r="Q272" s="452"/>
      <c r="R272" s="158"/>
    </row>
    <row r="273" spans="1:18" ht="12.75" customHeight="1" x14ac:dyDescent="0.3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0.24671735888359572</v>
      </c>
      <c r="M273" s="451">
        <f>((DRYDEPaerosol.R+AerosolWashout.R+GasWashout.R+GASABS.aR.sR)/HEIGHT.aR)*AREAFRAC.s3R</f>
        <v>0.24671735888359572</v>
      </c>
      <c r="N273" s="451">
        <f>((DRYDEPaerosol.R+AerosolWashout.R+GasWashout.R+GASABS.aR.sR)/HEIGHT.aR)*AREAFRAC.s3R</f>
        <v>0.24671735888359572</v>
      </c>
      <c r="O273" s="451">
        <f>((DRYDEPaerosol.R+AerosolWashout.R+GasWashout.R+GASABS.aR.sR)/HEIGHT.aR)*AREAFRAC.s3R</f>
        <v>0.24671735888359572</v>
      </c>
      <c r="P273" s="451">
        <f>((DRYDEPaerosol.R+AerosolWashout.R+GasWashout.R+GASABS.aR.sR)/HEIGHT.aR)*AREAFRAC.s3R</f>
        <v>0.24671735888359572</v>
      </c>
      <c r="Q273" s="452"/>
      <c r="R273" s="158"/>
    </row>
    <row r="274" spans="1:18" ht="12.75" customHeight="1" x14ac:dyDescent="0.3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3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3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3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3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3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3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3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3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3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3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3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3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3.7617999830720028E-4</v>
      </c>
      <c r="M286" s="451">
        <f>AEROSOLdeprate.R*FRaers.aR</f>
        <v>3.7617999830720028E-4</v>
      </c>
      <c r="N286" s="451">
        <f>AEROSOLdeprate.R*FRaers.aR</f>
        <v>3.7617999830720028E-4</v>
      </c>
      <c r="O286" s="451">
        <f>AEROSOLdeprate.R*FRaers.aR</f>
        <v>3.7617999830720028E-4</v>
      </c>
      <c r="P286" s="451">
        <f>AEROSOLdeprate.R*FRaers.aR</f>
        <v>3.7617999830720028E-4</v>
      </c>
      <c r="Q286" s="452"/>
      <c r="R286" s="158"/>
    </row>
    <row r="287" spans="1:18" ht="12.75" customHeight="1" x14ac:dyDescent="0.3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2.2647078134374441E-3</v>
      </c>
      <c r="M287" s="452">
        <f t="shared" si="4"/>
        <v>2.2647078134374441E-3</v>
      </c>
      <c r="N287" s="452">
        <f t="shared" si="4"/>
        <v>2.2647078134374441E-3</v>
      </c>
      <c r="O287" s="452">
        <f t="shared" si="4"/>
        <v>2.2647078134374441E-3</v>
      </c>
      <c r="P287" s="452">
        <f t="shared" si="4"/>
        <v>2.2647078134374441E-3</v>
      </c>
      <c r="Q287" s="452"/>
      <c r="R287" s="158"/>
    </row>
    <row r="288" spans="1:18" ht="12.75" customHeight="1" x14ac:dyDescent="0.3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148.67632104226283</v>
      </c>
      <c r="M288" s="452">
        <f t="shared" si="5"/>
        <v>148.67632104226283</v>
      </c>
      <c r="N288" s="452">
        <f t="shared" si="5"/>
        <v>148.67632104226283</v>
      </c>
      <c r="O288" s="452">
        <f t="shared" si="5"/>
        <v>148.67632104226283</v>
      </c>
      <c r="P288" s="452">
        <f t="shared" si="5"/>
        <v>148.67632104226283</v>
      </c>
      <c r="Q288" s="452"/>
      <c r="R288" s="158"/>
    </row>
    <row r="289" spans="1:18" ht="12.75" customHeight="1" x14ac:dyDescent="0.3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3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3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3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3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3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3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3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3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3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3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3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3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3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3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3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3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3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3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3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3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3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3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3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3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3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3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3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3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3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3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3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3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3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3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3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3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3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3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3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3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3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3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3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3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3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3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3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3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3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3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3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3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3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3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3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3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3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3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3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3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3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3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3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3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3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3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3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3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3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3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3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3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3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3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3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3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3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3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3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3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3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3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3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3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3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3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3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3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3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3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3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3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3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3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3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3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3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3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3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3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3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3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3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3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3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3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3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3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3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3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3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3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3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3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3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3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3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3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3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3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3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3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3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3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3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3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3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3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3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3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3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3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3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3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3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3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3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3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3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3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3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3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3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3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3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3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3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3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3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3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3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3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3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3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3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3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9.5852946805328521E-2</v>
      </c>
      <c r="M445" s="452">
        <f t="shared" si="6"/>
        <v>9.5852946805328521E-2</v>
      </c>
      <c r="N445" s="452">
        <f t="shared" si="6"/>
        <v>9.5852946805328521E-2</v>
      </c>
      <c r="O445" s="452">
        <f t="shared" si="6"/>
        <v>9.5852946805328521E-2</v>
      </c>
      <c r="P445" s="452">
        <f t="shared" si="6"/>
        <v>9.5852946805328521E-2</v>
      </c>
      <c r="Q445" s="452"/>
      <c r="R445" s="158"/>
    </row>
    <row r="446" spans="1:18" ht="12.75" customHeight="1" x14ac:dyDescent="0.3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3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0.90414705319467148</v>
      </c>
      <c r="M447" s="452">
        <f t="shared" si="7"/>
        <v>0.90414705319467148</v>
      </c>
      <c r="N447" s="452">
        <f t="shared" si="7"/>
        <v>0.90414705319467148</v>
      </c>
      <c r="O447" s="452">
        <f t="shared" si="7"/>
        <v>0.90414705319467148</v>
      </c>
      <c r="P447" s="452">
        <f t="shared" si="7"/>
        <v>0.90414705319467148</v>
      </c>
      <c r="Q447" s="452"/>
      <c r="R447" s="158"/>
    </row>
    <row r="448" spans="1:18" ht="12.75" customHeight="1" x14ac:dyDescent="0.3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3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3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3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0.99998815707520883</v>
      </c>
      <c r="M451" s="452">
        <f t="shared" si="8"/>
        <v>0.99998815707520883</v>
      </c>
      <c r="N451" s="452">
        <f t="shared" si="8"/>
        <v>0.99998815707520883</v>
      </c>
      <c r="O451" s="452">
        <f t="shared" si="8"/>
        <v>0.99998815707520883</v>
      </c>
      <c r="P451" s="452">
        <f t="shared" si="8"/>
        <v>0.99998815707520883</v>
      </c>
      <c r="Q451" s="452"/>
      <c r="R451" s="158"/>
    </row>
    <row r="452" spans="1:18" ht="12.75" customHeight="1" x14ac:dyDescent="0.3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3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3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3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3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3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0.99987672324759713</v>
      </c>
      <c r="M457" s="452">
        <f t="shared" si="9"/>
        <v>0.99987672324759713</v>
      </c>
      <c r="N457" s="452">
        <f t="shared" si="9"/>
        <v>0.99987672324759713</v>
      </c>
      <c r="O457" s="452">
        <f t="shared" si="9"/>
        <v>0.99987672324759713</v>
      </c>
      <c r="P457" s="452">
        <f t="shared" si="9"/>
        <v>0.99987672324759713</v>
      </c>
      <c r="Q457" s="452"/>
      <c r="R457" s="158"/>
    </row>
    <row r="458" spans="1:18" ht="12.75" customHeight="1" x14ac:dyDescent="0.3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3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3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3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3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3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0.99995357150522701</v>
      </c>
      <c r="M463" s="452">
        <f t="shared" si="10"/>
        <v>0.99995357150522701</v>
      </c>
      <c r="N463" s="452">
        <f t="shared" si="10"/>
        <v>0.99995357150522701</v>
      </c>
      <c r="O463" s="452">
        <f t="shared" si="10"/>
        <v>0.99995357150522701</v>
      </c>
      <c r="P463" s="452">
        <f t="shared" si="10"/>
        <v>0.99995357150522701</v>
      </c>
      <c r="Q463" s="452"/>
      <c r="R463" s="158"/>
    </row>
    <row r="464" spans="1:18" ht="12.75" customHeight="1" x14ac:dyDescent="0.3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3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3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3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3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3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3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3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3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3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3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3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3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3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3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3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3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3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3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3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3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3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3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3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3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3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3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3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3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3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2.9995496743363023E-3</v>
      </c>
      <c r="M493" s="451">
        <f>((DRYDEPaerosol.C+AerosolWashout.C+GasWashout.C+GASABS.aC.wC)/HEIGHT.aC)*AREAFRAC.w0C</f>
        <v>2.9995496743363023E-3</v>
      </c>
      <c r="N493" s="451">
        <f>((DRYDEPaerosol.C+AerosolWashout.C+GasWashout.C+GASABS.aC.wC)/HEIGHT.aC)*AREAFRAC.w0C</f>
        <v>2.9995496743363023E-3</v>
      </c>
      <c r="O493" s="451">
        <f>((DRYDEPaerosol.C+AerosolWashout.C+GasWashout.C+GASABS.aC.wC)/HEIGHT.aC)*AREAFRAC.w0C</f>
        <v>2.9995496743363023E-3</v>
      </c>
      <c r="P493" s="451">
        <f>((DRYDEPaerosol.C+AerosolWashout.C+GasWashout.C+GASABS.aC.wC)/HEIGHT.aC)*AREAFRAC.w0C</f>
        <v>2.9995496743363023E-3</v>
      </c>
      <c r="Q493" s="452"/>
      <c r="R493" s="158"/>
    </row>
    <row r="494" spans="1:18" ht="12.75" customHeight="1" x14ac:dyDescent="0.3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3.299504641769932E-2</v>
      </c>
      <c r="M494" s="451">
        <f>((DRYDEPaerosol.C+AerosolWashout.C+GasWashout.C+GASABS.aC.wC)/HEIGHT.aC)*AREAFRAC.w1C</f>
        <v>3.299504641769932E-2</v>
      </c>
      <c r="N494" s="451">
        <f>((DRYDEPaerosol.C+AerosolWashout.C+GasWashout.C+GASABS.aC.wC)/HEIGHT.aC)*AREAFRAC.w1C</f>
        <v>3.299504641769932E-2</v>
      </c>
      <c r="O494" s="451">
        <f>((DRYDEPaerosol.C+AerosolWashout.C+GasWashout.C+GASABS.aC.wC)/HEIGHT.aC)*AREAFRAC.w1C</f>
        <v>3.299504641769932E-2</v>
      </c>
      <c r="P494" s="451">
        <f>((DRYDEPaerosol.C+AerosolWashout.C+GasWashout.C+GASABS.aC.wC)/HEIGHT.aC)*AREAFRAC.w1C</f>
        <v>3.299504641769932E-2</v>
      </c>
      <c r="Q494" s="452"/>
      <c r="R494" s="158"/>
    </row>
    <row r="495" spans="1:18" ht="12.75" customHeight="1" x14ac:dyDescent="0.3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1.2781490551691606</v>
      </c>
      <c r="M495" s="451">
        <f>((DRYDEPaerosol.C+AerosolWashout.C+GasWashout.C+GASABS.aC.wC)/HEIGHT.aC)*AREAFRAC.w2C</f>
        <v>1.2781490551691606</v>
      </c>
      <c r="N495" s="451">
        <f>((DRYDEPaerosol.C+AerosolWashout.C+GasWashout.C+GASABS.aC.wC)/HEIGHT.aC)*AREAFRAC.w2C</f>
        <v>1.2781490551691606</v>
      </c>
      <c r="O495" s="451">
        <f>((DRYDEPaerosol.C+AerosolWashout.C+GasWashout.C+GASABS.aC.wC)/HEIGHT.aC)*AREAFRAC.w2C</f>
        <v>1.2781490551691606</v>
      </c>
      <c r="P495" s="451">
        <f>((DRYDEPaerosol.C+AerosolWashout.C+GasWashout.C+GASABS.aC.wC)/HEIGHT.aC)*AREAFRAC.w2C</f>
        <v>1.2781490551691606</v>
      </c>
      <c r="Q495" s="452"/>
      <c r="R495" s="158"/>
    </row>
    <row r="496" spans="1:18" ht="12.75" customHeight="1" x14ac:dyDescent="0.3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0.32395118387419652</v>
      </c>
      <c r="M496" s="451">
        <f>((DRYDEPaerosol.C+AerosolWashout.C+GasWashout.C+GASABS.aC.sC)/HEIGHT.aC)*AREAFRAC.s1C</f>
        <v>0.32395118387419652</v>
      </c>
      <c r="N496" s="451">
        <f>((DRYDEPaerosol.C+AerosolWashout.C+GasWashout.C+GASABS.aC.sC)/HEIGHT.aC)*AREAFRAC.s1C</f>
        <v>0.32395118387419652</v>
      </c>
      <c r="O496" s="451">
        <f>((DRYDEPaerosol.C+AerosolWashout.C+GasWashout.C+GASABS.aC.sC)/HEIGHT.aC)*AREAFRAC.s1C</f>
        <v>0.32395118387419652</v>
      </c>
      <c r="P496" s="451">
        <f>((DRYDEPaerosol.C+AerosolWashout.C+GasWashout.C+GASABS.aC.sC)/HEIGHT.aC)*AREAFRAC.s1C</f>
        <v>0.32395118387419652</v>
      </c>
      <c r="Q496" s="452"/>
      <c r="R496" s="158"/>
    </row>
    <row r="497" spans="1:18" ht="12.75" customHeight="1" x14ac:dyDescent="0.3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0.71989151972043663</v>
      </c>
      <c r="M497" s="451">
        <f>((DRYDEPaerosol.C+AerosolWashout.C+GasWashout.C+GASABS.aC.sC)/HEIGHT.aC)*AREAFRAC.s2C</f>
        <v>0.71989151972043663</v>
      </c>
      <c r="N497" s="451">
        <f>((DRYDEPaerosol.C+AerosolWashout.C+GasWashout.C+GASABS.aC.sC)/HEIGHT.aC)*AREAFRAC.s2C</f>
        <v>0.71989151972043663</v>
      </c>
      <c r="O497" s="451">
        <f>((DRYDEPaerosol.C+AerosolWashout.C+GasWashout.C+GASABS.aC.sC)/HEIGHT.aC)*AREAFRAC.s2C</f>
        <v>0.71989151972043663</v>
      </c>
      <c r="P497" s="451">
        <f>((DRYDEPaerosol.C+AerosolWashout.C+GasWashout.C+GASABS.aC.sC)/HEIGHT.aC)*AREAFRAC.s2C</f>
        <v>0.71989151972043663</v>
      </c>
      <c r="Q497" s="452"/>
      <c r="R497" s="158"/>
    </row>
    <row r="498" spans="1:18" ht="12.75" customHeight="1" x14ac:dyDescent="0.3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0.11998191995340608</v>
      </c>
      <c r="M498" s="451">
        <f>((DRYDEPaerosol.C+AerosolWashout.C+GasWashout.C+GASABS.aC.sC)/HEIGHT.aC)*AREAFRAC.s3C</f>
        <v>0.11998191995340608</v>
      </c>
      <c r="N498" s="451">
        <f>((DRYDEPaerosol.C+AerosolWashout.C+GasWashout.C+GASABS.aC.sC)/HEIGHT.aC)*AREAFRAC.s3C</f>
        <v>0.11998191995340608</v>
      </c>
      <c r="O498" s="451">
        <f>((DRYDEPaerosol.C+AerosolWashout.C+GasWashout.C+GASABS.aC.sC)/HEIGHT.aC)*AREAFRAC.s3C</f>
        <v>0.11998191995340608</v>
      </c>
      <c r="P498" s="451">
        <f>((DRYDEPaerosol.C+AerosolWashout.C+GasWashout.C+GASABS.aC.sC)/HEIGHT.aC)*AREAFRAC.s3C</f>
        <v>0.11998191995340608</v>
      </c>
      <c r="Q498" s="452"/>
      <c r="R498" s="158"/>
    </row>
    <row r="499" spans="1:18" ht="12.75" customHeight="1" x14ac:dyDescent="0.3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3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3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3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3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3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3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3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3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3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3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3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3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3.7617999830720028E-4</v>
      </c>
      <c r="M511" s="452">
        <f>AEROSOLdeprate.C*FRaers.aC</f>
        <v>3.7617999830720028E-4</v>
      </c>
      <c r="N511" s="452">
        <f>AEROSOLdeprate.C*FRaers.aC</f>
        <v>3.7617999830720028E-4</v>
      </c>
      <c r="O511" s="452">
        <f>AEROSOLdeprate.C*FRaers.aC</f>
        <v>3.7617999830720028E-4</v>
      </c>
      <c r="P511" s="452">
        <f>AEROSOLdeprate.C*FRaers.aC</f>
        <v>3.7617999830720028E-4</v>
      </c>
      <c r="Q511" s="452"/>
      <c r="R511" s="158"/>
    </row>
    <row r="512" spans="1:18" ht="12.75" customHeight="1" x14ac:dyDescent="0.3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2.2647078134374441E-3</v>
      </c>
      <c r="M512" s="452">
        <f t="shared" si="11"/>
        <v>2.2647078134374441E-3</v>
      </c>
      <c r="N512" s="452">
        <f t="shared" si="11"/>
        <v>2.2647078134374441E-3</v>
      </c>
      <c r="O512" s="452">
        <f t="shared" si="11"/>
        <v>2.2647078134374441E-3</v>
      </c>
      <c r="P512" s="452">
        <f t="shared" si="11"/>
        <v>2.2647078134374441E-3</v>
      </c>
      <c r="Q512" s="452"/>
      <c r="R512" s="158"/>
    </row>
    <row r="513" spans="1:18" ht="12.75" customHeight="1" x14ac:dyDescent="0.3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148.67632104226283</v>
      </c>
      <c r="M513" s="452">
        <f t="shared" si="12"/>
        <v>148.67632104226283</v>
      </c>
      <c r="N513" s="452">
        <f t="shared" si="12"/>
        <v>148.67632104226283</v>
      </c>
      <c r="O513" s="452">
        <f t="shared" si="12"/>
        <v>148.67632104226283</v>
      </c>
      <c r="P513" s="452">
        <f t="shared" si="12"/>
        <v>148.67632104226283</v>
      </c>
      <c r="Q513" s="452"/>
      <c r="R513" s="158"/>
    </row>
    <row r="514" spans="1:18" ht="12.75" customHeight="1" x14ac:dyDescent="0.3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3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3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3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3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3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3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3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3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3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3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3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3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3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3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3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3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3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3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3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3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3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3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3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3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3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3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3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3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3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3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3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3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3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3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3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3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3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3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3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3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3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3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3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3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3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3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3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3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3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3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3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3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3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3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3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3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3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3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3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3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3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3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3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3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3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3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3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3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3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3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3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3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3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3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3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3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3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3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3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3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3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3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3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3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3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3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3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3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3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3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3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3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3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3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3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3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3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3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3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3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3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3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3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3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3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3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3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3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3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3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3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3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3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3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3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3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3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3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3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3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3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3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3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3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3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3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3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3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3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3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3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3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3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3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3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3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9.5852946805328521E-2</v>
      </c>
      <c r="M650" s="452">
        <f t="shared" si="13"/>
        <v>9.5852946805328521E-2</v>
      </c>
      <c r="N650" s="452">
        <f t="shared" si="13"/>
        <v>9.5852946805328521E-2</v>
      </c>
      <c r="O650" s="452">
        <f t="shared" si="13"/>
        <v>9.5852946805328521E-2</v>
      </c>
      <c r="P650" s="452">
        <f t="shared" si="13"/>
        <v>9.5852946805328521E-2</v>
      </c>
      <c r="Q650" s="452"/>
      <c r="R650" s="158"/>
    </row>
    <row r="651" spans="1:18" ht="12.75" customHeight="1" x14ac:dyDescent="0.3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3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0.90414705319467148</v>
      </c>
      <c r="M652" s="452">
        <f t="shared" si="14"/>
        <v>0.90414705319467148</v>
      </c>
      <c r="N652" s="452">
        <f t="shared" si="14"/>
        <v>0.90414705319467148</v>
      </c>
      <c r="O652" s="452">
        <f t="shared" si="14"/>
        <v>0.90414705319467148</v>
      </c>
      <c r="P652" s="452">
        <f t="shared" si="14"/>
        <v>0.90414705319467148</v>
      </c>
      <c r="Q652" s="452"/>
      <c r="R652" s="158"/>
    </row>
    <row r="653" spans="1:18" ht="12.75" customHeight="1" x14ac:dyDescent="0.3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3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3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3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3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0.99995357150522701</v>
      </c>
      <c r="M657" s="452">
        <f t="shared" si="15"/>
        <v>0.99995357150522701</v>
      </c>
      <c r="N657" s="452">
        <f t="shared" si="15"/>
        <v>0.99995357150522701</v>
      </c>
      <c r="O657" s="452">
        <f t="shared" si="15"/>
        <v>0.99995357150522701</v>
      </c>
      <c r="P657" s="452">
        <f t="shared" si="15"/>
        <v>0.99995357150522701</v>
      </c>
      <c r="Q657" s="452"/>
      <c r="R657" s="158"/>
    </row>
    <row r="658" spans="1:18" ht="12.75" customHeight="1" x14ac:dyDescent="0.3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0.99995357150522701</v>
      </c>
      <c r="M658" s="452">
        <f t="shared" si="16"/>
        <v>0.99995357150522701</v>
      </c>
      <c r="N658" s="452">
        <f t="shared" si="16"/>
        <v>0.99995357150522701</v>
      </c>
      <c r="O658" s="452">
        <f t="shared" si="16"/>
        <v>0.99995357150522701</v>
      </c>
      <c r="P658" s="452">
        <f t="shared" si="16"/>
        <v>0.99995357150522701</v>
      </c>
      <c r="Q658" s="452"/>
      <c r="R658" s="158"/>
    </row>
    <row r="659" spans="1:18" ht="12.75" customHeight="1" x14ac:dyDescent="0.3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3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3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3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3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3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3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3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3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3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3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3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3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3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3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3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3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3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3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3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3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3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1.2389844624518407</v>
      </c>
      <c r="M680" s="451">
        <f>((DRYDEPaerosol.M+AerosolWashout.M+GasWashout.M+GASABS.aM.wM)/HEIGHT.aC)*AREAFRAC.wM</f>
        <v>1.2389844624518407</v>
      </c>
      <c r="N680" s="451">
        <f>((DRYDEPaerosol.M+AerosolWashout.M+GasWashout.M+GASABS.aM.wM)/HEIGHT.aC)*AREAFRAC.wM</f>
        <v>1.2389844624518407</v>
      </c>
      <c r="O680" s="451">
        <f>((DRYDEPaerosol.M+AerosolWashout.M+GasWashout.M+GASABS.aM.wM)/HEIGHT.aC)*AREAFRAC.wM</f>
        <v>1.2389844624518407</v>
      </c>
      <c r="P680" s="451">
        <f>((DRYDEPaerosol.M+AerosolWashout.M+GasWashout.M+GASABS.aM.wM)/HEIGHT.aC)*AREAFRAC.wM</f>
        <v>1.2389844624518407</v>
      </c>
      <c r="Q680" s="452"/>
      <c r="R680" s="158"/>
    </row>
    <row r="681" spans="1:18" ht="12.75" customHeight="1" x14ac:dyDescent="0.3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1.2389837703746569</v>
      </c>
      <c r="M681" s="452">
        <f>((DRYDEPaerosol.M+AerosolWashout.M+GasWashout.M+GASABS.aM.sM)/HEIGHT.aC)*AREAFRAC.sM</f>
        <v>1.2389837703746569</v>
      </c>
      <c r="N681" s="452">
        <f>((DRYDEPaerosol.M+AerosolWashout.M+GasWashout.M+GASABS.aM.sM)/HEIGHT.aC)*AREAFRAC.sM</f>
        <v>1.2389837703746569</v>
      </c>
      <c r="O681" s="452">
        <f>((DRYDEPaerosol.M+AerosolWashout.M+GasWashout.M+GASABS.aM.sM)/HEIGHT.aC)*AREAFRAC.sM</f>
        <v>1.2389837703746569</v>
      </c>
      <c r="P681" s="452">
        <f>((DRYDEPaerosol.M+AerosolWashout.M+GasWashout.M+GASABS.aM.sM)/HEIGHT.aC)*AREAFRAC.sM</f>
        <v>1.2389837703746569</v>
      </c>
      <c r="Q681" s="452"/>
      <c r="R681" s="158"/>
    </row>
    <row r="682" spans="1:18" ht="12.75" customHeight="1" x14ac:dyDescent="0.3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3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3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3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3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3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3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3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3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3.7617999830720028E-4</v>
      </c>
      <c r="M690" s="452">
        <f>AEROSOLdeprate.M*FRaers.aM</f>
        <v>3.7617999830720028E-4</v>
      </c>
      <c r="N690" s="452">
        <f>AEROSOLdeprate.M*FRaers.aM</f>
        <v>3.7617999830720028E-4</v>
      </c>
      <c r="O690" s="452">
        <f>AEROSOLdeprate.M*FRaers.aM</f>
        <v>3.7617999830720028E-4</v>
      </c>
      <c r="P690" s="452">
        <f>AEROSOLdeprate.M*FRaers.aM</f>
        <v>3.7617999830720028E-4</v>
      </c>
      <c r="Q690" s="452"/>
      <c r="R690" s="158"/>
    </row>
    <row r="691" spans="1:18" ht="12.75" customHeight="1" x14ac:dyDescent="0.3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2.2647078134374441E-3</v>
      </c>
      <c r="M691" s="452">
        <f t="shared" si="17"/>
        <v>2.2647078134374441E-3</v>
      </c>
      <c r="N691" s="452">
        <f t="shared" si="17"/>
        <v>2.2647078134374441E-3</v>
      </c>
      <c r="O691" s="452">
        <f t="shared" si="17"/>
        <v>2.2647078134374441E-3</v>
      </c>
      <c r="P691" s="452">
        <f t="shared" si="17"/>
        <v>2.2647078134374441E-3</v>
      </c>
      <c r="Q691" s="452"/>
      <c r="R691" s="158"/>
    </row>
    <row r="692" spans="1:18" ht="12.75" customHeight="1" x14ac:dyDescent="0.3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148.67632104226283</v>
      </c>
      <c r="M692" s="452">
        <f t="shared" si="18"/>
        <v>148.67632104226283</v>
      </c>
      <c r="N692" s="452">
        <f t="shared" si="18"/>
        <v>148.67632104226283</v>
      </c>
      <c r="O692" s="452">
        <f t="shared" si="18"/>
        <v>148.67632104226283</v>
      </c>
      <c r="P692" s="452">
        <f t="shared" si="18"/>
        <v>148.67632104226283</v>
      </c>
      <c r="Q692" s="452"/>
      <c r="R692" s="158"/>
    </row>
    <row r="693" spans="1:18" ht="12.75" customHeight="1" x14ac:dyDescent="0.3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3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3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3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3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3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3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3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3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3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3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3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3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3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3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3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3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3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3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3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3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3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3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3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3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3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3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3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3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3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3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3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3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3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3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3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3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3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3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3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3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3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3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3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3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3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3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3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3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3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3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3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3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3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3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3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3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3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3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3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3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3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3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3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3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3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3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3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3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3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3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3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3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3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3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3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3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3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3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3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3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3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3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3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3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3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3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3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3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3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3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3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3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3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2.0932585285350358E-3</v>
      </c>
      <c r="M786" s="452">
        <f t="shared" si="19"/>
        <v>2.0932585285350358E-3</v>
      </c>
      <c r="N786" s="452">
        <f t="shared" si="19"/>
        <v>2.0932585285350358E-3</v>
      </c>
      <c r="O786" s="452">
        <f t="shared" si="19"/>
        <v>2.0932585285350358E-3</v>
      </c>
      <c r="P786" s="452">
        <f t="shared" si="19"/>
        <v>2.0932585285350358E-3</v>
      </c>
      <c r="Q786" s="452"/>
      <c r="R786" s="158"/>
    </row>
    <row r="787" spans="1:18" ht="12.75" customHeight="1" x14ac:dyDescent="0.3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3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0.99790674147146496</v>
      </c>
      <c r="M788" s="452">
        <f t="shared" si="20"/>
        <v>0.99790674147146496</v>
      </c>
      <c r="N788" s="452">
        <f t="shared" si="20"/>
        <v>0.99790674147146496</v>
      </c>
      <c r="O788" s="452">
        <f t="shared" si="20"/>
        <v>0.99790674147146496</v>
      </c>
      <c r="P788" s="452">
        <f t="shared" si="20"/>
        <v>0.99790674147146496</v>
      </c>
      <c r="Q788" s="452"/>
      <c r="R788" s="158"/>
    </row>
    <row r="789" spans="1:18" ht="12.75" customHeight="1" x14ac:dyDescent="0.3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3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3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3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3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0.99995357150522701</v>
      </c>
      <c r="M793" s="452">
        <f t="shared" si="21"/>
        <v>0.99995357150522701</v>
      </c>
      <c r="N793" s="452">
        <f t="shared" si="21"/>
        <v>0.99995357150522701</v>
      </c>
      <c r="O793" s="452">
        <f t="shared" si="21"/>
        <v>0.99995357150522701</v>
      </c>
      <c r="P793" s="452">
        <f t="shared" si="21"/>
        <v>0.99995357150522701</v>
      </c>
      <c r="Q793" s="452"/>
      <c r="R793" s="158"/>
    </row>
    <row r="794" spans="1:18" ht="12.75" customHeight="1" x14ac:dyDescent="0.3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0.99995357150522701</v>
      </c>
      <c r="M794" s="452">
        <f t="shared" si="22"/>
        <v>0.99995357150522701</v>
      </c>
      <c r="N794" s="452">
        <f t="shared" si="22"/>
        <v>0.99995357150522701</v>
      </c>
      <c r="O794" s="452">
        <f t="shared" si="22"/>
        <v>0.99995357150522701</v>
      </c>
      <c r="P794" s="452">
        <f t="shared" si="22"/>
        <v>0.99995357150522701</v>
      </c>
      <c r="Q794" s="452"/>
      <c r="R794" s="158"/>
    </row>
    <row r="795" spans="1:18" ht="12.75" customHeight="1" x14ac:dyDescent="0.3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3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3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3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3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3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3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3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3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3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3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3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3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3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3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3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3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3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3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3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3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3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3.3105483780890705</v>
      </c>
      <c r="M816" s="451">
        <f>((DRYDEPaerosol.A+AerosolWashout.A+GasWashout.A+GASABS.aA.wA)/HEIGHT.aC)*AREAFRAC.wA</f>
        <v>3.3105483780890705</v>
      </c>
      <c r="N816" s="451">
        <f>((DRYDEPaerosol.A+AerosolWashout.A+GasWashout.A+GASABS.aA.wA)/HEIGHT.aC)*AREAFRAC.wA</f>
        <v>3.3105483780890705</v>
      </c>
      <c r="O816" s="451">
        <f>((DRYDEPaerosol.A+AerosolWashout.A+GasWashout.A+GASABS.aA.wA)/HEIGHT.aC)*AREAFRAC.wA</f>
        <v>3.3105483780890705</v>
      </c>
      <c r="P816" s="451">
        <f>((DRYDEPaerosol.A+AerosolWashout.A+GasWashout.A+GASABS.aA.wA)/HEIGHT.aC)*AREAFRAC.wA</f>
        <v>3.3105483780890705</v>
      </c>
      <c r="Q816" s="452"/>
      <c r="R816" s="158"/>
    </row>
    <row r="817" spans="1:18" ht="12.75" customHeight="1" x14ac:dyDescent="0.3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2.2070321467130531</v>
      </c>
      <c r="M817" s="451">
        <f>((DRYDEPaerosol.A+AerosolWashout.A+GasWashout.A+GASABS.aA.sA)/HEIGHT.aC)*AREAFRAC.sA</f>
        <v>2.2070321467130531</v>
      </c>
      <c r="N817" s="451">
        <f>((DRYDEPaerosol.A+AerosolWashout.A+GasWashout.A+GASABS.aA.sA)/HEIGHT.aC)*AREAFRAC.sA</f>
        <v>2.2070321467130531</v>
      </c>
      <c r="O817" s="451">
        <f>((DRYDEPaerosol.A+AerosolWashout.A+GasWashout.A+GASABS.aA.sA)/HEIGHT.aC)*AREAFRAC.sA</f>
        <v>2.2070321467130531</v>
      </c>
      <c r="P817" s="451">
        <f>((DRYDEPaerosol.A+AerosolWashout.A+GasWashout.A+GASABS.aA.sA)/HEIGHT.aC)*AREAFRAC.sA</f>
        <v>2.2070321467130531</v>
      </c>
      <c r="Q817" s="452"/>
      <c r="R817" s="158"/>
    </row>
    <row r="818" spans="1:18" ht="12.75" customHeight="1" x14ac:dyDescent="0.3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3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3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3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3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3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3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3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3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7.1579123842754208E-5</v>
      </c>
      <c r="M826" s="451">
        <f>AEROSOLdeprate.A*FRaers.aA</f>
        <v>7.1579123842754208E-5</v>
      </c>
      <c r="N826" s="451">
        <f>AEROSOLdeprate.A*FRaers.aA</f>
        <v>7.1579123842754208E-5</v>
      </c>
      <c r="O826" s="451">
        <f>AEROSOLdeprate.A*FRaers.aA</f>
        <v>7.1579123842754208E-5</v>
      </c>
      <c r="P826" s="451">
        <f>AEROSOLdeprate.A*FRaers.aA</f>
        <v>7.1579123842754208E-5</v>
      </c>
      <c r="Q826" s="452"/>
      <c r="R826" s="158"/>
    </row>
    <row r="827" spans="1:18" ht="12.75" customHeight="1" x14ac:dyDescent="0.3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1.4377065493797064E-3</v>
      </c>
      <c r="M827" s="452">
        <f t="shared" si="23"/>
        <v>1.4377065493797064E-3</v>
      </c>
      <c r="N827" s="452">
        <f t="shared" si="23"/>
        <v>1.4377065493797064E-3</v>
      </c>
      <c r="O827" s="452">
        <f t="shared" si="23"/>
        <v>1.4377065493797064E-3</v>
      </c>
      <c r="P827" s="452">
        <f t="shared" si="23"/>
        <v>1.4377065493797064E-3</v>
      </c>
      <c r="Q827" s="452"/>
      <c r="R827" s="158"/>
    </row>
    <row r="828" spans="1:18" ht="12.75" customHeight="1" x14ac:dyDescent="0.3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331.05464825200329</v>
      </c>
      <c r="M828" s="452">
        <f t="shared" si="24"/>
        <v>331.05464825200329</v>
      </c>
      <c r="N828" s="452">
        <f t="shared" si="24"/>
        <v>331.05464825200329</v>
      </c>
      <c r="O828" s="452">
        <f t="shared" si="24"/>
        <v>331.05464825200329</v>
      </c>
      <c r="P828" s="452">
        <f t="shared" si="24"/>
        <v>331.05464825200329</v>
      </c>
      <c r="Q828" s="452"/>
      <c r="R828" s="158"/>
    </row>
    <row r="829" spans="1:18" ht="12.75" customHeight="1" x14ac:dyDescent="0.3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3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3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3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3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3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3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3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3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3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3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3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3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3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3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3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3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3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3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3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3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3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3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3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3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3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3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3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3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3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3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3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3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3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3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3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3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3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3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3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3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3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3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3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3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3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3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3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3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3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3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3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3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3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3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3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3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3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3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3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3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3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3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3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3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3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3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3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3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3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3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3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3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3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3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3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3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3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3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3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3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3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3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3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3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3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3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3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3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3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3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3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3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3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0.45055478663124349</v>
      </c>
      <c r="M922" s="452">
        <f t="shared" si="25"/>
        <v>0.45055478663124349</v>
      </c>
      <c r="N922" s="452">
        <f t="shared" si="25"/>
        <v>0.45055478663124349</v>
      </c>
      <c r="O922" s="452">
        <f t="shared" si="25"/>
        <v>0.45055478663124349</v>
      </c>
      <c r="P922" s="452">
        <f t="shared" si="25"/>
        <v>0.45055478663124349</v>
      </c>
      <c r="Q922" s="452"/>
      <c r="R922" s="158"/>
    </row>
    <row r="923" spans="1:18" ht="12.75" customHeight="1" x14ac:dyDescent="0.3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3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0.54944521336875651</v>
      </c>
      <c r="M924" s="452">
        <f t="shared" si="26"/>
        <v>0.54944521336875651</v>
      </c>
      <c r="N924" s="452">
        <f t="shared" si="26"/>
        <v>0.54944521336875651</v>
      </c>
      <c r="O924" s="452">
        <f t="shared" si="26"/>
        <v>0.54944521336875651</v>
      </c>
      <c r="P924" s="452">
        <f t="shared" si="26"/>
        <v>0.54944521336875651</v>
      </c>
      <c r="Q924" s="452"/>
      <c r="R924" s="158"/>
    </row>
    <row r="925" spans="1:18" ht="12.75" customHeight="1" x14ac:dyDescent="0.3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3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3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3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3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0.99995357150522701</v>
      </c>
      <c r="M929" s="452">
        <f t="shared" si="27"/>
        <v>0.99995357150522701</v>
      </c>
      <c r="N929" s="452">
        <f t="shared" si="27"/>
        <v>0.99995357150522701</v>
      </c>
      <c r="O929" s="452">
        <f t="shared" si="27"/>
        <v>0.99995357150522701</v>
      </c>
      <c r="P929" s="452">
        <f t="shared" si="27"/>
        <v>0.99995357150522701</v>
      </c>
      <c r="Q929" s="452"/>
      <c r="R929" s="158"/>
    </row>
    <row r="930" spans="1:18" ht="12.75" customHeight="1" x14ac:dyDescent="0.3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0.99995357150522701</v>
      </c>
      <c r="M930" s="452">
        <f t="shared" si="28"/>
        <v>0.99995357150522701</v>
      </c>
      <c r="N930" s="452">
        <f t="shared" si="28"/>
        <v>0.99995357150522701</v>
      </c>
      <c r="O930" s="452">
        <f t="shared" si="28"/>
        <v>0.99995357150522701</v>
      </c>
      <c r="P930" s="452">
        <f t="shared" si="28"/>
        <v>0.99995357150522701</v>
      </c>
      <c r="Q930" s="452"/>
      <c r="R930" s="158"/>
    </row>
    <row r="931" spans="1:18" ht="12.75" customHeight="1" x14ac:dyDescent="0.3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3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3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3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3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3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3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3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3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3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3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3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3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3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3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3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3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3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3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3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3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3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0.58968185833366038</v>
      </c>
      <c r="M952" s="451">
        <f>((DRYDEPaerosol.T+AerosolWashout.T+GasWashout.T+GASABS.aT.wT)/HEIGHT.aT)*AREAFRAC.wT</f>
        <v>0.58968185833366038</v>
      </c>
      <c r="N952" s="451">
        <f>((DRYDEPaerosol.T+AerosolWashout.T+GasWashout.T+GASABS.aT.wT)/HEIGHT.aT)*AREAFRAC.wT</f>
        <v>0.58968185833366038</v>
      </c>
      <c r="O952" s="451">
        <f>((DRYDEPaerosol.T+AerosolWashout.T+GasWashout.T+GASABS.aT.wT)/HEIGHT.aT)*AREAFRAC.wT</f>
        <v>0.58968185833366038</v>
      </c>
      <c r="P952" s="451">
        <f>((DRYDEPaerosol.T+AerosolWashout.T+GasWashout.T+GASABS.aT.wT)/HEIGHT.aT)*AREAFRAC.wT</f>
        <v>0.58968185833366038</v>
      </c>
      <c r="Q952" s="452"/>
      <c r="R952" s="158"/>
    </row>
    <row r="953" spans="1:18" ht="12.75" customHeight="1" x14ac:dyDescent="0.3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0.25272032867837774</v>
      </c>
      <c r="M953" s="451">
        <f>((DRYDEPaerosol.T+AerosolWashout.T+GasWashout.T+GASABS.aT.sT)/HEIGHT.aT)*AREAFRAC.sT</f>
        <v>0.25272032867837774</v>
      </c>
      <c r="N953" s="451">
        <f>((DRYDEPaerosol.T+AerosolWashout.T+GasWashout.T+GASABS.aT.sT)/HEIGHT.aT)*AREAFRAC.sT</f>
        <v>0.25272032867837774</v>
      </c>
      <c r="O953" s="451">
        <f>((DRYDEPaerosol.T+AerosolWashout.T+GasWashout.T+GASABS.aT.sT)/HEIGHT.aT)*AREAFRAC.sT</f>
        <v>0.25272032867837774</v>
      </c>
      <c r="P953" s="451">
        <f>((DRYDEPaerosol.T+AerosolWashout.T+GasWashout.T+GASABS.aT.sT)/HEIGHT.aT)*AREAFRAC.sT</f>
        <v>0.25272032867837774</v>
      </c>
      <c r="Q953" s="452"/>
      <c r="R953" s="158"/>
    </row>
    <row r="954" spans="1:18" ht="12.75" customHeight="1" x14ac:dyDescent="0.3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3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3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3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3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3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3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3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3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4.2371770895409567E-4</v>
      </c>
      <c r="M962" s="451">
        <f>AEROSOLdeprate.T*FRaers.aT</f>
        <v>4.2371770895409567E-4</v>
      </c>
      <c r="N962" s="451">
        <f>AEROSOLdeprate.T*FRaers.aT</f>
        <v>4.2371770895409567E-4</v>
      </c>
      <c r="O962" s="451">
        <f>AEROSOLdeprate.T*FRaers.aT</f>
        <v>4.2371770895409567E-4</v>
      </c>
      <c r="P962" s="451">
        <f>AEROSOLdeprate.T*FRaers.aT</f>
        <v>4.2371770895409567E-4</v>
      </c>
      <c r="Q962" s="452"/>
      <c r="R962" s="158"/>
    </row>
    <row r="963" spans="1:18" ht="12.75" customHeight="1" x14ac:dyDescent="0.3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3.6955221500182653E-3</v>
      </c>
      <c r="M963" s="452">
        <f t="shared" si="29"/>
        <v>3.6955221500182653E-3</v>
      </c>
      <c r="N963" s="452">
        <f t="shared" si="29"/>
        <v>3.6955221500182653E-3</v>
      </c>
      <c r="O963" s="452">
        <f t="shared" si="29"/>
        <v>3.6955221500182653E-3</v>
      </c>
      <c r="P963" s="452">
        <f t="shared" si="29"/>
        <v>3.6955221500182653E-3</v>
      </c>
      <c r="Q963" s="452"/>
      <c r="R963" s="158"/>
    </row>
    <row r="964" spans="1:18" ht="12.75" customHeight="1" x14ac:dyDescent="0.3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50.540510804407361</v>
      </c>
      <c r="M964" s="452">
        <f t="shared" si="30"/>
        <v>50.540510804407361</v>
      </c>
      <c r="N964" s="452">
        <f t="shared" si="30"/>
        <v>50.540510804407361</v>
      </c>
      <c r="O964" s="452">
        <f t="shared" si="30"/>
        <v>50.540510804407361</v>
      </c>
      <c r="P964" s="452">
        <f t="shared" si="30"/>
        <v>50.540510804407361</v>
      </c>
      <c r="Q964" s="452"/>
      <c r="R964" s="158"/>
    </row>
    <row r="965" spans="1:18" ht="12.75" customHeight="1" x14ac:dyDescent="0.3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3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3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3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3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3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3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3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3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3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3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3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3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3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3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3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3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3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3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3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3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3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3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3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3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3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3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3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3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3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3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3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3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3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3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3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3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3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3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3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3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3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3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3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3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3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3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3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3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3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3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3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3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3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style="79" customWidth="1"/>
    <col min="8" max="8" width="10.6640625" style="79" customWidth="1"/>
    <col min="9" max="9" width="9.109375" style="357" customWidth="1"/>
    <col min="10" max="10" width="9.109375" style="432" customWidth="1"/>
    <col min="11" max="11" width="9.5546875" style="644" customWidth="1"/>
    <col min="12" max="12" width="14" style="644" customWidth="1"/>
    <col min="13" max="13" width="9.109375" customWidth="1"/>
    <col min="14" max="14" width="79.88671875" style="79" customWidth="1"/>
    <col min="15" max="15" width="2.6640625" customWidth="1"/>
  </cols>
  <sheetData>
    <row r="1" spans="1:15" ht="12.75" customHeight="1" x14ac:dyDescent="0.3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3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3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3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3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3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3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3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3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3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3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3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3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3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3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3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3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3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3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3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3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3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0.48985838853883401</v>
      </c>
      <c r="L60" s="636">
        <f t="shared" ref="L60:L65" si="2">IF(ISBLANK(I60),IF(ISNUMBER(J60)=FALSE,K60,J60),I60)</f>
        <v>0.48985838853883401</v>
      </c>
      <c r="M60" s="36" t="s">
        <v>486</v>
      </c>
      <c r="N60" s="36"/>
      <c r="O60" s="36"/>
    </row>
    <row r="61" spans="1:15" ht="12.75" customHeight="1" x14ac:dyDescent="0.3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0.13396161315396571</v>
      </c>
      <c r="L61" s="636">
        <f t="shared" si="2"/>
        <v>0.13396161315396571</v>
      </c>
      <c r="M61" s="36" t="s">
        <v>486</v>
      </c>
      <c r="N61" s="36" t="s">
        <v>2185</v>
      </c>
      <c r="O61" s="36"/>
    </row>
    <row r="62" spans="1:15" ht="12.75" customHeight="1" x14ac:dyDescent="0.3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0.37617999830720028</v>
      </c>
      <c r="L62" s="636">
        <f t="shared" si="2"/>
        <v>0.37617999830720028</v>
      </c>
      <c r="M62" s="36" t="s">
        <v>486</v>
      </c>
      <c r="N62" s="36" t="s">
        <v>2185</v>
      </c>
      <c r="O62" s="36"/>
    </row>
    <row r="63" spans="1:15" ht="12.75" customHeight="1" x14ac:dyDescent="0.3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7.3134142984054159E-11</v>
      </c>
      <c r="L63" s="636">
        <f t="shared" si="2"/>
        <v>7.3134142984054159E-11</v>
      </c>
      <c r="M63" s="36" t="s">
        <v>486</v>
      </c>
      <c r="N63" s="36"/>
      <c r="O63" s="36"/>
    </row>
    <row r="64" spans="1:15" ht="12.75" customHeight="1" x14ac:dyDescent="0.3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13673504046.092884</v>
      </c>
      <c r="L64" s="636">
        <f t="shared" si="2"/>
        <v>13673504046.092884</v>
      </c>
      <c r="M64" s="36" t="s">
        <v>486</v>
      </c>
      <c r="N64" s="36"/>
      <c r="O64" s="36"/>
    </row>
    <row r="65" spans="1:15" ht="12.75" customHeight="1" x14ac:dyDescent="0.3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38396810905.829605</v>
      </c>
      <c r="L65" s="636">
        <f t="shared" si="2"/>
        <v>38396810905.829605</v>
      </c>
      <c r="M65" s="36" t="s">
        <v>486</v>
      </c>
      <c r="N65" s="36" t="s">
        <v>924</v>
      </c>
      <c r="O65" s="36"/>
    </row>
    <row r="66" spans="1:15" ht="12.75" customHeight="1" x14ac:dyDescent="0.3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0.99998335721193932</v>
      </c>
      <c r="L66" s="636">
        <f>IF(ISBLANK(I66),IF(ISNUMBER(J66)=FALSE,K66,J66),I66)</f>
        <v>0.99998335721193932</v>
      </c>
      <c r="M66" s="36" t="s">
        <v>486</v>
      </c>
      <c r="N66" s="36"/>
      <c r="O66" s="36"/>
    </row>
    <row r="67" spans="1:15" ht="12.75" customHeight="1" x14ac:dyDescent="0.3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7.6861300956135628</v>
      </c>
      <c r="L67" s="636">
        <f>IF(ISBLANK(I67),IF(ISNUMBER(J67)=FALSE,K67,J67),I67)</f>
        <v>7.6861300956135628</v>
      </c>
      <c r="M67" s="36" t="s">
        <v>1498</v>
      </c>
      <c r="N67" s="36"/>
      <c r="O67" s="36"/>
    </row>
    <row r="68" spans="1:15" ht="12.75" customHeight="1" x14ac:dyDescent="0.3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3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3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12.8</v>
      </c>
      <c r="L70" s="636">
        <f>IF(ISBLANK(I70),IF(ISNUMBER(J70)=FALSE,K70,J70),I70)</f>
        <v>12.8</v>
      </c>
      <c r="M70" s="36" t="s">
        <v>1498</v>
      </c>
      <c r="N70" s="36"/>
      <c r="O70" s="36"/>
    </row>
    <row r="71" spans="1:15" ht="12.75" customHeight="1" x14ac:dyDescent="0.3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3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0.99987192445401252</v>
      </c>
      <c r="L72" s="636">
        <f t="shared" ref="L72:L104" si="3">IF(ISBLANK(I72),IF(ISNUMBER(J72)=FALSE,K72,J72),I72)</f>
        <v>0.99987192445401252</v>
      </c>
      <c r="M72" s="36" t="s">
        <v>486</v>
      </c>
      <c r="N72" s="36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7.6861300956135628</v>
      </c>
      <c r="L73" s="636">
        <f t="shared" si="3"/>
        <v>7.6861300956135628</v>
      </c>
      <c r="M73" s="36" t="s">
        <v>1498</v>
      </c>
      <c r="N73" s="36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12.8</v>
      </c>
      <c r="L76" s="636">
        <f t="shared" si="3"/>
        <v>12.8</v>
      </c>
      <c r="M76" s="36" t="s">
        <v>1498</v>
      </c>
      <c r="N76" s="36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3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0.99994877197396703</v>
      </c>
      <c r="L78" s="636">
        <f t="shared" si="3"/>
        <v>0.99994877197396703</v>
      </c>
      <c r="M78" s="36" t="s">
        <v>486</v>
      </c>
      <c r="N78" s="36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7.6861300956135628</v>
      </c>
      <c r="L79" s="636">
        <f t="shared" si="3"/>
        <v>7.6861300956135628</v>
      </c>
      <c r="M79" s="36" t="s">
        <v>1498</v>
      </c>
      <c r="N79" s="36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3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12.8</v>
      </c>
      <c r="L82" s="636">
        <f t="shared" si="3"/>
        <v>12.8</v>
      </c>
      <c r="M82" s="36" t="s">
        <v>1498</v>
      </c>
      <c r="N82" s="36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3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2.7215325239033903</v>
      </c>
      <c r="L84" s="636">
        <f t="shared" si="3"/>
        <v>2.7215325239033903</v>
      </c>
      <c r="M84" s="36" t="s">
        <v>486</v>
      </c>
      <c r="N84" s="36"/>
      <c r="O84" s="36"/>
    </row>
    <row r="85" spans="1:15" ht="12.75" customHeight="1" x14ac:dyDescent="0.3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3.8430650478067814</v>
      </c>
      <c r="L85" s="636">
        <f t="shared" si="3"/>
        <v>3.8430650478067814</v>
      </c>
      <c r="M85" s="36" t="s">
        <v>1498</v>
      </c>
      <c r="N85" s="36"/>
      <c r="O85" s="36"/>
    </row>
    <row r="86" spans="1:15" ht="12.75" customHeight="1" x14ac:dyDescent="0.3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3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2.7215325239033903</v>
      </c>
      <c r="L87" s="636">
        <f t="shared" si="3"/>
        <v>2.7215325239033903</v>
      </c>
      <c r="M87" s="29" t="s">
        <v>486</v>
      </c>
      <c r="N87" s="36"/>
      <c r="O87" s="36"/>
    </row>
    <row r="88" spans="1:15" ht="12.75" customHeight="1" x14ac:dyDescent="0.3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3.8430650478067814</v>
      </c>
      <c r="L88" s="636">
        <f t="shared" si="3"/>
        <v>3.8430650478067814</v>
      </c>
      <c r="M88" s="36" t="s">
        <v>1498</v>
      </c>
      <c r="N88" s="36"/>
      <c r="O88" s="36"/>
    </row>
    <row r="89" spans="1:15" ht="12.75" customHeight="1" x14ac:dyDescent="0.3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3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2.5058390286986958</v>
      </c>
      <c r="L90" s="636">
        <f t="shared" si="3"/>
        <v>2.5058390286986958</v>
      </c>
      <c r="M90" s="29" t="s">
        <v>486</v>
      </c>
      <c r="N90" s="36"/>
      <c r="O90" s="36"/>
    </row>
    <row r="91" spans="1:15" ht="12.75" customHeight="1" x14ac:dyDescent="0.3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7.9813586471219486E-2</v>
      </c>
      <c r="L91" s="636">
        <f t="shared" si="3"/>
        <v>7.9813586471219486E-2</v>
      </c>
      <c r="M91" s="29"/>
      <c r="N91" s="36"/>
      <c r="O91" s="36"/>
    </row>
    <row r="92" spans="1:15" ht="12.75" customHeight="1" x14ac:dyDescent="0.3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0.9201864135229435</v>
      </c>
      <c r="L92" s="636">
        <f t="shared" si="3"/>
        <v>0.9201864135229435</v>
      </c>
      <c r="M92" s="29"/>
      <c r="N92" s="36"/>
      <c r="O92" s="36"/>
    </row>
    <row r="93" spans="1:15" ht="12.75" customHeight="1" x14ac:dyDescent="0.3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1.5372260191227125</v>
      </c>
      <c r="L93" s="636">
        <f t="shared" si="3"/>
        <v>1.5372260191227125</v>
      </c>
      <c r="M93" s="36" t="s">
        <v>1498</v>
      </c>
      <c r="N93" s="36"/>
      <c r="O93" s="36"/>
    </row>
    <row r="94" spans="1:15" ht="12.75" customHeight="1" x14ac:dyDescent="0.3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3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2.5058390286986958</v>
      </c>
      <c r="L95" s="636">
        <f t="shared" si="3"/>
        <v>2.5058390286986958</v>
      </c>
      <c r="M95" s="29" t="s">
        <v>486</v>
      </c>
      <c r="N95" s="36"/>
      <c r="O95" s="36"/>
    </row>
    <row r="96" spans="1:15" ht="12.75" customHeight="1" x14ac:dyDescent="0.3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7.9813586471219486E-2</v>
      </c>
      <c r="L96" s="636">
        <f t="shared" si="3"/>
        <v>7.9813586471219486E-2</v>
      </c>
      <c r="M96" s="29" t="s">
        <v>486</v>
      </c>
      <c r="N96" s="36"/>
      <c r="O96" s="36"/>
    </row>
    <row r="97" spans="1:15" ht="12.75" customHeight="1" x14ac:dyDescent="0.3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0.9201864135229435</v>
      </c>
      <c r="L97" s="636">
        <f t="shared" si="3"/>
        <v>0.9201864135229435</v>
      </c>
      <c r="M97" s="5" t="s">
        <v>486</v>
      </c>
      <c r="N97" s="36"/>
      <c r="O97" s="36"/>
    </row>
    <row r="98" spans="1:15" ht="12.75" customHeight="1" x14ac:dyDescent="0.3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1.5372260191227125</v>
      </c>
      <c r="L98" s="636">
        <f t="shared" si="3"/>
        <v>1.5372260191227125</v>
      </c>
      <c r="M98" s="36" t="s">
        <v>1498</v>
      </c>
      <c r="N98" s="36"/>
      <c r="O98" s="36"/>
    </row>
    <row r="99" spans="1:15" ht="12.75" customHeight="1" x14ac:dyDescent="0.3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3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2.5058390286986958</v>
      </c>
      <c r="L100" s="636">
        <f t="shared" si="3"/>
        <v>2.5058390286986958</v>
      </c>
      <c r="M100" s="29" t="s">
        <v>486</v>
      </c>
      <c r="N100" s="36"/>
      <c r="O100" s="36"/>
    </row>
    <row r="101" spans="1:15" ht="12.75" customHeight="1" x14ac:dyDescent="0.3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7.9813586471219486E-2</v>
      </c>
      <c r="L101" s="636">
        <f t="shared" si="3"/>
        <v>7.9813586471219486E-2</v>
      </c>
      <c r="M101" s="29" t="s">
        <v>486</v>
      </c>
      <c r="N101" s="36"/>
      <c r="O101" s="36"/>
    </row>
    <row r="102" spans="1:15" ht="12.75" customHeight="1" x14ac:dyDescent="0.3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0.9201864135229435</v>
      </c>
      <c r="L102" s="636">
        <f t="shared" si="3"/>
        <v>0.9201864135229435</v>
      </c>
      <c r="M102" s="5" t="s">
        <v>486</v>
      </c>
      <c r="N102" s="36"/>
      <c r="O102" s="36"/>
    </row>
    <row r="103" spans="1:15" ht="12.75" customHeight="1" x14ac:dyDescent="0.3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1.5372260191227125</v>
      </c>
      <c r="L103" s="636">
        <f t="shared" si="3"/>
        <v>1.5372260191227125</v>
      </c>
      <c r="M103" s="36" t="s">
        <v>1498</v>
      </c>
      <c r="N103" s="36"/>
      <c r="O103" s="36"/>
    </row>
    <row r="104" spans="1:15" ht="12.75" customHeight="1" x14ac:dyDescent="0.3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3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3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3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3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2.042092426847822E-8</v>
      </c>
      <c r="L108" s="636">
        <f>IF(ISBLANK(I108),IF(ISNUMBER(J108)=FALSE,K108,J108),I108)</f>
        <v>2.042092426847822E-8</v>
      </c>
      <c r="M108" s="29" t="s">
        <v>1488</v>
      </c>
      <c r="N108" s="325"/>
      <c r="O108" s="36"/>
    </row>
    <row r="109" spans="1:15" ht="12.75" customHeight="1" x14ac:dyDescent="0.3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2.2463016695326045E-7</v>
      </c>
      <c r="L109" s="636">
        <f t="shared" ref="L109:L137" si="4">IF(ISBLANK(I109),IF(ISNUMBER(J109)=FALSE,K109,J109),I109)</f>
        <v>2.2463016695326045E-7</v>
      </c>
      <c r="M109" s="29" t="s">
        <v>1488</v>
      </c>
      <c r="N109" s="325"/>
      <c r="O109" s="36"/>
    </row>
    <row r="110" spans="1:15" ht="12.75" customHeight="1" x14ac:dyDescent="0.3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3.573684082509208E-8</v>
      </c>
      <c r="L110" s="636">
        <f t="shared" si="4"/>
        <v>3.573684082509208E-8</v>
      </c>
      <c r="M110" s="29" t="s">
        <v>1488</v>
      </c>
      <c r="N110" s="325"/>
      <c r="O110" s="36"/>
    </row>
    <row r="111" spans="1:15" ht="12.75" customHeight="1" x14ac:dyDescent="0.3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1.8333660620144195E-6</v>
      </c>
      <c r="L111" s="636">
        <f t="shared" si="4"/>
        <v>1.8333660620144195E-6</v>
      </c>
      <c r="M111" s="29" t="s">
        <v>1488</v>
      </c>
      <c r="N111" s="325"/>
      <c r="O111" s="36"/>
    </row>
    <row r="112" spans="1:15" ht="12.75" customHeight="1" x14ac:dyDescent="0.3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4.074146804476487E-6</v>
      </c>
      <c r="L112" s="636">
        <f t="shared" si="4"/>
        <v>4.074146804476487E-6</v>
      </c>
      <c r="M112" s="29" t="s">
        <v>1488</v>
      </c>
      <c r="N112" s="325"/>
      <c r="O112" s="36"/>
    </row>
    <row r="113" spans="1:15" ht="12.75" customHeight="1" x14ac:dyDescent="0.3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6.7902446741274783E-7</v>
      </c>
      <c r="L113" s="636">
        <f t="shared" si="4"/>
        <v>6.7902446741274783E-7</v>
      </c>
      <c r="M113" s="29" t="s">
        <v>1488</v>
      </c>
      <c r="N113" s="325"/>
      <c r="O113" s="36"/>
    </row>
    <row r="114" spans="1:15" ht="12.75" customHeight="1" x14ac:dyDescent="0.3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2.832628313446183E-15</v>
      </c>
      <c r="L114" s="636">
        <f>IF(ISBLANK(I114),IF(ISNUMBER(J114)=FALSE,K114,J114),I114)</f>
        <v>2.832628313446183E-15</v>
      </c>
      <c r="M114" s="29" t="s">
        <v>1488</v>
      </c>
      <c r="N114" s="325"/>
      <c r="O114" s="36"/>
    </row>
    <row r="115" spans="1:15" ht="12.75" customHeight="1" x14ac:dyDescent="0.3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9.4410422020256369E-14</v>
      </c>
      <c r="L115" s="636">
        <f t="shared" si="4"/>
        <v>9.4410422020256369E-14</v>
      </c>
      <c r="M115" s="29" t="s">
        <v>1488</v>
      </c>
      <c r="N115" s="325"/>
      <c r="O115" s="36"/>
    </row>
    <row r="116" spans="1:15" ht="12.75" customHeight="1" x14ac:dyDescent="0.3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2.8325303446914023E-14</v>
      </c>
      <c r="L116" s="636">
        <f t="shared" si="4"/>
        <v>2.8325303446914023E-14</v>
      </c>
      <c r="M116" s="29" t="s">
        <v>1488</v>
      </c>
      <c r="N116" s="325"/>
      <c r="O116" s="36"/>
    </row>
    <row r="117" spans="1:15" ht="12.75" customHeight="1" x14ac:dyDescent="0.3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7.7708326243272425E-13</v>
      </c>
      <c r="L117" s="636">
        <f t="shared" si="4"/>
        <v>7.7708326243272425E-13</v>
      </c>
      <c r="M117" s="29" t="s">
        <v>1488</v>
      </c>
      <c r="N117" s="325"/>
      <c r="O117" s="36"/>
    </row>
    <row r="118" spans="1:15" ht="12.75" customHeight="1" x14ac:dyDescent="0.3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3.5361502868102846E-13</v>
      </c>
      <c r="L118" s="636">
        <f t="shared" si="4"/>
        <v>3.5361502868102846E-13</v>
      </c>
      <c r="M118" s="29" t="s">
        <v>1488</v>
      </c>
      <c r="N118" s="325"/>
      <c r="O118" s="36"/>
    </row>
    <row r="119" spans="1:15" ht="12.75" customHeight="1" x14ac:dyDescent="0.3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7.7708326243272425E-13</v>
      </c>
      <c r="L119" s="636">
        <f t="shared" si="4"/>
        <v>7.7708326243272425E-13</v>
      </c>
      <c r="M119" s="29" t="s">
        <v>1488</v>
      </c>
      <c r="N119" s="325"/>
      <c r="O119" s="36"/>
    </row>
    <row r="120" spans="1:15" ht="12.75" customHeight="1" x14ac:dyDescent="0.3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6.3067576793670387E-6</v>
      </c>
      <c r="L120" s="636">
        <f t="shared" si="4"/>
        <v>6.3067576793670387E-6</v>
      </c>
      <c r="M120" s="29" t="s">
        <v>1488</v>
      </c>
      <c r="N120" s="325"/>
      <c r="O120" s="36"/>
    </row>
    <row r="121" spans="1:15" ht="12.75" customHeight="1" x14ac:dyDescent="0.3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1.7832879473444691E-5</v>
      </c>
      <c r="L121" s="636">
        <f t="shared" si="4"/>
        <v>1.7832879473444691E-5</v>
      </c>
      <c r="M121" s="29" t="s">
        <v>1488</v>
      </c>
      <c r="N121" s="325"/>
      <c r="O121" s="36"/>
    </row>
    <row r="122" spans="1:15" ht="12.75" customHeight="1" x14ac:dyDescent="0.3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1.2036263405538818E-5</v>
      </c>
      <c r="L122" s="636">
        <f t="shared" si="4"/>
        <v>1.2036263405538818E-5</v>
      </c>
      <c r="M122" s="29" t="s">
        <v>1488</v>
      </c>
      <c r="N122" s="325"/>
      <c r="O122" s="36"/>
    </row>
    <row r="123" spans="1:15" ht="12.75" customHeight="1" x14ac:dyDescent="0.3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2.4779780435349954</v>
      </c>
      <c r="L123" s="636">
        <f t="shared" si="4"/>
        <v>2.4779780435349954</v>
      </c>
      <c r="M123" s="29" t="s">
        <v>1488</v>
      </c>
      <c r="N123" s="325"/>
      <c r="O123" s="36"/>
    </row>
    <row r="124" spans="1:15" ht="12.75" customHeight="1" x14ac:dyDescent="0.3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3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3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5.1014161146116597E-4</v>
      </c>
      <c r="L126" s="636">
        <f t="shared" si="4"/>
        <v>5.1014161146116597E-4</v>
      </c>
      <c r="M126" s="29" t="s">
        <v>1490</v>
      </c>
      <c r="N126" s="325"/>
      <c r="O126" s="36"/>
    </row>
    <row r="127" spans="1:15" ht="12.75" customHeight="1" x14ac:dyDescent="0.3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2.7833375487806549E-2</v>
      </c>
      <c r="L127" s="636">
        <f t="shared" si="4"/>
        <v>2.7833375487806549E-2</v>
      </c>
      <c r="M127" s="29" t="s">
        <v>1490</v>
      </c>
      <c r="N127" s="325"/>
      <c r="O127" s="36"/>
    </row>
    <row r="128" spans="1:15" ht="12.75" customHeight="1" x14ac:dyDescent="0.3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2477.9386840377138</v>
      </c>
      <c r="L128" s="636">
        <f t="shared" si="4"/>
        <v>2477.9386840377138</v>
      </c>
      <c r="M128" s="29" t="s">
        <v>1490</v>
      </c>
      <c r="N128" s="325"/>
      <c r="O128" s="36"/>
    </row>
    <row r="129" spans="1:15" ht="12.75" customHeight="1" x14ac:dyDescent="0.3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3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3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1.8973488688493413E-3</v>
      </c>
      <c r="L131" s="636">
        <f t="shared" ref="L131:L134" si="5">IF(ISBLANK(I131),IF(ISNUMBER(J131)=FALSE,K131,J131),I131)</f>
        <v>1.8973488688493413E-3</v>
      </c>
      <c r="M131" s="36" t="s">
        <v>4047</v>
      </c>
      <c r="N131" s="325"/>
      <c r="O131" s="36"/>
    </row>
    <row r="132" spans="1:15" ht="12.75" customHeight="1" x14ac:dyDescent="0.3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5.1319450088166082E-4</v>
      </c>
      <c r="L132" s="636">
        <f t="shared" si="5"/>
        <v>5.1319450088166082E-4</v>
      </c>
      <c r="M132" s="36" t="s">
        <v>4047</v>
      </c>
      <c r="N132" s="325"/>
      <c r="O132" s="36"/>
    </row>
    <row r="133" spans="1:15" ht="12.75" customHeight="1" x14ac:dyDescent="0.3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2.8326283134461829E-13</v>
      </c>
      <c r="L133" s="636">
        <f t="shared" si="5"/>
        <v>2.8326283134461829E-13</v>
      </c>
      <c r="M133" s="36" t="s">
        <v>4047</v>
      </c>
      <c r="N133" s="325"/>
      <c r="O133" s="36"/>
    </row>
    <row r="134" spans="1:15" ht="12.75" customHeight="1" x14ac:dyDescent="0.3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2.8323126606076911E-13</v>
      </c>
      <c r="L134" s="636">
        <f t="shared" si="5"/>
        <v>2.8323126606076911E-13</v>
      </c>
      <c r="M134" s="36" t="s">
        <v>4047</v>
      </c>
      <c r="N134" s="325"/>
      <c r="O134" s="36"/>
    </row>
    <row r="135" spans="1:15" ht="12.75" customHeight="1" x14ac:dyDescent="0.3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2.8325303446914023E-13</v>
      </c>
      <c r="L135" s="636">
        <f t="shared" si="4"/>
        <v>2.8325303446914023E-13</v>
      </c>
      <c r="M135" s="36" t="s">
        <v>4047</v>
      </c>
      <c r="N135" s="325"/>
      <c r="O135" s="36"/>
    </row>
    <row r="136" spans="1:15" ht="12.75" customHeight="1" x14ac:dyDescent="0.3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3.8732601668996416E-3</v>
      </c>
      <c r="L136" s="636">
        <f t="shared" si="4"/>
        <v>3.8732601668996416E-3</v>
      </c>
      <c r="M136" s="29" t="s">
        <v>1490</v>
      </c>
      <c r="N136" s="325"/>
      <c r="O136" s="36"/>
    </row>
    <row r="137" spans="1:15" ht="12.75" customHeight="1" x14ac:dyDescent="0.3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4.6776192822663505E-6</v>
      </c>
      <c r="L137" s="636">
        <f t="shared" si="4"/>
        <v>4.6776192822663505E-6</v>
      </c>
      <c r="M137" s="29" t="s">
        <v>1490</v>
      </c>
      <c r="N137" s="325"/>
      <c r="O137" s="36"/>
    </row>
    <row r="138" spans="1:15" ht="12.75" customHeight="1" x14ac:dyDescent="0.3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3.8854163121636212E-14</v>
      </c>
      <c r="L138" s="636">
        <f t="shared" ref="L138:L145" si="6">IF(ISBLANK(I138),IF(ISNUMBER(J138)=FALSE,K138,J138),I138)</f>
        <v>3.8854163121636212E-14</v>
      </c>
      <c r="M138" s="36" t="s">
        <v>4047</v>
      </c>
      <c r="N138" s="325"/>
      <c r="O138" s="36"/>
    </row>
    <row r="139" spans="1:15" ht="12.75" customHeight="1" x14ac:dyDescent="0.3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7.0723005736205698E-14</v>
      </c>
      <c r="L139" s="636">
        <f t="shared" si="6"/>
        <v>7.0723005736205698E-14</v>
      </c>
      <c r="M139" s="36" t="s">
        <v>4047</v>
      </c>
      <c r="N139" s="325"/>
      <c r="O139" s="36"/>
    </row>
    <row r="140" spans="1:15" ht="12.75" customHeight="1" x14ac:dyDescent="0.3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3.8854163121636212E-14</v>
      </c>
      <c r="L140" s="636">
        <f t="shared" si="6"/>
        <v>3.8854163121636212E-14</v>
      </c>
      <c r="M140" s="36" t="s">
        <v>4047</v>
      </c>
      <c r="N140" s="325"/>
      <c r="O140" s="36"/>
    </row>
    <row r="141" spans="1:15" ht="12.75" customHeight="1" x14ac:dyDescent="0.3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3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2.6741789373454676E-10</v>
      </c>
      <c r="L142" s="636">
        <f t="shared" si="6"/>
        <v>2.6741789373454676E-10</v>
      </c>
      <c r="M142" s="29" t="s">
        <v>1490</v>
      </c>
      <c r="N142" s="325"/>
      <c r="O142" s="36"/>
    </row>
    <row r="143" spans="1:15" ht="12.75" customHeight="1" x14ac:dyDescent="0.3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3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3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3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3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1.0402439141446337E-8</v>
      </c>
      <c r="L147" s="636">
        <f t="shared" ref="L147:L167" si="7">IF(ISBLANK(I147),IF(ISNUMBER(J147)=FALSE,K147,J147),I147)</f>
        <v>1.0402439141446337E-8</v>
      </c>
      <c r="M147" s="29" t="s">
        <v>1488</v>
      </c>
      <c r="N147" s="642"/>
      <c r="O147" s="36"/>
    </row>
    <row r="148" spans="1:15" ht="12.75" customHeight="1" x14ac:dyDescent="0.3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2.8985833890664925E-9</v>
      </c>
      <c r="L148" s="636">
        <f t="shared" si="7"/>
        <v>2.8985833890664925E-9</v>
      </c>
      <c r="M148" s="29" t="s">
        <v>1488</v>
      </c>
      <c r="N148" s="36"/>
      <c r="O148" s="36"/>
    </row>
    <row r="149" spans="1:15" ht="12.75" customHeight="1" x14ac:dyDescent="0.3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3.6292048071500488E-7</v>
      </c>
      <c r="L149" s="636">
        <f t="shared" si="7"/>
        <v>3.6292048071500488E-7</v>
      </c>
      <c r="M149" s="29" t="s">
        <v>1488</v>
      </c>
      <c r="N149" s="36"/>
      <c r="O149" s="36"/>
    </row>
    <row r="150" spans="1:15" ht="12.75" customHeight="1" x14ac:dyDescent="0.3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3.4441239218126568E-7</v>
      </c>
      <c r="L150" s="636">
        <f t="shared" si="7"/>
        <v>3.4441239218126568E-7</v>
      </c>
      <c r="M150" s="29" t="s">
        <v>1488</v>
      </c>
      <c r="N150" s="36"/>
      <c r="O150" s="36"/>
    </row>
    <row r="151" spans="1:15" ht="12.75" customHeight="1" x14ac:dyDescent="0.3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3.705889640841514E-9</v>
      </c>
      <c r="L151" s="636">
        <f t="shared" si="7"/>
        <v>3.705889640841514E-9</v>
      </c>
      <c r="M151" s="36" t="s">
        <v>4047</v>
      </c>
      <c r="N151" s="325"/>
      <c r="O151" s="36"/>
    </row>
    <row r="152" spans="1:15" ht="12.75" customHeight="1" x14ac:dyDescent="0.3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3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1.482292419935412E-9</v>
      </c>
      <c r="L153" s="636">
        <f t="shared" si="7"/>
        <v>1.482292419935412E-9</v>
      </c>
      <c r="M153" s="36" t="s">
        <v>4047</v>
      </c>
      <c r="N153" s="325"/>
      <c r="O153" s="36"/>
    </row>
    <row r="154" spans="1:15" ht="12.75" customHeight="1" x14ac:dyDescent="0.3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3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3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3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3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3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3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3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3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2.7501427783497495E-8</v>
      </c>
      <c r="L162" s="636">
        <f t="shared" si="7"/>
        <v>2.7501427783497495E-8</v>
      </c>
      <c r="M162" s="36" t="s">
        <v>4047</v>
      </c>
      <c r="N162" s="36"/>
      <c r="O162" s="36"/>
    </row>
    <row r="163" spans="1:15" ht="12.75" customHeight="1" x14ac:dyDescent="0.3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1.0106419913586117E-8</v>
      </c>
      <c r="L163" s="636">
        <f t="shared" si="7"/>
        <v>1.0106419913586117E-8</v>
      </c>
      <c r="M163" s="36" t="s">
        <v>4047</v>
      </c>
      <c r="N163" s="36"/>
      <c r="O163" s="36"/>
    </row>
    <row r="164" spans="1:15" ht="12.75" customHeight="1" x14ac:dyDescent="0.3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2.7503541470729513E-8</v>
      </c>
      <c r="L164" s="636">
        <f t="shared" si="7"/>
        <v>2.7503541470729513E-8</v>
      </c>
      <c r="M164" s="36" t="s">
        <v>4047</v>
      </c>
      <c r="N164" s="36"/>
      <c r="O164" s="36"/>
    </row>
    <row r="165" spans="1:15" ht="12.75" customHeight="1" x14ac:dyDescent="0.3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1.0106419913586117E-8</v>
      </c>
      <c r="L165" s="636">
        <f t="shared" si="7"/>
        <v>1.0106419913586117E-8</v>
      </c>
      <c r="M165" s="36" t="s">
        <v>4047</v>
      </c>
      <c r="N165" s="36"/>
      <c r="O165" s="36"/>
    </row>
    <row r="166" spans="1:15" ht="12.75" customHeight="1" x14ac:dyDescent="0.3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3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3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3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5.1613740675410114E-8</v>
      </c>
      <c r="L169" s="636">
        <f t="shared" ref="L169:L183" si="8">IF(ISBLANK(I169),IF(ISNUMBER(J169)=FALSE,K169,J169),I169)</f>
        <v>5.1613740675410114E-8</v>
      </c>
      <c r="M169" s="29" t="s">
        <v>1488</v>
      </c>
      <c r="N169" s="36"/>
      <c r="O169" s="36"/>
    </row>
    <row r="170" spans="1:15" ht="12.75" customHeight="1" x14ac:dyDescent="0.3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2.3487051222970356E-8</v>
      </c>
      <c r="L170" s="636">
        <f t="shared" si="8"/>
        <v>2.3487051222970356E-8</v>
      </c>
      <c r="M170" s="29" t="s">
        <v>1488</v>
      </c>
      <c r="N170" s="36"/>
      <c r="O170" s="36"/>
    </row>
    <row r="171" spans="1:15" ht="12.75" customHeight="1" x14ac:dyDescent="0.3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5.1613740675410114E-8</v>
      </c>
      <c r="L171" s="636">
        <f t="shared" si="8"/>
        <v>5.1613740675410114E-8</v>
      </c>
      <c r="M171" s="29" t="s">
        <v>1488</v>
      </c>
      <c r="N171" s="36"/>
      <c r="O171" s="36"/>
    </row>
    <row r="172" spans="1:15" ht="12.75" customHeight="1" x14ac:dyDescent="0.3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4.6921582432191008E-9</v>
      </c>
      <c r="L172" s="636">
        <f t="shared" si="8"/>
        <v>4.6921582432191008E-9</v>
      </c>
      <c r="M172" s="29" t="s">
        <v>1488</v>
      </c>
      <c r="N172" s="36"/>
      <c r="O172" s="36"/>
    </row>
    <row r="173" spans="1:15" ht="12.75" customHeight="1" x14ac:dyDescent="0.3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2.1351864748154871E-9</v>
      </c>
      <c r="L173" s="636">
        <f t="shared" si="8"/>
        <v>2.1351864748154871E-9</v>
      </c>
      <c r="M173" s="29" t="s">
        <v>1488</v>
      </c>
      <c r="N173" s="36"/>
      <c r="O173" s="36"/>
    </row>
    <row r="174" spans="1:15" ht="12.75" customHeight="1" x14ac:dyDescent="0.3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4.6921582432191008E-9</v>
      </c>
      <c r="L174" s="636">
        <f t="shared" si="8"/>
        <v>4.6921582432191008E-9</v>
      </c>
      <c r="M174" s="29" t="s">
        <v>1488</v>
      </c>
      <c r="N174" s="36"/>
      <c r="O174" s="36"/>
    </row>
    <row r="175" spans="1:15" ht="12.75" customHeight="1" x14ac:dyDescent="0.3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3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3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3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3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3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3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3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3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3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3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3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3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1.5457777937268982E-6</v>
      </c>
      <c r="L187" s="636">
        <f t="shared" ref="L187:L211" si="9">IF(ISBLANK(I187),IF(ISNUMBER(J187)=FALSE,K187,J187),I187)</f>
        <v>1.5457777937268982E-6</v>
      </c>
      <c r="M187" s="29" t="s">
        <v>1488</v>
      </c>
      <c r="N187" s="36"/>
      <c r="O187" s="36"/>
    </row>
    <row r="188" spans="1:15" ht="12.75" customHeight="1" x14ac:dyDescent="0.3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2.1524330272611406E-10</v>
      </c>
      <c r="L188" s="636">
        <f>IF(ISBLANK(I188),IF(ISNUMBER(J188)=FALSE,K188,J188),I188)</f>
        <v>2.1524330272611406E-10</v>
      </c>
      <c r="M188" s="29" t="s">
        <v>1488</v>
      </c>
      <c r="N188" s="36"/>
      <c r="O188" s="36"/>
    </row>
    <row r="189" spans="1:15" ht="12.75" customHeight="1" x14ac:dyDescent="0.3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2.1521931717207951E-10</v>
      </c>
      <c r="L189" s="636">
        <f t="shared" si="9"/>
        <v>2.1521931717207951E-10</v>
      </c>
      <c r="M189" s="29" t="s">
        <v>1488</v>
      </c>
      <c r="N189" s="36"/>
      <c r="O189" s="36"/>
    </row>
    <row r="190" spans="1:15" ht="12.75" customHeight="1" x14ac:dyDescent="0.3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2.1523585836137233E-10</v>
      </c>
      <c r="L190" s="636">
        <f t="shared" si="9"/>
        <v>2.1523585836137233E-10</v>
      </c>
      <c r="M190" s="29" t="s">
        <v>1488</v>
      </c>
      <c r="N190" s="36"/>
      <c r="O190" s="36"/>
    </row>
    <row r="191" spans="1:15" ht="12.75" customHeight="1" x14ac:dyDescent="0.3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3.1627861501187856E-9</v>
      </c>
      <c r="L191" s="636">
        <f t="shared" si="9"/>
        <v>3.1627861501187856E-9</v>
      </c>
      <c r="M191" s="29" t="s">
        <v>1488</v>
      </c>
      <c r="N191" s="36"/>
      <c r="O191" s="36"/>
    </row>
    <row r="192" spans="1:15" ht="12.75" customHeight="1" x14ac:dyDescent="0.3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2.38075122706788E-9</v>
      </c>
      <c r="L192" s="636">
        <f t="shared" si="9"/>
        <v>2.38075122706788E-9</v>
      </c>
      <c r="M192" s="29" t="s">
        <v>1488</v>
      </c>
      <c r="N192" s="36"/>
      <c r="O192" s="36"/>
    </row>
    <row r="193" spans="1:15" ht="12.75" customHeight="1" x14ac:dyDescent="0.3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3.0534021961477695E-9</v>
      </c>
      <c r="L193" s="636">
        <f t="shared" si="9"/>
        <v>3.0534021961477695E-9</v>
      </c>
      <c r="M193" s="29" t="s">
        <v>1488</v>
      </c>
      <c r="N193" s="36"/>
      <c r="O193" s="36"/>
    </row>
    <row r="194" spans="1:15" ht="12.75" customHeight="1" x14ac:dyDescent="0.3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2.8467460868656887E-9</v>
      </c>
      <c r="L194" s="636">
        <f t="shared" si="9"/>
        <v>2.8467460868656887E-9</v>
      </c>
      <c r="M194" s="29" t="s">
        <v>1488</v>
      </c>
      <c r="N194" s="36"/>
      <c r="O194" s="36"/>
    </row>
    <row r="195" spans="1:15" ht="12.75" customHeight="1" x14ac:dyDescent="0.3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3.0534021961477695E-9</v>
      </c>
      <c r="L195" s="636">
        <f t="shared" si="9"/>
        <v>3.0534021961477695E-9</v>
      </c>
      <c r="M195" s="29" t="s">
        <v>1488</v>
      </c>
      <c r="N195" s="36"/>
      <c r="O195" s="36"/>
    </row>
    <row r="196" spans="1:15" ht="12.75" customHeight="1" x14ac:dyDescent="0.3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3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1.54541146784507E-6</v>
      </c>
      <c r="L197" s="636">
        <f t="shared" si="9"/>
        <v>1.54541146784507E-6</v>
      </c>
      <c r="M197" s="36" t="s">
        <v>1488</v>
      </c>
      <c r="N197" s="36"/>
      <c r="O197" s="36"/>
    </row>
    <row r="198" spans="1:15" ht="12.75" customHeight="1" x14ac:dyDescent="0.3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3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3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2.1524330272611406E-10</v>
      </c>
      <c r="L200" s="636">
        <f>IF(ISBLANK(I200),IF(ISNUMBER(J200)=FALSE,K200,J200),I200)</f>
        <v>2.1524330272611406E-10</v>
      </c>
      <c r="M200" s="36" t="s">
        <v>1488</v>
      </c>
      <c r="N200" s="36"/>
      <c r="O200" s="36"/>
    </row>
    <row r="201" spans="1:15" ht="12.75" customHeight="1" x14ac:dyDescent="0.3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2.1521931717207951E-10</v>
      </c>
      <c r="L201" s="636">
        <f t="shared" si="9"/>
        <v>2.1521931717207951E-10</v>
      </c>
      <c r="M201" s="36" t="s">
        <v>1488</v>
      </c>
      <c r="N201" s="36"/>
      <c r="O201" s="36"/>
    </row>
    <row r="202" spans="1:15" ht="12.75" customHeight="1" x14ac:dyDescent="0.3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2.1523585836137233E-10</v>
      </c>
      <c r="L202" s="636">
        <f t="shared" si="9"/>
        <v>2.1523585836137233E-10</v>
      </c>
      <c r="M202" s="36" t="s">
        <v>1488</v>
      </c>
      <c r="N202" s="36"/>
      <c r="O202" s="36"/>
    </row>
    <row r="203" spans="1:15" ht="12.75" customHeight="1" x14ac:dyDescent="0.3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3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3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3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3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2.6741789373454681E-10</v>
      </c>
      <c r="L207" s="636">
        <f t="shared" si="9"/>
        <v>2.6741789373454681E-10</v>
      </c>
      <c r="M207" s="36" t="s">
        <v>1488</v>
      </c>
      <c r="N207" s="36"/>
      <c r="O207" s="36"/>
    </row>
    <row r="208" spans="1:15" ht="12.75" customHeight="1" x14ac:dyDescent="0.3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2.6741789373454681E-10</v>
      </c>
      <c r="L208" s="636">
        <f t="shared" si="9"/>
        <v>2.6741789373454681E-10</v>
      </c>
      <c r="M208" s="36" t="s">
        <v>1488</v>
      </c>
      <c r="N208" s="36"/>
      <c r="O208" s="36"/>
    </row>
    <row r="209" spans="1:15" ht="12.75" customHeight="1" x14ac:dyDescent="0.3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2.6741789373454676E-9</v>
      </c>
      <c r="L209" s="636">
        <f t="shared" si="9"/>
        <v>2.6741789373454676E-9</v>
      </c>
      <c r="M209" s="36" t="s">
        <v>1488</v>
      </c>
      <c r="N209" s="36"/>
      <c r="O209" s="36"/>
    </row>
    <row r="210" spans="1:15" ht="12.75" customHeight="1" x14ac:dyDescent="0.3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2.6741789373454676E-9</v>
      </c>
      <c r="L210" s="636">
        <f t="shared" si="9"/>
        <v>2.6741789373454676E-9</v>
      </c>
      <c r="M210" s="36" t="s">
        <v>1488</v>
      </c>
      <c r="N210" s="36"/>
      <c r="O210" s="36"/>
    </row>
    <row r="211" spans="1:15" ht="12.75" customHeight="1" x14ac:dyDescent="0.3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2.6741789373454676E-9</v>
      </c>
      <c r="L211" s="636">
        <f t="shared" si="9"/>
        <v>2.6741789373454676E-9</v>
      </c>
      <c r="M211" s="36" t="s">
        <v>1488</v>
      </c>
      <c r="N211" s="36"/>
      <c r="O211" s="36"/>
    </row>
    <row r="212" spans="1:15" ht="12.75" customHeight="1" x14ac:dyDescent="0.3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3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3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3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3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3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3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3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abSelected="1" topLeftCell="A139" zoomScaleNormal="100" workbookViewId="0">
      <selection activeCell="K145" sqref="K14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customWidth="1"/>
    <col min="9" max="11" width="9.109375" style="644" customWidth="1"/>
    <col min="12" max="12" width="12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3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3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3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3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3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3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3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3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3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3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3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3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3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3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3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3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3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3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3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3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3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3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3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3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3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3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3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3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3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3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3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3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3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3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3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3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3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3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3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3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3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3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3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3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3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3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3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3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3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3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3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3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3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3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3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3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3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3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3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3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3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3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0.48985838853883401</v>
      </c>
      <c r="L66" s="636">
        <f t="shared" ref="L66:L110" si="2">IF(ISBLANK(I66),IF(ISNUMBER(J66)=FALSE,K66,J66),I66)</f>
        <v>0.48985838853883401</v>
      </c>
      <c r="M66" s="20" t="s">
        <v>486</v>
      </c>
      <c r="N66" s="36"/>
      <c r="O66" s="36"/>
    </row>
    <row r="67" spans="1:15" ht="12.75" customHeight="1" x14ac:dyDescent="0.3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0.13396161315396571</v>
      </c>
      <c r="L67" s="636">
        <f t="shared" si="2"/>
        <v>0.13396161315396571</v>
      </c>
      <c r="M67" s="36" t="s">
        <v>486</v>
      </c>
      <c r="N67" s="29" t="s">
        <v>2185</v>
      </c>
      <c r="O67" s="36"/>
    </row>
    <row r="68" spans="1:15" ht="12.75" customHeight="1" x14ac:dyDescent="0.3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0.37617999830720028</v>
      </c>
      <c r="L68" s="636">
        <f t="shared" si="2"/>
        <v>0.37617999830720028</v>
      </c>
      <c r="M68" s="36" t="s">
        <v>486</v>
      </c>
      <c r="N68" s="29" t="s">
        <v>2185</v>
      </c>
      <c r="O68" s="36"/>
    </row>
    <row r="69" spans="1:15" ht="12.75" customHeight="1" x14ac:dyDescent="0.3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7.3134142984054159E-11</v>
      </c>
      <c r="L69" s="636">
        <f t="shared" ref="L69:L71" si="3">IF(ISBLANK(I69),IF(ISNUMBER(J69)=FALSE,K69,J69),I69)</f>
        <v>7.3134142984054159E-11</v>
      </c>
      <c r="M69" s="36" t="s">
        <v>486</v>
      </c>
      <c r="N69" s="29"/>
      <c r="O69" s="36"/>
    </row>
    <row r="70" spans="1:15" ht="12.75" customHeight="1" x14ac:dyDescent="0.3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13673504046.092884</v>
      </c>
      <c r="L70" s="636">
        <f t="shared" si="3"/>
        <v>13673504046.092884</v>
      </c>
      <c r="M70" s="36" t="s">
        <v>486</v>
      </c>
      <c r="N70" s="29"/>
      <c r="O70" s="36"/>
    </row>
    <row r="71" spans="1:15" ht="12.75" customHeight="1" x14ac:dyDescent="0.3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38396810905.829605</v>
      </c>
      <c r="L71" s="636">
        <f t="shared" si="3"/>
        <v>38396810905.829605</v>
      </c>
      <c r="M71" s="36" t="s">
        <v>486</v>
      </c>
      <c r="N71" s="29" t="s">
        <v>924</v>
      </c>
      <c r="O71" s="36"/>
    </row>
    <row r="72" spans="1:15" ht="12.75" customHeight="1" x14ac:dyDescent="0.3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0.99998335721193932</v>
      </c>
      <c r="L72" s="636">
        <f t="shared" si="2"/>
        <v>0.99998335721193932</v>
      </c>
      <c r="M72" s="36" t="s">
        <v>486</v>
      </c>
      <c r="N72" s="29"/>
      <c r="O72" s="36"/>
    </row>
    <row r="73" spans="1:15" ht="12.75" customHeight="1" x14ac:dyDescent="0.3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7.6861300956135628</v>
      </c>
      <c r="L73" s="636">
        <f t="shared" si="2"/>
        <v>7.6861300956135628</v>
      </c>
      <c r="M73" s="36" t="s">
        <v>1498</v>
      </c>
      <c r="N73" s="29"/>
      <c r="O73" s="36"/>
    </row>
    <row r="74" spans="1:15" ht="12.75" customHeight="1" x14ac:dyDescent="0.3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3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3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12.8</v>
      </c>
      <c r="L76" s="636">
        <f>IF(ISBLANK(I76),IF(ISNUMBER(J76)=FALSE,K76,J76),I76)</f>
        <v>12.8</v>
      </c>
      <c r="M76" s="36" t="s">
        <v>1498</v>
      </c>
      <c r="N76" s="29"/>
      <c r="O76" s="36"/>
    </row>
    <row r="77" spans="1:15" ht="12.75" customHeight="1" x14ac:dyDescent="0.3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3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0.99987192445401252</v>
      </c>
      <c r="L78" s="646">
        <f t="shared" si="2"/>
        <v>0.99987192445401252</v>
      </c>
      <c r="M78" s="36" t="s">
        <v>486</v>
      </c>
      <c r="N78" s="29"/>
      <c r="O78" s="36"/>
    </row>
    <row r="79" spans="1:15" ht="12.75" customHeight="1" x14ac:dyDescent="0.3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7.6861300956135628</v>
      </c>
      <c r="L79" s="636">
        <f t="shared" si="2"/>
        <v>7.6861300956135628</v>
      </c>
      <c r="M79" s="36" t="s">
        <v>1498</v>
      </c>
      <c r="N79" s="29"/>
      <c r="O79" s="36"/>
    </row>
    <row r="80" spans="1:15" ht="12.75" customHeight="1" x14ac:dyDescent="0.3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3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3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12.8</v>
      </c>
      <c r="L82" s="636">
        <f t="shared" si="2"/>
        <v>12.8</v>
      </c>
      <c r="M82" s="36" t="s">
        <v>1498</v>
      </c>
      <c r="N82" s="29"/>
      <c r="O82" s="36"/>
    </row>
    <row r="83" spans="1:15" ht="12.75" customHeight="1" x14ac:dyDescent="0.3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3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0.99994877197396703</v>
      </c>
      <c r="L84" s="636">
        <f t="shared" si="2"/>
        <v>0.99994877197396703</v>
      </c>
      <c r="M84" s="36" t="s">
        <v>486</v>
      </c>
      <c r="N84" s="29"/>
      <c r="O84" s="36"/>
    </row>
    <row r="85" spans="1:15" ht="12.75" customHeight="1" x14ac:dyDescent="0.3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7.6861300956135628</v>
      </c>
      <c r="L85" s="636">
        <f t="shared" si="2"/>
        <v>7.6861300956135628</v>
      </c>
      <c r="M85" s="36" t="s">
        <v>1498</v>
      </c>
      <c r="N85" s="29"/>
      <c r="O85" s="36"/>
    </row>
    <row r="86" spans="1:15" ht="12.75" customHeight="1" x14ac:dyDescent="0.3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3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3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12.8</v>
      </c>
      <c r="L88" s="636">
        <f t="shared" si="2"/>
        <v>12.8</v>
      </c>
      <c r="M88" s="36" t="s">
        <v>1498</v>
      </c>
      <c r="N88" s="29"/>
      <c r="O88" s="36"/>
    </row>
    <row r="89" spans="1:15" ht="12.75" customHeight="1" x14ac:dyDescent="0.3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3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2.7215325239033903</v>
      </c>
      <c r="L90" s="636">
        <f t="shared" si="2"/>
        <v>2.7215325239033903</v>
      </c>
      <c r="M90" s="36" t="s">
        <v>486</v>
      </c>
      <c r="N90" s="29"/>
      <c r="O90" s="36"/>
    </row>
    <row r="91" spans="1:15" ht="12.75" customHeight="1" x14ac:dyDescent="0.3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3.8430650478067814</v>
      </c>
      <c r="L91" s="636">
        <f t="shared" si="2"/>
        <v>3.8430650478067814</v>
      </c>
      <c r="M91" s="36" t="s">
        <v>1498</v>
      </c>
      <c r="N91" s="29"/>
      <c r="O91" s="36"/>
    </row>
    <row r="92" spans="1:15" ht="12.75" customHeight="1" x14ac:dyDescent="0.3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3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2.7215325239033903</v>
      </c>
      <c r="L93" s="636">
        <f t="shared" si="2"/>
        <v>2.7215325239033903</v>
      </c>
      <c r="M93" s="29" t="s">
        <v>486</v>
      </c>
      <c r="N93" s="29"/>
      <c r="O93" s="36"/>
    </row>
    <row r="94" spans="1:15" ht="12.75" customHeight="1" x14ac:dyDescent="0.3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3.8430650478067814</v>
      </c>
      <c r="L94" s="636">
        <f t="shared" si="2"/>
        <v>3.8430650478067814</v>
      </c>
      <c r="M94" s="36" t="s">
        <v>1498</v>
      </c>
      <c r="N94" s="29"/>
      <c r="O94" s="36"/>
    </row>
    <row r="95" spans="1:15" ht="12.75" customHeight="1" x14ac:dyDescent="0.3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3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2.5058390286986958</v>
      </c>
      <c r="L96" s="636">
        <f t="shared" si="2"/>
        <v>2.5058390286986958</v>
      </c>
      <c r="M96" s="29" t="s">
        <v>486</v>
      </c>
      <c r="N96" s="29"/>
      <c r="O96" s="36"/>
    </row>
    <row r="97" spans="1:15" ht="12.75" customHeight="1" x14ac:dyDescent="0.3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7.9813586471219486E-2</v>
      </c>
      <c r="L97" s="636">
        <f t="shared" si="2"/>
        <v>7.9813586471219486E-2</v>
      </c>
      <c r="M97" s="29" t="s">
        <v>486</v>
      </c>
      <c r="N97" s="29"/>
      <c r="O97" s="36"/>
    </row>
    <row r="98" spans="1:15" ht="12.75" customHeight="1" x14ac:dyDescent="0.3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0.9201864135229435</v>
      </c>
      <c r="L98" s="636">
        <f t="shared" si="2"/>
        <v>0.9201864135229435</v>
      </c>
      <c r="M98" s="5" t="s">
        <v>486</v>
      </c>
      <c r="N98" s="29"/>
      <c r="O98" s="36"/>
    </row>
    <row r="99" spans="1:15" ht="12.75" customHeight="1" x14ac:dyDescent="0.3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1.5372260191227125</v>
      </c>
      <c r="L99" s="636">
        <f t="shared" si="2"/>
        <v>1.5372260191227125</v>
      </c>
      <c r="M99" s="36" t="s">
        <v>1498</v>
      </c>
      <c r="N99" s="29"/>
      <c r="O99" s="36"/>
    </row>
    <row r="100" spans="1:15" ht="12.75" customHeight="1" x14ac:dyDescent="0.3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3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2.5058390286986958</v>
      </c>
      <c r="L101" s="636">
        <f t="shared" si="2"/>
        <v>2.5058390286986958</v>
      </c>
      <c r="M101" s="29" t="s">
        <v>486</v>
      </c>
      <c r="N101" s="29"/>
      <c r="O101" s="36"/>
    </row>
    <row r="102" spans="1:15" ht="12.75" customHeight="1" x14ac:dyDescent="0.3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7.9813586471219486E-2</v>
      </c>
      <c r="L102" s="636">
        <f t="shared" si="2"/>
        <v>7.9813586471219486E-2</v>
      </c>
      <c r="M102" s="29" t="s">
        <v>486</v>
      </c>
      <c r="N102" s="29"/>
      <c r="O102" s="36"/>
    </row>
    <row r="103" spans="1:15" ht="12.75" customHeight="1" x14ac:dyDescent="0.3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0.9201864135229435</v>
      </c>
      <c r="L103" s="636">
        <f t="shared" si="2"/>
        <v>0.9201864135229435</v>
      </c>
      <c r="M103" s="36" t="s">
        <v>486</v>
      </c>
      <c r="N103" s="29"/>
      <c r="O103" s="36"/>
    </row>
    <row r="104" spans="1:15" ht="12.75" customHeight="1" x14ac:dyDescent="0.3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1.5372260191227125</v>
      </c>
      <c r="L104" s="636">
        <f t="shared" si="2"/>
        <v>1.5372260191227125</v>
      </c>
      <c r="M104" s="36" t="s">
        <v>1498</v>
      </c>
      <c r="N104" s="29"/>
      <c r="O104" s="36"/>
    </row>
    <row r="105" spans="1:15" ht="12.75" customHeight="1" x14ac:dyDescent="0.3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3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2.5058390286986958</v>
      </c>
      <c r="L106" s="636">
        <f t="shared" si="2"/>
        <v>2.5058390286986958</v>
      </c>
      <c r="M106" s="29" t="s">
        <v>486</v>
      </c>
      <c r="N106" s="29"/>
      <c r="O106" s="36"/>
    </row>
    <row r="107" spans="1:15" ht="12.75" customHeight="1" x14ac:dyDescent="0.3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7.9813586471219486E-2</v>
      </c>
      <c r="L107" s="636">
        <f t="shared" si="2"/>
        <v>7.9813586471219486E-2</v>
      </c>
      <c r="M107" s="29" t="s">
        <v>486</v>
      </c>
      <c r="N107" s="29"/>
      <c r="O107" s="36"/>
    </row>
    <row r="108" spans="1:15" ht="12.75" customHeight="1" x14ac:dyDescent="0.3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0.9201864135229435</v>
      </c>
      <c r="L108" s="636">
        <f t="shared" si="2"/>
        <v>0.9201864135229435</v>
      </c>
      <c r="M108" s="36" t="s">
        <v>486</v>
      </c>
      <c r="N108" s="29"/>
      <c r="O108" s="36"/>
    </row>
    <row r="109" spans="1:15" ht="12.75" customHeight="1" x14ac:dyDescent="0.3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1.5372260191227125</v>
      </c>
      <c r="L109" s="636">
        <f t="shared" si="2"/>
        <v>1.5372260191227125</v>
      </c>
      <c r="M109" s="36" t="s">
        <v>1498</v>
      </c>
      <c r="N109" s="29"/>
      <c r="O109" s="36"/>
    </row>
    <row r="110" spans="1:15" ht="12.75" customHeight="1" x14ac:dyDescent="0.3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3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3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3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3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1.0647608174708385E-8</v>
      </c>
      <c r="L114" s="636">
        <f>IF(ISBLANK(I114),IF(ISNUMBER(J114)=FALSE,K114,J114),I114)</f>
        <v>1.0647608174708385E-8</v>
      </c>
      <c r="M114" s="29" t="s">
        <v>1488</v>
      </c>
      <c r="N114" s="29"/>
      <c r="O114" s="36"/>
    </row>
    <row r="115" spans="1:15" ht="12.75" customHeight="1" x14ac:dyDescent="0.3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1.1712368992179221E-7</v>
      </c>
      <c r="L115" s="636">
        <f t="shared" ref="L115:L136" si="4">IF(ISBLANK(I115),IF(ISNUMBER(J115)=FALSE,K115,J115),I115)</f>
        <v>1.1712368992179221E-7</v>
      </c>
      <c r="M115" s="29" t="s">
        <v>1488</v>
      </c>
      <c r="N115" s="29"/>
      <c r="O115" s="36"/>
    </row>
    <row r="116" spans="1:15" ht="12.75" customHeight="1" x14ac:dyDescent="0.3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4.537091165635125E-6</v>
      </c>
      <c r="L116" s="636">
        <f t="shared" si="4"/>
        <v>4.537091165635125E-6</v>
      </c>
      <c r="M116" s="29" t="s">
        <v>1488</v>
      </c>
      <c r="N116" s="29"/>
      <c r="O116" s="36"/>
    </row>
    <row r="117" spans="1:15" ht="12.75" customHeight="1" x14ac:dyDescent="0.3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9.6898755865419947E-7</v>
      </c>
      <c r="L117" s="636">
        <f t="shared" si="4"/>
        <v>9.6898755865419947E-7</v>
      </c>
      <c r="M117" s="29" t="s">
        <v>1488</v>
      </c>
      <c r="N117" s="29"/>
      <c r="O117" s="36"/>
    </row>
    <row r="118" spans="1:15" ht="12.75" customHeight="1" x14ac:dyDescent="0.3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2.1533056858982208E-6</v>
      </c>
      <c r="L118" s="636">
        <f t="shared" si="4"/>
        <v>2.1533056858982208E-6</v>
      </c>
      <c r="M118" s="29" t="s">
        <v>1488</v>
      </c>
      <c r="N118" s="29"/>
      <c r="O118" s="36"/>
    </row>
    <row r="119" spans="1:15" ht="12.75" customHeight="1" x14ac:dyDescent="0.3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3.5888428098303675E-7</v>
      </c>
      <c r="L119" s="636">
        <f t="shared" si="4"/>
        <v>3.5888428098303675E-7</v>
      </c>
      <c r="M119" s="29" t="s">
        <v>1488</v>
      </c>
      <c r="N119" s="29"/>
      <c r="O119" s="36"/>
    </row>
    <row r="120" spans="1:15" ht="12.75" customHeight="1" x14ac:dyDescent="0.3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2.832628313446183E-15</v>
      </c>
      <c r="L120" s="636">
        <f>IF(ISBLANK(I120),IF(ISNUMBER(J120)=FALSE,K120,J120),I120)</f>
        <v>2.832628313446183E-15</v>
      </c>
      <c r="M120" s="29" t="s">
        <v>1488</v>
      </c>
      <c r="N120" s="29"/>
      <c r="O120" s="36"/>
    </row>
    <row r="121" spans="1:15" ht="12.75" customHeight="1" x14ac:dyDescent="0.3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9.4410422020256369E-14</v>
      </c>
      <c r="L121" s="636">
        <f t="shared" si="4"/>
        <v>9.4410422020256369E-14</v>
      </c>
      <c r="M121" s="29" t="s">
        <v>1488</v>
      </c>
      <c r="N121" s="29"/>
      <c r="O121" s="36"/>
    </row>
    <row r="122" spans="1:15" ht="12.75" customHeight="1" x14ac:dyDescent="0.3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1.4162651723457011E-15</v>
      </c>
      <c r="L122" s="636">
        <f t="shared" si="4"/>
        <v>1.4162651723457011E-15</v>
      </c>
      <c r="M122" s="29" t="s">
        <v>1488</v>
      </c>
      <c r="N122" s="29"/>
      <c r="O122" s="36"/>
    </row>
    <row r="123" spans="1:15" ht="12.75" customHeight="1" x14ac:dyDescent="0.3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7.7708326243272425E-13</v>
      </c>
      <c r="L123" s="636">
        <f t="shared" si="4"/>
        <v>7.7708326243272425E-13</v>
      </c>
      <c r="M123" s="29" t="s">
        <v>1488</v>
      </c>
      <c r="N123" s="29"/>
      <c r="O123" s="36"/>
    </row>
    <row r="124" spans="1:15" ht="12.75" customHeight="1" x14ac:dyDescent="0.3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3.5361502868102846E-13</v>
      </c>
      <c r="L124" s="636">
        <f t="shared" si="4"/>
        <v>3.5361502868102846E-13</v>
      </c>
      <c r="M124" s="29" t="s">
        <v>1488</v>
      </c>
      <c r="N124" s="29"/>
      <c r="O124" s="36"/>
    </row>
    <row r="125" spans="1:15" ht="12.75" customHeight="1" x14ac:dyDescent="0.3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7.7708326243272425E-13</v>
      </c>
      <c r="L125" s="636">
        <f t="shared" si="4"/>
        <v>7.7708326243272425E-13</v>
      </c>
      <c r="M125" s="29" t="s">
        <v>1488</v>
      </c>
      <c r="N125" s="29"/>
      <c r="O125" s="36"/>
    </row>
    <row r="126" spans="1:15" ht="12.75" customHeight="1" x14ac:dyDescent="0.3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6.8987855666691368E-6</v>
      </c>
      <c r="L126" s="636">
        <f t="shared" si="4"/>
        <v>6.8987855666691368E-6</v>
      </c>
      <c r="M126" s="29" t="s">
        <v>1488</v>
      </c>
      <c r="N126" s="29"/>
      <c r="O126" s="36"/>
    </row>
    <row r="127" spans="1:15" ht="12.75" customHeight="1" x14ac:dyDescent="0.3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1.1373627420738747E-5</v>
      </c>
      <c r="L127" s="636">
        <f t="shared" si="4"/>
        <v>1.1373627420738747E-5</v>
      </c>
      <c r="M127" s="29" t="s">
        <v>1488</v>
      </c>
      <c r="N127" s="29"/>
      <c r="O127" s="36"/>
    </row>
    <row r="128" spans="1:15" ht="12.75" customHeight="1" x14ac:dyDescent="0.3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4.9849834655307764E-6</v>
      </c>
      <c r="L128" s="636">
        <f t="shared" si="4"/>
        <v>4.9849834655307764E-6</v>
      </c>
      <c r="M128" s="29" t="s">
        <v>1488</v>
      </c>
      <c r="N128" s="29"/>
      <c r="O128" s="36"/>
    </row>
    <row r="129" spans="1:15" ht="12.75" customHeight="1" x14ac:dyDescent="0.3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2.4779709922550555</v>
      </c>
      <c r="L129" s="636">
        <f t="shared" si="4"/>
        <v>2.4779709922550555</v>
      </c>
      <c r="M129" s="29" t="s">
        <v>1488</v>
      </c>
      <c r="N129" s="29"/>
      <c r="O129" s="36"/>
    </row>
    <row r="130" spans="1:15" ht="12.75" customHeight="1" x14ac:dyDescent="0.3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3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3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5.1014161146116597E-4</v>
      </c>
      <c r="L132" s="636">
        <f t="shared" si="4"/>
        <v>5.1014161146116597E-4</v>
      </c>
      <c r="M132" s="29" t="s">
        <v>1490</v>
      </c>
      <c r="N132" s="29"/>
      <c r="O132" s="36"/>
    </row>
    <row r="133" spans="1:15" ht="12.75" customHeight="1" x14ac:dyDescent="0.3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2.7833375487806553E-2</v>
      </c>
      <c r="L133" s="636">
        <f t="shared" si="4"/>
        <v>2.7833375487806553E-2</v>
      </c>
      <c r="M133" s="29" t="s">
        <v>1490</v>
      </c>
      <c r="N133" s="29"/>
      <c r="O133" s="36"/>
    </row>
    <row r="134" spans="1:15" ht="12.75" customHeight="1" x14ac:dyDescent="0.3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2477.9386840377138</v>
      </c>
      <c r="L134" s="636">
        <f t="shared" si="4"/>
        <v>2477.9386840377138</v>
      </c>
      <c r="M134" s="29" t="s">
        <v>1490</v>
      </c>
      <c r="N134" s="29"/>
      <c r="O134" s="36"/>
    </row>
    <row r="135" spans="1:15" ht="12.75" customHeight="1" x14ac:dyDescent="0.3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3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1.8973488688493413E-3</v>
      </c>
      <c r="L137" s="636">
        <f t="shared" ref="L137:L151" si="5">IF(ISBLANK(I137),IF(ISNUMBER(J137)=FALSE,K137,J137),I137)</f>
        <v>1.8973488688493413E-3</v>
      </c>
      <c r="M137" s="36" t="s">
        <v>4047</v>
      </c>
      <c r="N137" s="29"/>
      <c r="O137" s="36"/>
    </row>
    <row r="138" spans="1:15" ht="12.75" customHeight="1" x14ac:dyDescent="0.3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5.1319450088166082E-4</v>
      </c>
      <c r="L138" s="636">
        <f t="shared" si="5"/>
        <v>5.1319450088166082E-4</v>
      </c>
      <c r="M138" s="36" t="s">
        <v>4047</v>
      </c>
      <c r="N138" s="29"/>
      <c r="O138" s="36"/>
    </row>
    <row r="139" spans="1:15" ht="12.75" customHeight="1" x14ac:dyDescent="0.3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2.8326283134461829E-13</v>
      </c>
      <c r="L139" s="636">
        <f t="shared" si="5"/>
        <v>2.8326283134461829E-13</v>
      </c>
      <c r="M139" s="36" t="s">
        <v>4047</v>
      </c>
      <c r="N139" s="29"/>
      <c r="O139" s="36"/>
    </row>
    <row r="140" spans="1:15" ht="12.75" customHeight="1" x14ac:dyDescent="0.3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2.8323126606076911E-13</v>
      </c>
      <c r="L140" s="636">
        <f t="shared" si="5"/>
        <v>2.8323126606076911E-13</v>
      </c>
      <c r="M140" s="36" t="s">
        <v>4047</v>
      </c>
      <c r="N140" s="29"/>
      <c r="O140" s="36"/>
    </row>
    <row r="141" spans="1:15" ht="12.75" customHeight="1" x14ac:dyDescent="0.3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2.8325303446914023E-13</v>
      </c>
      <c r="L141" s="636">
        <f t="shared" si="5"/>
        <v>2.8325303446914023E-13</v>
      </c>
      <c r="M141" s="36" t="s">
        <v>4047</v>
      </c>
      <c r="N141" s="29"/>
      <c r="O141" s="36"/>
    </row>
    <row r="142" spans="1:15" ht="12.75" customHeight="1" x14ac:dyDescent="0.3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3.8732601668996416E-3</v>
      </c>
      <c r="L142" s="636">
        <f t="shared" si="5"/>
        <v>3.8732601668996416E-3</v>
      </c>
      <c r="M142" s="29" t="s">
        <v>1490</v>
      </c>
      <c r="N142" s="29"/>
      <c r="O142" s="36"/>
    </row>
    <row r="143" spans="1:15" ht="12.75" customHeight="1" x14ac:dyDescent="0.3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4.6776192822663505E-6</v>
      </c>
      <c r="L143" s="636">
        <f t="shared" si="5"/>
        <v>4.6776192822663505E-6</v>
      </c>
      <c r="M143" s="29" t="s">
        <v>1490</v>
      </c>
      <c r="N143" s="29"/>
      <c r="O143" s="36"/>
    </row>
    <row r="144" spans="1:15" ht="12.75" customHeight="1" x14ac:dyDescent="0.3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3.8854163121636212E-14</v>
      </c>
      <c r="L144" s="636">
        <f t="shared" si="5"/>
        <v>3.8854163121636212E-14</v>
      </c>
      <c r="M144" s="36" t="s">
        <v>4047</v>
      </c>
      <c r="N144" s="128"/>
      <c r="O144" s="36"/>
    </row>
    <row r="145" spans="1:15" ht="12.75" customHeight="1" x14ac:dyDescent="0.3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(L147*L148)/(L147+L148/((L69*FRorig.s2w)/L101))*L150</f>
        <v>7.0723005736205698E-14</v>
      </c>
      <c r="L145" s="636">
        <f t="shared" si="5"/>
        <v>7.0723005736205698E-14</v>
      </c>
      <c r="M145" s="36" t="s">
        <v>4047</v>
      </c>
      <c r="N145" s="29"/>
      <c r="O145" s="36"/>
    </row>
    <row r="146" spans="1:15" ht="12.75" customHeight="1" x14ac:dyDescent="0.3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(L147*L148)/(L147+L148/((L69*FRorig.s3w)/L106))*L151</f>
        <v>3.8854163121636212E-14</v>
      </c>
      <c r="L146" s="636">
        <f t="shared" si="5"/>
        <v>3.8854163121636212E-14</v>
      </c>
      <c r="M146" s="36" t="s">
        <v>4047</v>
      </c>
      <c r="N146" s="29"/>
      <c r="O146" s="36"/>
    </row>
    <row r="147" spans="1:15" ht="12.75" customHeight="1" x14ac:dyDescent="0.3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3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2.6741789373454676E-10</v>
      </c>
      <c r="L148" s="636">
        <f t="shared" si="5"/>
        <v>2.6741789373454676E-10</v>
      </c>
      <c r="M148" s="29" t="s">
        <v>1490</v>
      </c>
      <c r="N148" s="29" t="s">
        <v>1415</v>
      </c>
      <c r="O148" s="36"/>
    </row>
    <row r="149" spans="1:15" ht="12.75" customHeight="1" x14ac:dyDescent="0.3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3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3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3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3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1.0402439141446335E-8</v>
      </c>
      <c r="L153" s="636">
        <f t="shared" ref="L153:L173" si="6">IF(ISBLANK(I153),IF(ISNUMBER(J153)=FALSE,K153,J153),I153)</f>
        <v>1.0402439141446335E-8</v>
      </c>
      <c r="M153" s="29" t="s">
        <v>1488</v>
      </c>
      <c r="N153" s="29"/>
      <c r="O153" s="36"/>
    </row>
    <row r="154" spans="1:15" ht="12.75" customHeight="1" x14ac:dyDescent="0.3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1.4492916945332459E-10</v>
      </c>
      <c r="L154" s="636">
        <f t="shared" si="6"/>
        <v>1.4492916945332459E-10</v>
      </c>
      <c r="M154" s="29" t="s">
        <v>1488</v>
      </c>
      <c r="N154" s="29"/>
      <c r="O154" s="36"/>
    </row>
    <row r="155" spans="1:15" ht="12.75" customHeight="1" x14ac:dyDescent="0.3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3.6294162057623545E-7</v>
      </c>
      <c r="L155" s="636">
        <f t="shared" si="6"/>
        <v>3.6294162057623545E-7</v>
      </c>
      <c r="M155" s="29" t="s">
        <v>1488</v>
      </c>
      <c r="N155" s="29"/>
      <c r="O155" s="36"/>
    </row>
    <row r="156" spans="1:15" ht="12.75" customHeight="1" x14ac:dyDescent="0.3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3.4561143227301242E-7</v>
      </c>
      <c r="L156" s="636">
        <f t="shared" si="6"/>
        <v>3.4561143227301242E-7</v>
      </c>
      <c r="M156" s="29" t="s">
        <v>1488</v>
      </c>
      <c r="N156" s="29"/>
      <c r="O156" s="36"/>
    </row>
    <row r="157" spans="1:15" ht="12.75" customHeight="1" x14ac:dyDescent="0.3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3.705889640841514E-9</v>
      </c>
      <c r="L157" s="636">
        <f t="shared" si="6"/>
        <v>3.705889640841514E-9</v>
      </c>
      <c r="M157" s="36" t="s">
        <v>4047</v>
      </c>
      <c r="N157" s="325"/>
      <c r="O157" s="36"/>
    </row>
    <row r="158" spans="1:15" ht="12.75" customHeight="1" x14ac:dyDescent="0.3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3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1.482292419935412E-9</v>
      </c>
      <c r="L159" s="636">
        <f t="shared" si="6"/>
        <v>1.482292419935412E-9</v>
      </c>
      <c r="M159" s="36" t="s">
        <v>4047</v>
      </c>
      <c r="N159" s="325"/>
      <c r="O159" s="36"/>
    </row>
    <row r="160" spans="1:15" ht="12.75" customHeight="1" x14ac:dyDescent="0.3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3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3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3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3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3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3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3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3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2.7501427783497492E-8</v>
      </c>
      <c r="L168" s="636">
        <f t="shared" si="6"/>
        <v>2.7501427783497492E-8</v>
      </c>
      <c r="M168" s="36" t="s">
        <v>4047</v>
      </c>
      <c r="N168" s="29"/>
      <c r="O168" s="36"/>
    </row>
    <row r="169" spans="1:15" ht="12.75" customHeight="1" x14ac:dyDescent="0.3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1.0106419913586115E-8</v>
      </c>
      <c r="L169" s="636">
        <f t="shared" si="6"/>
        <v>1.0106419913586115E-8</v>
      </c>
      <c r="M169" s="36" t="s">
        <v>4047</v>
      </c>
      <c r="N169" s="29"/>
      <c r="O169" s="36"/>
    </row>
    <row r="170" spans="1:15" ht="12.75" customHeight="1" x14ac:dyDescent="0.3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2.750354147072951E-8</v>
      </c>
      <c r="L170" s="636">
        <f t="shared" si="6"/>
        <v>2.750354147072951E-8</v>
      </c>
      <c r="M170" s="36" t="s">
        <v>4047</v>
      </c>
      <c r="N170" s="29"/>
      <c r="O170" s="36"/>
    </row>
    <row r="171" spans="1:15" ht="12.75" customHeight="1" x14ac:dyDescent="0.3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1.0106419913586115E-8</v>
      </c>
      <c r="L171" s="636">
        <f t="shared" si="6"/>
        <v>1.0106419913586115E-8</v>
      </c>
      <c r="M171" s="36" t="s">
        <v>4047</v>
      </c>
      <c r="N171" s="29"/>
      <c r="O171" s="36"/>
    </row>
    <row r="172" spans="1:15" ht="12.75" customHeight="1" x14ac:dyDescent="0.3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3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3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3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5.1613740675410107E-8</v>
      </c>
      <c r="L175" s="636">
        <f t="shared" ref="L175:L177" si="7">IF(ISBLANK(I175),IF(ISNUMBER(J175)=FALSE,K175,J175),I175)</f>
        <v>5.1613740675410107E-8</v>
      </c>
      <c r="M175" s="29" t="s">
        <v>1488</v>
      </c>
      <c r="N175" s="29"/>
      <c r="O175" s="36"/>
    </row>
    <row r="176" spans="1:15" ht="12.75" customHeight="1" x14ac:dyDescent="0.3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2.3487051222970356E-8</v>
      </c>
      <c r="L176" s="636">
        <f t="shared" si="7"/>
        <v>2.3487051222970356E-8</v>
      </c>
      <c r="M176" s="29" t="s">
        <v>1488</v>
      </c>
      <c r="N176" s="29"/>
      <c r="O176" s="36"/>
    </row>
    <row r="177" spans="1:15" ht="12.75" customHeight="1" x14ac:dyDescent="0.3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5.1613740675410107E-8</v>
      </c>
      <c r="L177" s="636">
        <f t="shared" si="7"/>
        <v>5.1613740675410107E-8</v>
      </c>
      <c r="M177" s="29" t="s">
        <v>1488</v>
      </c>
      <c r="N177" s="29"/>
      <c r="O177" s="36"/>
    </row>
    <row r="178" spans="1:15" ht="12.75" customHeight="1" x14ac:dyDescent="0.3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4.6921582432191016E-9</v>
      </c>
      <c r="L178" s="636">
        <f t="shared" ref="L178:L180" si="8">IF(ISBLANK(I178),IF(ISNUMBER(J178)=FALSE,K178,J178),I178)</f>
        <v>4.6921582432191016E-9</v>
      </c>
      <c r="M178" s="29" t="s">
        <v>1488</v>
      </c>
      <c r="N178" s="29"/>
      <c r="O178" s="36"/>
    </row>
    <row r="179" spans="1:15" ht="12.75" customHeight="1" x14ac:dyDescent="0.3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2.1351864748154871E-9</v>
      </c>
      <c r="L179" s="636">
        <f t="shared" si="8"/>
        <v>2.1351864748154871E-9</v>
      </c>
      <c r="M179" s="29" t="s">
        <v>1488</v>
      </c>
      <c r="N179" s="29"/>
      <c r="O179" s="36"/>
    </row>
    <row r="180" spans="1:15" ht="12.75" customHeight="1" x14ac:dyDescent="0.3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4.6921582432191016E-9</v>
      </c>
      <c r="L180" s="636">
        <f t="shared" si="8"/>
        <v>4.6921582432191016E-9</v>
      </c>
      <c r="M180" s="29" t="s">
        <v>1488</v>
      </c>
      <c r="N180" s="29"/>
      <c r="O180" s="36"/>
    </row>
    <row r="181" spans="1:15" ht="12.75" customHeight="1" x14ac:dyDescent="0.3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3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3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3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3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3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3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3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3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3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3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3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3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1.5457777937268982E-6</v>
      </c>
      <c r="L193" s="636">
        <f t="shared" ref="L193:L217" si="11">IF(ISBLANK(I193),IF(ISNUMBER(J193)=FALSE,K193,J193),I193)</f>
        <v>1.5457777937268982E-6</v>
      </c>
      <c r="M193" s="29" t="s">
        <v>1488</v>
      </c>
      <c r="N193" s="29"/>
      <c r="O193" s="36"/>
    </row>
    <row r="194" spans="1:15" ht="12.75" customHeight="1" x14ac:dyDescent="0.3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2.1524330272611406E-10</v>
      </c>
      <c r="L194" s="636">
        <f>IF(ISBLANK(I194),IF(ISNUMBER(J194)=FALSE,K194,J194),I194)</f>
        <v>2.1524330272611406E-10</v>
      </c>
      <c r="M194" s="29" t="s">
        <v>1488</v>
      </c>
      <c r="N194" s="29"/>
      <c r="O194" s="36"/>
    </row>
    <row r="195" spans="1:15" ht="12.75" customHeight="1" x14ac:dyDescent="0.3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2.1521931717207951E-10</v>
      </c>
      <c r="L195" s="636">
        <f t="shared" si="11"/>
        <v>2.1521931717207951E-10</v>
      </c>
      <c r="M195" s="29" t="s">
        <v>1488</v>
      </c>
      <c r="N195" s="29"/>
      <c r="O195" s="36"/>
    </row>
    <row r="196" spans="1:15" ht="12.75" customHeight="1" x14ac:dyDescent="0.3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2.1523585836137233E-10</v>
      </c>
      <c r="L196" s="636">
        <f t="shared" si="11"/>
        <v>2.1523585836137233E-10</v>
      </c>
      <c r="M196" s="29" t="s">
        <v>1488</v>
      </c>
      <c r="N196" s="29"/>
      <c r="O196" s="36"/>
    </row>
    <row r="197" spans="1:15" ht="12.75" customHeight="1" x14ac:dyDescent="0.3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3.1416462888881063E-9</v>
      </c>
      <c r="L197" s="636">
        <f t="shared" si="11"/>
        <v>3.1416462888881063E-9</v>
      </c>
      <c r="M197" s="29" t="s">
        <v>1488</v>
      </c>
      <c r="N197" s="29"/>
      <c r="O197" s="36"/>
    </row>
    <row r="198" spans="1:15" ht="12.75" customHeight="1" x14ac:dyDescent="0.3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1.1817111353210503E-9</v>
      </c>
      <c r="L198" s="636">
        <f t="shared" si="11"/>
        <v>1.1817111353210503E-9</v>
      </c>
      <c r="M198" s="29" t="s">
        <v>1488</v>
      </c>
      <c r="N198" s="29"/>
      <c r="O198" s="36"/>
    </row>
    <row r="199" spans="1:15" ht="12.75" customHeight="1" x14ac:dyDescent="0.3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3.0534021961477695E-9</v>
      </c>
      <c r="L199" s="636">
        <f t="shared" si="11"/>
        <v>3.0534021961477695E-9</v>
      </c>
      <c r="M199" s="29" t="s">
        <v>1488</v>
      </c>
      <c r="N199" s="29"/>
      <c r="O199" s="36"/>
    </row>
    <row r="200" spans="1:15" ht="12.75" customHeight="1" x14ac:dyDescent="0.3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2.8467460868656887E-9</v>
      </c>
      <c r="L200" s="636">
        <f t="shared" si="11"/>
        <v>2.8467460868656887E-9</v>
      </c>
      <c r="M200" s="29" t="s">
        <v>1488</v>
      </c>
      <c r="N200" s="29"/>
      <c r="O200" s="36"/>
    </row>
    <row r="201" spans="1:15" ht="12.75" customHeight="1" x14ac:dyDescent="0.3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3.0534021961477695E-9</v>
      </c>
      <c r="L201" s="636">
        <f t="shared" si="11"/>
        <v>3.0534021961477695E-9</v>
      </c>
      <c r="M201" s="29" t="s">
        <v>1488</v>
      </c>
      <c r="N201" s="29"/>
      <c r="O201" s="36"/>
    </row>
    <row r="202" spans="1:15" ht="12.75" customHeight="1" x14ac:dyDescent="0.3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3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1.54541146784507E-6</v>
      </c>
      <c r="L203" s="636">
        <f t="shared" si="11"/>
        <v>1.54541146784507E-6</v>
      </c>
      <c r="M203" s="36" t="s">
        <v>1488</v>
      </c>
      <c r="N203" s="29"/>
      <c r="O203" s="36"/>
    </row>
    <row r="204" spans="1:15" ht="12.75" customHeight="1" x14ac:dyDescent="0.3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3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3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2.1524330272611406E-10</v>
      </c>
      <c r="L206" s="636">
        <f>IF(ISBLANK(I206),IF(ISNUMBER(J206)=FALSE,K206,J206),I206)</f>
        <v>2.1524330272611406E-10</v>
      </c>
      <c r="M206" s="36" t="s">
        <v>1488</v>
      </c>
      <c r="N206" s="29"/>
      <c r="O206" s="36"/>
    </row>
    <row r="207" spans="1:15" ht="12.75" customHeight="1" x14ac:dyDescent="0.3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2.1521931717207951E-10</v>
      </c>
      <c r="L207" s="636">
        <f t="shared" si="11"/>
        <v>2.1521931717207951E-10</v>
      </c>
      <c r="M207" s="36" t="s">
        <v>1488</v>
      </c>
      <c r="N207" s="29"/>
      <c r="O207" s="36"/>
    </row>
    <row r="208" spans="1:15" ht="12.75" customHeight="1" x14ac:dyDescent="0.3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2.1523585836137233E-10</v>
      </c>
      <c r="L208" s="636">
        <f t="shared" si="11"/>
        <v>2.1523585836137233E-10</v>
      </c>
      <c r="M208" s="36" t="s">
        <v>1488</v>
      </c>
      <c r="N208" s="29"/>
      <c r="O208" s="36"/>
    </row>
    <row r="209" spans="1:15" ht="12.75" customHeight="1" x14ac:dyDescent="0.3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3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3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3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3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2.6741789373454681E-10</v>
      </c>
      <c r="L213" s="636">
        <f t="shared" si="11"/>
        <v>2.6741789373454681E-10</v>
      </c>
      <c r="M213" s="36" t="s">
        <v>1488</v>
      </c>
      <c r="N213" s="29"/>
      <c r="O213" s="36"/>
    </row>
    <row r="214" spans="1:15" ht="12.75" customHeight="1" x14ac:dyDescent="0.3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2.6741789373454681E-10</v>
      </c>
      <c r="L214" s="636">
        <f t="shared" si="11"/>
        <v>2.6741789373454681E-10</v>
      </c>
      <c r="M214" s="36" t="s">
        <v>1488</v>
      </c>
      <c r="N214" s="29"/>
      <c r="O214" s="36"/>
    </row>
    <row r="215" spans="1:15" ht="12.75" customHeight="1" x14ac:dyDescent="0.3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2.6741789373454676E-9</v>
      </c>
      <c r="L215" s="636">
        <f t="shared" si="11"/>
        <v>2.6741789373454676E-9</v>
      </c>
      <c r="M215" s="36" t="s">
        <v>1488</v>
      </c>
      <c r="N215" s="29"/>
      <c r="O215" s="36"/>
    </row>
    <row r="216" spans="1:15" ht="12.75" customHeight="1" x14ac:dyDescent="0.3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2.6741789373454676E-9</v>
      </c>
      <c r="L216" s="636">
        <f t="shared" si="11"/>
        <v>2.6741789373454676E-9</v>
      </c>
      <c r="M216" s="36" t="s">
        <v>1488</v>
      </c>
      <c r="N216" s="29"/>
      <c r="O216" s="36"/>
    </row>
    <row r="217" spans="1:15" ht="12.75" customHeight="1" x14ac:dyDescent="0.3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2.6741789373454676E-9</v>
      </c>
      <c r="L217" s="636">
        <f t="shared" si="11"/>
        <v>2.6741789373454676E-9</v>
      </c>
      <c r="M217" s="36" t="s">
        <v>1488</v>
      </c>
      <c r="N217" s="29"/>
      <c r="O217" s="36"/>
    </row>
    <row r="218" spans="1:15" ht="12.75" customHeight="1" x14ac:dyDescent="0.3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3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3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3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3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3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3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3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6640625" defaultRowHeight="12.75" customHeight="1" x14ac:dyDescent="0.3"/>
  <cols>
    <col min="1" max="5" width="1.6640625" customWidth="1"/>
    <col min="6" max="6" width="60.6640625" customWidth="1"/>
    <col min="7" max="7" width="22.6640625" customWidth="1"/>
    <col min="8" max="8" width="10.6640625" style="79" customWidth="1"/>
    <col min="9" max="12" width="9.109375" style="644" customWidth="1"/>
    <col min="13" max="13" width="9.109375" customWidth="1"/>
    <col min="14" max="14" width="83" bestFit="1" customWidth="1"/>
    <col min="15" max="15" width="2.6640625" customWidth="1"/>
  </cols>
  <sheetData>
    <row r="1" spans="1:15" ht="12.75" customHeight="1" x14ac:dyDescent="0.3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3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3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3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3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3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3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3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3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3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3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3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3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3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3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3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3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3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3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3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3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3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3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3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3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3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3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3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3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3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3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3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3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3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3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3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3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3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3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3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3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3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3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3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3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3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0.48985838853883401</v>
      </c>
      <c r="L46" s="636">
        <f>IF(ISBLANK(I46),IF(ISNUMBER(J46)=FALSE,K46,J46),I46)</f>
        <v>0.48985838853883401</v>
      </c>
      <c r="M46" s="36" t="s">
        <v>486</v>
      </c>
      <c r="N46" s="36"/>
      <c r="O46" s="36"/>
    </row>
    <row r="47" spans="1:15" ht="12.75" customHeight="1" x14ac:dyDescent="0.3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0.13396161315396571</v>
      </c>
      <c r="L47" s="636">
        <f>IF(ISBLANK(I47),IF(ISNUMBER(J47)=FALSE,K47,J47),I47)</f>
        <v>0.13396161315396571</v>
      </c>
      <c r="M47" s="36" t="s">
        <v>486</v>
      </c>
      <c r="N47" s="29" t="s">
        <v>2185</v>
      </c>
      <c r="O47" s="36"/>
    </row>
    <row r="48" spans="1:15" ht="12.75" customHeight="1" x14ac:dyDescent="0.3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0.37617999830720028</v>
      </c>
      <c r="L48" s="636">
        <f>IF(ISBLANK(I48),IF(ISNUMBER(J48)=FALSE,K48,J48),I48)</f>
        <v>0.37617999830720028</v>
      </c>
      <c r="M48" s="36" t="s">
        <v>486</v>
      </c>
      <c r="N48" s="29" t="s">
        <v>2185</v>
      </c>
      <c r="O48" s="36"/>
    </row>
    <row r="49" spans="1:15" ht="12.75" customHeight="1" x14ac:dyDescent="0.3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7.3134142984054159E-11</v>
      </c>
      <c r="L49" s="636">
        <f>IF(ISBLANK(I49),IF(ISNUMBER(J49)=FALSE,K49,J49),I49)</f>
        <v>7.3134142984054159E-11</v>
      </c>
      <c r="M49" s="36" t="s">
        <v>486</v>
      </c>
      <c r="N49" s="29"/>
      <c r="O49" s="36"/>
    </row>
    <row r="50" spans="1:15" ht="12.75" customHeight="1" x14ac:dyDescent="0.3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3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13673504046.092884</v>
      </c>
      <c r="L51" s="636">
        <f t="shared" ref="L51:L58" si="2">IF(ISBLANK(I51),IF(ISNUMBER(J51)=FALSE,K51,J51),I51)</f>
        <v>13673504046.092884</v>
      </c>
      <c r="M51" s="36" t="s">
        <v>4051</v>
      </c>
      <c r="N51" s="29"/>
      <c r="O51" s="36"/>
    </row>
    <row r="52" spans="1:15" ht="12.75" customHeight="1" x14ac:dyDescent="0.3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38396810905.829605</v>
      </c>
      <c r="L52" s="636">
        <f t="shared" si="2"/>
        <v>38396810905.829605</v>
      </c>
      <c r="M52" s="36" t="s">
        <v>4052</v>
      </c>
      <c r="N52" s="29" t="s">
        <v>924</v>
      </c>
      <c r="O52" s="36"/>
    </row>
    <row r="53" spans="1:15" ht="12.75" customHeight="1" x14ac:dyDescent="0.3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0.99994877197396703</v>
      </c>
      <c r="L53" s="636">
        <f t="shared" si="2"/>
        <v>0.99994877197396703</v>
      </c>
      <c r="M53" s="36" t="s">
        <v>486</v>
      </c>
      <c r="N53" s="29"/>
      <c r="O53" s="36"/>
    </row>
    <row r="54" spans="1:15" ht="12.75" customHeight="1" x14ac:dyDescent="0.3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0.99994877197396703</v>
      </c>
      <c r="L54" s="636">
        <f t="shared" si="2"/>
        <v>0.99994877197396703</v>
      </c>
      <c r="M54" s="36" t="s">
        <v>486</v>
      </c>
      <c r="N54" s="29"/>
      <c r="O54" s="36"/>
    </row>
    <row r="55" spans="1:15" ht="12.75" customHeight="1" x14ac:dyDescent="0.3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7.6861300956135628</v>
      </c>
      <c r="L55" s="636">
        <f t="shared" si="2"/>
        <v>7.6861300956135628</v>
      </c>
      <c r="M55" s="36" t="s">
        <v>1498</v>
      </c>
      <c r="N55" s="29"/>
      <c r="O55" s="36"/>
    </row>
    <row r="56" spans="1:15" ht="12.75" customHeight="1" x14ac:dyDescent="0.3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7.6861300956135628</v>
      </c>
      <c r="L56" s="636">
        <f t="shared" si="2"/>
        <v>7.6861300956135628</v>
      </c>
      <c r="M56" s="36" t="s">
        <v>1498</v>
      </c>
      <c r="N56" s="29"/>
      <c r="O56" s="36"/>
    </row>
    <row r="57" spans="1:15" ht="12.75" customHeight="1" x14ac:dyDescent="0.3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3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3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3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3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12.8</v>
      </c>
      <c r="L61" s="636">
        <f>IF(ISBLANK(I61),IF(ISNUMBER(J61)=FALSE,K61,J61),I61)</f>
        <v>12.8</v>
      </c>
      <c r="M61" s="36" t="s">
        <v>1498</v>
      </c>
      <c r="N61" s="29"/>
      <c r="O61" s="36"/>
    </row>
    <row r="62" spans="1:15" ht="12.75" customHeight="1" x14ac:dyDescent="0.3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12.8</v>
      </c>
      <c r="L62" s="636">
        <f>IF(ISBLANK(I62),IF(ISNUMBER(J62)=FALSE,K62,J62),I62)</f>
        <v>12.8</v>
      </c>
      <c r="M62" s="36" t="s">
        <v>1498</v>
      </c>
      <c r="N62" s="29"/>
      <c r="O62" s="36"/>
    </row>
    <row r="63" spans="1:15" ht="12.75" customHeight="1" x14ac:dyDescent="0.3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3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3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2.7215325239033903</v>
      </c>
      <c r="L65" s="636">
        <f t="shared" ref="L65:L72" si="3">IF(ISBLANK(I65),IF(ISNUMBER(J65)=FALSE,K65,J65),I65)</f>
        <v>2.7215325239033903</v>
      </c>
      <c r="M65" s="36" t="s">
        <v>486</v>
      </c>
      <c r="N65" s="29"/>
      <c r="O65" s="36"/>
    </row>
    <row r="66" spans="1:15" ht="12.75" customHeight="1" x14ac:dyDescent="0.3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3.8430650478067814</v>
      </c>
      <c r="L66" s="636">
        <f t="shared" si="3"/>
        <v>3.8430650478067814</v>
      </c>
      <c r="M66" s="36" t="s">
        <v>1498</v>
      </c>
      <c r="N66" s="29"/>
      <c r="O66" s="36"/>
    </row>
    <row r="67" spans="1:15" ht="12.75" customHeight="1" x14ac:dyDescent="0.3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3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2.5058390286986958</v>
      </c>
      <c r="L68" s="636">
        <f t="shared" si="3"/>
        <v>2.5058390286986958</v>
      </c>
      <c r="M68" s="29" t="s">
        <v>486</v>
      </c>
      <c r="N68" s="29"/>
      <c r="O68" s="36"/>
    </row>
    <row r="69" spans="1:15" ht="12.75" customHeight="1" x14ac:dyDescent="0.3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7.9813586471219486E-2</v>
      </c>
      <c r="L69" s="636">
        <f t="shared" si="3"/>
        <v>7.9813586471219486E-2</v>
      </c>
      <c r="M69" s="29" t="s">
        <v>486</v>
      </c>
      <c r="N69" s="29"/>
      <c r="O69" s="36"/>
    </row>
    <row r="70" spans="1:15" ht="12.75" customHeight="1" x14ac:dyDescent="0.3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0.9201864135229435</v>
      </c>
      <c r="L70" s="636">
        <f t="shared" si="3"/>
        <v>0.9201864135229435</v>
      </c>
      <c r="M70" s="5" t="s">
        <v>486</v>
      </c>
      <c r="N70" s="29"/>
      <c r="O70" s="36"/>
    </row>
    <row r="71" spans="1:15" ht="12.75" customHeight="1" x14ac:dyDescent="0.3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1.5372260191227125</v>
      </c>
      <c r="L71" s="636">
        <f t="shared" si="3"/>
        <v>1.5372260191227125</v>
      </c>
      <c r="M71" s="36" t="s">
        <v>1498</v>
      </c>
      <c r="N71" s="29"/>
      <c r="O71" s="36"/>
    </row>
    <row r="72" spans="1:15" ht="12.75" customHeight="1" x14ac:dyDescent="0.3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3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3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3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3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4.4415670163638715E-6</v>
      </c>
      <c r="L76" s="636">
        <f t="shared" ref="L76:L89" si="4">IF(ISBLANK(I76),IF(ISNUMBER(J76)=FALSE,K76,J76),I76)</f>
        <v>4.4415670163638715E-6</v>
      </c>
      <c r="M76" s="29" t="s">
        <v>1488</v>
      </c>
      <c r="N76" s="29"/>
      <c r="O76" s="36"/>
    </row>
    <row r="77" spans="1:15" ht="12.75" customHeight="1" x14ac:dyDescent="0.3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3.7494898323800317E-6</v>
      </c>
      <c r="L77" s="636">
        <f t="shared" si="4"/>
        <v>3.7494898323800317E-6</v>
      </c>
      <c r="M77" s="29" t="s">
        <v>1488</v>
      </c>
      <c r="N77" s="29"/>
      <c r="O77" s="36"/>
    </row>
    <row r="78" spans="1:15" ht="12.75" customHeight="1" x14ac:dyDescent="0.3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2.8325303446914022E-15</v>
      </c>
      <c r="L78" s="636">
        <f t="shared" si="4"/>
        <v>2.8325303446914022E-15</v>
      </c>
      <c r="M78" s="29" t="s">
        <v>1488</v>
      </c>
      <c r="N78" s="29"/>
      <c r="O78" s="36"/>
    </row>
    <row r="79" spans="1:15" ht="12.75" customHeight="1" x14ac:dyDescent="0.3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7.7708326243272425E-13</v>
      </c>
      <c r="L79" s="636">
        <f t="shared" si="4"/>
        <v>7.7708326243272425E-13</v>
      </c>
      <c r="M79" s="29" t="s">
        <v>1488</v>
      </c>
      <c r="N79" s="29"/>
      <c r="O79" s="36"/>
    </row>
    <row r="80" spans="1:15" ht="12.75" customHeight="1" x14ac:dyDescent="0.3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6.9857851638784026E-6</v>
      </c>
      <c r="L80" s="636">
        <f t="shared" si="4"/>
        <v>6.9857851638784026E-6</v>
      </c>
      <c r="M80" s="29" t="s">
        <v>1488</v>
      </c>
      <c r="N80" s="29"/>
      <c r="O80" s="36"/>
    </row>
    <row r="81" spans="1:15" ht="12.75" customHeight="1" x14ac:dyDescent="0.3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1.0901039109380899E-5</v>
      </c>
      <c r="L81" s="636">
        <f t="shared" si="4"/>
        <v>1.0901039109380899E-5</v>
      </c>
      <c r="M81" s="29" t="s">
        <v>1488</v>
      </c>
      <c r="N81" s="29"/>
      <c r="O81" s="36"/>
    </row>
    <row r="82" spans="1:15" ht="12.75" customHeight="1" x14ac:dyDescent="0.3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4.425395556963663E-6</v>
      </c>
      <c r="L82" s="636">
        <f t="shared" si="4"/>
        <v>4.425395556963663E-6</v>
      </c>
      <c r="M82" s="29" t="s">
        <v>1488</v>
      </c>
      <c r="N82" s="29"/>
      <c r="O82" s="36"/>
    </row>
    <row r="83" spans="1:15" ht="12.75" customHeight="1" x14ac:dyDescent="0.3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2.477970432667147</v>
      </c>
      <c r="L83" s="636">
        <f t="shared" si="4"/>
        <v>2.477970432667147</v>
      </c>
      <c r="M83" s="29" t="s">
        <v>1488</v>
      </c>
      <c r="N83" s="29"/>
      <c r="O83" s="36"/>
    </row>
    <row r="84" spans="1:15" ht="12.75" customHeight="1" x14ac:dyDescent="0.3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3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3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5.1014161146116597E-4</v>
      </c>
      <c r="L86" s="636">
        <f t="shared" si="4"/>
        <v>5.1014161146116597E-4</v>
      </c>
      <c r="M86" s="29" t="s">
        <v>1490</v>
      </c>
      <c r="N86" s="29"/>
      <c r="O86" s="36"/>
    </row>
    <row r="87" spans="1:15" ht="12.75" customHeight="1" x14ac:dyDescent="0.3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2.7833375487806553E-2</v>
      </c>
      <c r="L87" s="636">
        <f t="shared" si="4"/>
        <v>2.7833375487806553E-2</v>
      </c>
      <c r="M87" s="29" t="s">
        <v>1490</v>
      </c>
      <c r="N87" s="29"/>
      <c r="O87" s="36"/>
    </row>
    <row r="88" spans="1:15" ht="12.75" customHeight="1" x14ac:dyDescent="0.3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2477.9386840377138</v>
      </c>
      <c r="L88" s="636">
        <f t="shared" si="4"/>
        <v>2477.9386840377138</v>
      </c>
      <c r="M88" s="29" t="s">
        <v>1490</v>
      </c>
      <c r="N88" s="29"/>
      <c r="O88" s="36"/>
    </row>
    <row r="89" spans="1:15" ht="12.75" customHeight="1" x14ac:dyDescent="0.3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3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3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3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1.8973488688493413E-3</v>
      </c>
      <c r="L92" s="636">
        <f t="shared" si="5"/>
        <v>1.8973488688493413E-3</v>
      </c>
      <c r="M92" s="36" t="s">
        <v>4047</v>
      </c>
      <c r="N92" s="29"/>
      <c r="O92" s="36"/>
    </row>
    <row r="93" spans="1:15" ht="12.75" customHeight="1" x14ac:dyDescent="0.3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5.1319450088166082E-4</v>
      </c>
      <c r="L93" s="636">
        <f>IF(ISBLANK(I93),IF(ISNUMBER(J93)=FALSE,K93,J93),I93)</f>
        <v>5.1319450088166082E-4</v>
      </c>
      <c r="M93" s="36" t="s">
        <v>4047</v>
      </c>
      <c r="N93" s="29"/>
      <c r="O93" s="36"/>
    </row>
    <row r="94" spans="1:15" ht="12.75" customHeight="1" x14ac:dyDescent="0.3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2.8325303446914023E-13</v>
      </c>
      <c r="L94" s="636">
        <f>IF(ISBLANK(I94),IF(ISNUMBER(J94)=FALSE,K94,J94),I94)</f>
        <v>2.8325303446914023E-13</v>
      </c>
      <c r="M94" s="36" t="s">
        <v>4047</v>
      </c>
      <c r="N94" s="29"/>
      <c r="O94" s="36"/>
    </row>
    <row r="95" spans="1:15" ht="12.75" customHeight="1" x14ac:dyDescent="0.3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3.8854163121636212E-14</v>
      </c>
      <c r="L95" s="636">
        <f>IF(ISBLANK(I95),IF(ISNUMBER(J95)=FALSE,K95,J95),I95)</f>
        <v>3.8854163121636212E-14</v>
      </c>
      <c r="M95" s="36" t="s">
        <v>4047</v>
      </c>
      <c r="N95" s="29"/>
      <c r="O95" s="36"/>
    </row>
    <row r="96" spans="1:15" ht="12.75" customHeight="1" x14ac:dyDescent="0.3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3.8732601668996416E-3</v>
      </c>
      <c r="L96" s="636">
        <f t="shared" si="5"/>
        <v>3.8732601668996416E-3</v>
      </c>
      <c r="M96" s="29" t="s">
        <v>1490</v>
      </c>
      <c r="N96" s="29"/>
      <c r="O96" s="36"/>
    </row>
    <row r="97" spans="1:15" ht="12.75" customHeight="1" x14ac:dyDescent="0.3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4.6776192822663505E-6</v>
      </c>
      <c r="L97" s="636">
        <f t="shared" si="5"/>
        <v>4.6776192822663505E-6</v>
      </c>
      <c r="M97" s="29" t="s">
        <v>1490</v>
      </c>
      <c r="N97" s="29"/>
      <c r="O97" s="36"/>
    </row>
    <row r="98" spans="1:15" ht="12.75" customHeight="1" x14ac:dyDescent="0.3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3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3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2.6741789373454676E-10</v>
      </c>
      <c r="L100" s="636">
        <f>IF(ISBLANK(I100),IF(ISNUMBER(J100)=FALSE,K100,J100),I100)</f>
        <v>2.6741789373454676E-10</v>
      </c>
      <c r="M100" s="29" t="s">
        <v>1490</v>
      </c>
      <c r="N100" s="29" t="s">
        <v>1415</v>
      </c>
      <c r="O100" s="36"/>
    </row>
    <row r="101" spans="1:15" ht="12.75" customHeight="1" x14ac:dyDescent="0.3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3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3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9.66194463022164E-12</v>
      </c>
      <c r="L103" s="636">
        <f t="shared" ref="L103:L109" si="6">IF(ISBLANK(I103),IF(ISNUMBER(J103)=FALSE,K103,J103),I103)</f>
        <v>9.66194463022164E-12</v>
      </c>
      <c r="M103" s="29" t="s">
        <v>1488</v>
      </c>
      <c r="N103" s="29"/>
      <c r="O103" s="36"/>
    </row>
    <row r="104" spans="1:15" ht="12.75" customHeight="1" x14ac:dyDescent="0.3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3.4652274158028427E-7</v>
      </c>
      <c r="L104" s="636">
        <f t="shared" si="6"/>
        <v>3.4652274158028427E-7</v>
      </c>
      <c r="M104" s="29" t="s">
        <v>1488</v>
      </c>
      <c r="N104" s="29"/>
      <c r="O104" s="36"/>
    </row>
    <row r="105" spans="1:15" ht="12.75" customHeight="1" x14ac:dyDescent="0.3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1.482292419935412E-9</v>
      </c>
      <c r="L105" s="636">
        <f t="shared" si="6"/>
        <v>1.482292419935412E-9</v>
      </c>
      <c r="M105" s="36" t="s">
        <v>4047</v>
      </c>
      <c r="N105" s="325"/>
      <c r="O105" s="36"/>
    </row>
    <row r="106" spans="1:15" ht="12.75" customHeight="1" x14ac:dyDescent="0.3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3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3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3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3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3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2.750354147072951E-8</v>
      </c>
      <c r="L111" s="636">
        <f>IF(ISBLANK(I111),IF(ISNUMBER(J111)=FALSE,K111,J111),I111)</f>
        <v>2.750354147072951E-8</v>
      </c>
      <c r="M111" s="36" t="s">
        <v>4047</v>
      </c>
      <c r="N111" s="29"/>
      <c r="O111" s="36"/>
    </row>
    <row r="112" spans="1:15" ht="12.75" customHeight="1" x14ac:dyDescent="0.3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1.0106419913586115E-8</v>
      </c>
      <c r="L112" s="636">
        <f>IF(ISBLANK(I112),IF(ISNUMBER(J112)=FALSE,K112,J112),I112)</f>
        <v>1.0106419913586115E-8</v>
      </c>
      <c r="M112" s="36" t="s">
        <v>4047</v>
      </c>
      <c r="N112" s="29"/>
      <c r="O112" s="36"/>
    </row>
    <row r="113" spans="1:15" ht="12.75" customHeight="1" x14ac:dyDescent="0.3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3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3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3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5.630589891862921E-8</v>
      </c>
      <c r="L116" s="636">
        <f>IF(ISBLANK(I116),IF(ISNUMBER(J116)=FALSE,K116,J116),I116)</f>
        <v>5.630589891862921E-8</v>
      </c>
      <c r="M116" s="29" t="s">
        <v>1488</v>
      </c>
      <c r="N116" s="29"/>
      <c r="O116" s="36"/>
    </row>
    <row r="117" spans="1:15" ht="12.75" customHeight="1" x14ac:dyDescent="0.3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3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3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3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3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3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3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1.5457777937268982E-6</v>
      </c>
      <c r="L123" s="636">
        <f t="shared" ref="L123:L138" si="7">IF(ISBLANK(I123),IF(ISNUMBER(J123)=FALSE,K123,J123),I123)</f>
        <v>1.5457777937268982E-6</v>
      </c>
      <c r="M123" s="29" t="s">
        <v>1488</v>
      </c>
      <c r="N123" s="29"/>
      <c r="O123" s="36"/>
    </row>
    <row r="124" spans="1:15" ht="12.75" customHeight="1" x14ac:dyDescent="0.3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2.1523585836137233E-10</v>
      </c>
      <c r="L124" s="636">
        <f t="shared" si="7"/>
        <v>2.1523585836137233E-10</v>
      </c>
      <c r="M124" s="29" t="s">
        <v>1488</v>
      </c>
      <c r="N124" s="29"/>
      <c r="O124" s="36"/>
    </row>
    <row r="125" spans="1:15" ht="12.75" customHeight="1" x14ac:dyDescent="0.3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2.1523585836137233E-10</v>
      </c>
      <c r="L125" s="636">
        <f t="shared" si="7"/>
        <v>2.1523585836137233E-10</v>
      </c>
      <c r="M125" s="29" t="s">
        <v>1488</v>
      </c>
      <c r="N125" s="29"/>
      <c r="O125" s="36"/>
    </row>
    <row r="126" spans="1:15" ht="12.75" customHeight="1" x14ac:dyDescent="0.3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2.7040182804920299E-10</v>
      </c>
      <c r="L126" s="636">
        <f t="shared" si="7"/>
        <v>2.7040182804920299E-10</v>
      </c>
      <c r="M126" s="29" t="s">
        <v>1488</v>
      </c>
      <c r="N126" s="29"/>
      <c r="O126" s="36"/>
    </row>
    <row r="127" spans="1:15" ht="12.75" customHeight="1" x14ac:dyDescent="0.3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3.0534021961477695E-9</v>
      </c>
      <c r="L127" s="636">
        <f t="shared" si="7"/>
        <v>3.0534021961477695E-9</v>
      </c>
      <c r="M127" s="29" t="s">
        <v>1488</v>
      </c>
      <c r="N127" s="29"/>
      <c r="O127" s="36"/>
    </row>
    <row r="128" spans="1:15" ht="12.75" customHeight="1" x14ac:dyDescent="0.3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3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1.54541146784507E-6</v>
      </c>
      <c r="L129" s="636">
        <f t="shared" si="7"/>
        <v>1.54541146784507E-6</v>
      </c>
      <c r="M129" s="36" t="s">
        <v>1488</v>
      </c>
      <c r="N129" s="29"/>
      <c r="O129" s="36"/>
    </row>
    <row r="130" spans="1:15" ht="12.75" customHeight="1" x14ac:dyDescent="0.3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3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3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2.1523585836137233E-10</v>
      </c>
      <c r="L132" s="636">
        <f t="shared" si="7"/>
        <v>2.1523585836137233E-10</v>
      </c>
      <c r="M132" s="36" t="s">
        <v>1488</v>
      </c>
      <c r="N132" s="29"/>
      <c r="O132" s="36"/>
    </row>
    <row r="133" spans="1:15" ht="12.75" customHeight="1" x14ac:dyDescent="0.3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2.1523585836137233E-10</v>
      </c>
      <c r="L133" s="636">
        <f t="shared" si="7"/>
        <v>2.1523585836137233E-10</v>
      </c>
      <c r="M133" s="36" t="s">
        <v>1488</v>
      </c>
      <c r="N133" s="29"/>
      <c r="O133" s="36"/>
    </row>
    <row r="134" spans="1:15" ht="12.75" customHeight="1" x14ac:dyDescent="0.3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3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3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3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2.6741789373454681E-10</v>
      </c>
      <c r="L137" s="636">
        <f t="shared" si="7"/>
        <v>2.6741789373454681E-10</v>
      </c>
      <c r="M137" s="36" t="s">
        <v>1488</v>
      </c>
      <c r="N137" s="29"/>
      <c r="O137" s="36"/>
    </row>
    <row r="138" spans="1:15" ht="12.75" customHeight="1" x14ac:dyDescent="0.3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2.6741789373454676E-9</v>
      </c>
      <c r="L138" s="636">
        <f t="shared" si="7"/>
        <v>2.6741789373454676E-9</v>
      </c>
      <c r="M138" s="36" t="s">
        <v>1488</v>
      </c>
      <c r="N138" s="29"/>
      <c r="O138" s="36"/>
    </row>
    <row r="139" spans="1:15" ht="12.75" customHeight="1" x14ac:dyDescent="0.3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3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3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3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3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3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3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3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3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3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3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3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3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3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3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3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3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3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3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3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3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3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3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3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3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3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3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3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3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3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3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3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3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3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3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3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3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3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3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3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3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3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3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3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9.3209725175231531E-2</v>
      </c>
      <c r="L182" s="636">
        <f>IF(ISBLANK(I182),IF(ISNUMBER(J182)=FALSE,K182,J182),I182)</f>
        <v>9.3209725175231531E-2</v>
      </c>
      <c r="M182" s="36" t="s">
        <v>486</v>
      </c>
      <c r="N182" s="36"/>
      <c r="O182" s="36"/>
    </row>
    <row r="183" spans="1:15" ht="12.75" customHeight="1" x14ac:dyDescent="0.3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0.83521115098201426</v>
      </c>
      <c r="L183" s="636">
        <f>IF(ISBLANK(I183),IF(ISNUMBER(J183)=FALSE,K183,J183),I183)</f>
        <v>0.83521115098201426</v>
      </c>
      <c r="M183" s="36" t="s">
        <v>486</v>
      </c>
      <c r="N183" s="36" t="s">
        <v>2185</v>
      </c>
      <c r="O183" s="36"/>
    </row>
    <row r="184" spans="1:15" ht="12.75" customHeight="1" x14ac:dyDescent="0.3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7.1579123842754208E-2</v>
      </c>
      <c r="L184" s="636">
        <f>IF(ISBLANK(I184),IF(ISNUMBER(J184)=FALSE,K184,J184),I184)</f>
        <v>7.1579123842754208E-2</v>
      </c>
      <c r="M184" s="36" t="s">
        <v>486</v>
      </c>
      <c r="N184" s="36" t="s">
        <v>2185</v>
      </c>
      <c r="O184" s="36"/>
    </row>
    <row r="185" spans="1:15" ht="12.75" customHeight="1" x14ac:dyDescent="0.3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2.2320038487426459E-12</v>
      </c>
      <c r="L185" s="636">
        <f>IF(ISBLANK(I185),IF(ISNUMBER(J185)=FALSE,K185,J185),I185)</f>
        <v>2.2320038487426459E-12</v>
      </c>
      <c r="M185" s="36" t="s">
        <v>486</v>
      </c>
      <c r="N185" s="29"/>
      <c r="O185" s="36"/>
    </row>
    <row r="186" spans="1:15" ht="12.75" customHeight="1" x14ac:dyDescent="0.3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3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448027901279.52948</v>
      </c>
      <c r="L187" s="636">
        <f t="shared" ref="L187:L194" si="10">IF(ISBLANK(I187),IF(ISNUMBER(J187)=FALSE,K187,J187),I187)</f>
        <v>448027901279.52948</v>
      </c>
      <c r="M187" s="36" t="s">
        <v>4051</v>
      </c>
      <c r="N187" s="29"/>
      <c r="O187" s="36"/>
    </row>
    <row r="188" spans="1:15" ht="12.75" customHeight="1" x14ac:dyDescent="0.3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38396810905.829605</v>
      </c>
      <c r="L188" s="636">
        <f t="shared" si="10"/>
        <v>38396810905.829605</v>
      </c>
      <c r="M188" s="36" t="s">
        <v>4052</v>
      </c>
      <c r="N188" s="29" t="s">
        <v>924</v>
      </c>
      <c r="O188" s="36"/>
    </row>
    <row r="189" spans="1:15" ht="12.75" customHeight="1" x14ac:dyDescent="0.3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0.99994877197396703</v>
      </c>
      <c r="L189" s="636">
        <f t="shared" si="10"/>
        <v>0.99994877197396703</v>
      </c>
      <c r="M189" s="36" t="s">
        <v>486</v>
      </c>
      <c r="N189" s="29"/>
      <c r="O189" s="36"/>
    </row>
    <row r="190" spans="1:15" ht="12.75" customHeight="1" x14ac:dyDescent="0.3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0.99994877197396703</v>
      </c>
      <c r="L190" s="636">
        <f t="shared" si="10"/>
        <v>0.99994877197396703</v>
      </c>
      <c r="M190" s="36" t="s">
        <v>486</v>
      </c>
      <c r="N190" s="29"/>
      <c r="O190" s="36"/>
    </row>
    <row r="191" spans="1:15" ht="12.75" customHeight="1" x14ac:dyDescent="0.3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7.6861300956135628</v>
      </c>
      <c r="L191" s="636">
        <f t="shared" si="10"/>
        <v>7.6861300956135628</v>
      </c>
      <c r="M191" s="36" t="s">
        <v>1498</v>
      </c>
      <c r="N191" s="29"/>
      <c r="O191" s="36"/>
    </row>
    <row r="192" spans="1:15" ht="12.75" customHeight="1" x14ac:dyDescent="0.3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7.6861300956135628</v>
      </c>
      <c r="L192" s="636">
        <f t="shared" si="10"/>
        <v>7.6861300956135628</v>
      </c>
      <c r="M192" s="36" t="s">
        <v>1498</v>
      </c>
      <c r="N192" s="29"/>
      <c r="O192" s="36"/>
    </row>
    <row r="193" spans="1:15" ht="12.75" customHeight="1" x14ac:dyDescent="0.3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3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3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3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3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12.8</v>
      </c>
      <c r="L197" s="636">
        <f>IF(ISBLANK(I197),IF(ISNUMBER(J197)=FALSE,K197,J197),I197)</f>
        <v>12.8</v>
      </c>
      <c r="M197" s="36" t="s">
        <v>1498</v>
      </c>
      <c r="N197" s="29"/>
      <c r="O197" s="36"/>
    </row>
    <row r="198" spans="1:15" ht="12.75" customHeight="1" x14ac:dyDescent="0.3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12.8</v>
      </c>
      <c r="L198" s="636">
        <f>IF(ISBLANK(I198),IF(ISNUMBER(J198)=FALSE,K198,J198),I198)</f>
        <v>12.8</v>
      </c>
      <c r="M198" s="36" t="s">
        <v>1498</v>
      </c>
      <c r="N198" s="29"/>
      <c r="O198" s="36"/>
    </row>
    <row r="199" spans="1:15" ht="12.75" customHeight="1" x14ac:dyDescent="0.3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3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3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2.7215325239033903</v>
      </c>
      <c r="L201" s="636">
        <f t="shared" ref="L201:L208" si="11">IF(ISBLANK(I201),IF(ISNUMBER(J201)=FALSE,K201,J201),I201)</f>
        <v>2.7215325239033903</v>
      </c>
      <c r="M201" s="36" t="s">
        <v>486</v>
      </c>
      <c r="N201" s="29"/>
      <c r="O201" s="36"/>
    </row>
    <row r="202" spans="1:15" ht="12.75" customHeight="1" x14ac:dyDescent="0.3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3.8430650478067814</v>
      </c>
      <c r="L202" s="636">
        <f t="shared" si="11"/>
        <v>3.8430650478067814</v>
      </c>
      <c r="M202" s="36" t="s">
        <v>1498</v>
      </c>
      <c r="N202" s="29"/>
      <c r="O202" s="36"/>
    </row>
    <row r="203" spans="1:15" ht="12.75" customHeight="1" x14ac:dyDescent="0.3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3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2.5058390286845156</v>
      </c>
      <c r="L204" s="636">
        <f t="shared" si="11"/>
        <v>2.5058390286845156</v>
      </c>
      <c r="M204" s="29" t="s">
        <v>486</v>
      </c>
      <c r="N204" s="29"/>
      <c r="O204" s="36"/>
    </row>
    <row r="205" spans="1:15" ht="12.75" customHeight="1" x14ac:dyDescent="0.3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7.9813586471671139E-2</v>
      </c>
      <c r="L205" s="636">
        <f t="shared" si="11"/>
        <v>7.9813586471671139E-2</v>
      </c>
      <c r="M205" s="29" t="s">
        <v>486</v>
      </c>
      <c r="N205" s="29"/>
      <c r="O205" s="36"/>
    </row>
    <row r="206" spans="1:15" ht="12.75" customHeight="1" x14ac:dyDescent="0.3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0.92018641352815067</v>
      </c>
      <c r="L206" s="636">
        <f t="shared" si="11"/>
        <v>0.92018641352815067</v>
      </c>
      <c r="M206" s="5" t="s">
        <v>486</v>
      </c>
      <c r="N206" s="29"/>
      <c r="O206" s="36"/>
    </row>
    <row r="207" spans="1:15" ht="12.75" customHeight="1" x14ac:dyDescent="0.3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1.5372260191227125</v>
      </c>
      <c r="L207" s="636">
        <f t="shared" si="11"/>
        <v>1.5372260191227125</v>
      </c>
      <c r="M207" s="36" t="s">
        <v>1498</v>
      </c>
      <c r="N207" s="29"/>
      <c r="O207" s="36"/>
    </row>
    <row r="208" spans="1:15" ht="12.75" customHeight="1" x14ac:dyDescent="0.3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3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3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3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3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4.9143252258855628E-6</v>
      </c>
      <c r="L212" s="636">
        <f t="shared" ref="L212:L225" si="12">IF(ISBLANK(I212),IF(ISNUMBER(J212)=FALSE,K212,J212),I212)</f>
        <v>4.9143252258855628E-6</v>
      </c>
      <c r="M212" s="29" t="s">
        <v>1488</v>
      </c>
      <c r="N212" s="29"/>
      <c r="O212" s="36"/>
    </row>
    <row r="213" spans="1:15" ht="12.75" customHeight="1" x14ac:dyDescent="0.3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3.1708704895485567E-6</v>
      </c>
      <c r="L213" s="636">
        <f t="shared" si="12"/>
        <v>3.1708704895485567E-6</v>
      </c>
      <c r="M213" s="29" t="s">
        <v>1488</v>
      </c>
      <c r="N213" s="29"/>
      <c r="O213" s="36"/>
    </row>
    <row r="214" spans="1:15" ht="12.75" customHeight="1" x14ac:dyDescent="0.3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8.6446887106979018E-17</v>
      </c>
      <c r="L214" s="636">
        <f t="shared" si="12"/>
        <v>8.6446887106979018E-17</v>
      </c>
      <c r="M214" s="29" t="s">
        <v>1488</v>
      </c>
      <c r="N214" s="29"/>
      <c r="O214" s="36"/>
    </row>
    <row r="215" spans="1:15" ht="12.75" customHeight="1" x14ac:dyDescent="0.3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2.3718379430493608E-14</v>
      </c>
      <c r="L215" s="636">
        <f t="shared" si="12"/>
        <v>2.3718379430493608E-14</v>
      </c>
      <c r="M215" s="29" t="s">
        <v>1488</v>
      </c>
      <c r="N215" s="29"/>
      <c r="O215" s="36"/>
    </row>
    <row r="216" spans="1:15" ht="12.75" customHeight="1" x14ac:dyDescent="0.3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7.8295165281209622E-6</v>
      </c>
      <c r="L216" s="636">
        <f t="shared" si="12"/>
        <v>7.8295165281209622E-6</v>
      </c>
      <c r="M216" s="29" t="s">
        <v>1555</v>
      </c>
      <c r="N216" s="29"/>
      <c r="O216" s="36"/>
    </row>
    <row r="217" spans="1:15" ht="12.75" customHeight="1" x14ac:dyDescent="0.3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9.0234550564591957E-6</v>
      </c>
      <c r="L217" s="636">
        <f t="shared" si="12"/>
        <v>9.0234550564591957E-6</v>
      </c>
      <c r="M217" s="29" t="s">
        <v>1488</v>
      </c>
      <c r="N217" s="29"/>
      <c r="O217" s="36"/>
    </row>
    <row r="218" spans="1:15" ht="12.75" customHeight="1" x14ac:dyDescent="0.3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2.1007288031630026E-6</v>
      </c>
      <c r="L218" s="636">
        <f t="shared" si="12"/>
        <v>2.1007288031630026E-6</v>
      </c>
      <c r="M218" s="29" t="s">
        <v>1488</v>
      </c>
      <c r="N218" s="29"/>
      <c r="O218" s="36"/>
    </row>
    <row r="219" spans="1:15" ht="12.75" customHeight="1" x14ac:dyDescent="0.3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5.5175805562711906</v>
      </c>
      <c r="L219" s="636">
        <f t="shared" si="12"/>
        <v>5.5175805562711906</v>
      </c>
      <c r="M219" s="29" t="s">
        <v>1488</v>
      </c>
      <c r="N219" s="29"/>
      <c r="O219" s="36"/>
    </row>
    <row r="220" spans="1:15" ht="12.75" customHeight="1" x14ac:dyDescent="0.3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3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3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9.067902748247685E-4</v>
      </c>
      <c r="L222" s="636">
        <f t="shared" si="12"/>
        <v>9.067902748247685E-4</v>
      </c>
      <c r="M222" s="29" t="s">
        <v>1490</v>
      </c>
      <c r="N222" s="29"/>
      <c r="O222" s="36"/>
    </row>
    <row r="223" spans="1:15" ht="12.75" customHeight="1" x14ac:dyDescent="0.3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1.8914659395282167E-3</v>
      </c>
      <c r="L223" s="636">
        <f t="shared" si="12"/>
        <v>1.8914659395282167E-3</v>
      </c>
      <c r="M223" s="29" t="s">
        <v>1490</v>
      </c>
      <c r="N223" s="29"/>
      <c r="O223" s="36"/>
    </row>
    <row r="224" spans="1:15" ht="12.75" customHeight="1" x14ac:dyDescent="0.3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5517.5774708667223</v>
      </c>
      <c r="L224" s="636">
        <f t="shared" si="12"/>
        <v>5517.5774708667223</v>
      </c>
      <c r="M224" s="29" t="s">
        <v>1490</v>
      </c>
      <c r="N224" s="29"/>
      <c r="O224" s="36"/>
    </row>
    <row r="225" spans="1:15" ht="12.75" customHeight="1" x14ac:dyDescent="0.3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3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3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3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3.6102551502164307E-4</v>
      </c>
      <c r="L228" s="636">
        <f t="shared" si="13"/>
        <v>3.6102551502164307E-4</v>
      </c>
      <c r="M228" s="36" t="s">
        <v>4047</v>
      </c>
      <c r="N228" s="29"/>
      <c r="O228" s="36"/>
    </row>
    <row r="229" spans="1:15" ht="12.75" customHeight="1" x14ac:dyDescent="0.3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9.7659695750429052E-5</v>
      </c>
      <c r="L229" s="636">
        <f>IF(ISBLANK(I229),IF(ISNUMBER(J229)=FALSE,K229,J229),I229)</f>
        <v>9.7659695750429052E-5</v>
      </c>
      <c r="M229" s="36" t="s">
        <v>4047</v>
      </c>
      <c r="N229" s="29"/>
      <c r="O229" s="36"/>
    </row>
    <row r="230" spans="1:15" ht="12.75" customHeight="1" x14ac:dyDescent="0.3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8.644688710697902E-15</v>
      </c>
      <c r="L230" s="636">
        <f t="shared" si="13"/>
        <v>8.644688710697902E-15</v>
      </c>
      <c r="M230" s="36" t="s">
        <v>4047</v>
      </c>
      <c r="N230" s="29"/>
      <c r="O230" s="36"/>
    </row>
    <row r="231" spans="1:15" ht="12.75" customHeight="1" x14ac:dyDescent="0.3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1.1859189715246805E-15</v>
      </c>
      <c r="L231" s="636">
        <f>IF(ISBLANK(I231),IF(ISNUMBER(J231)=FALSE,K231,J231),I231)</f>
        <v>1.1859189715246805E-15</v>
      </c>
      <c r="M231" s="36" t="s">
        <v>4047</v>
      </c>
      <c r="N231" s="29"/>
      <c r="O231" s="36"/>
    </row>
    <row r="232" spans="1:15" ht="12.75" customHeight="1" x14ac:dyDescent="0.3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3.8732601668996416E-3</v>
      </c>
      <c r="L232" s="636">
        <f t="shared" si="13"/>
        <v>3.8732601668996416E-3</v>
      </c>
      <c r="M232" s="29" t="s">
        <v>1490</v>
      </c>
      <c r="N232" s="29"/>
      <c r="O232" s="36"/>
    </row>
    <row r="233" spans="1:15" ht="12.75" customHeight="1" x14ac:dyDescent="0.3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4.6776192822663505E-6</v>
      </c>
      <c r="L233" s="636">
        <f t="shared" si="13"/>
        <v>4.6776192822663505E-6</v>
      </c>
      <c r="M233" s="29" t="s">
        <v>1490</v>
      </c>
      <c r="N233" s="29"/>
      <c r="O233" s="36"/>
    </row>
    <row r="234" spans="1:15" ht="12.75" customHeight="1" x14ac:dyDescent="0.3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3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3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5.8200199506518189E-11</v>
      </c>
      <c r="L236" s="636">
        <f>IF(ISBLANK(I236),IF(ISNUMBER(J236)=FALSE,K236,J236),I236)</f>
        <v>5.8200199506518189E-11</v>
      </c>
      <c r="M236" s="29" t="s">
        <v>1490</v>
      </c>
      <c r="N236" s="29" t="s">
        <v>1415</v>
      </c>
      <c r="O236" s="36"/>
    </row>
    <row r="237" spans="1:15" ht="12.75" customHeight="1" x14ac:dyDescent="0.3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3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3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9.66194463022164E-12</v>
      </c>
      <c r="L239" s="636">
        <f t="shared" ref="L239:L245" si="14">IF(ISBLANK(I239),IF(ISNUMBER(J239)=FALSE,K239,J239),I239)</f>
        <v>9.66194463022164E-12</v>
      </c>
      <c r="M239" s="29" t="s">
        <v>1488</v>
      </c>
      <c r="N239" s="29"/>
      <c r="O239" s="36"/>
    </row>
    <row r="240" spans="1:15" ht="12.75" customHeight="1" x14ac:dyDescent="0.3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3.4652361152846669E-7</v>
      </c>
      <c r="L240" s="636">
        <f t="shared" si="14"/>
        <v>3.4652361152846669E-7</v>
      </c>
      <c r="M240" s="29" t="s">
        <v>1488</v>
      </c>
      <c r="N240" s="29"/>
      <c r="O240" s="36"/>
    </row>
    <row r="241" spans="1:15" ht="12.75" customHeight="1" x14ac:dyDescent="0.3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1.482292419935412E-9</v>
      </c>
      <c r="L241" s="636">
        <f t="shared" si="14"/>
        <v>1.482292419935412E-9</v>
      </c>
      <c r="M241" s="36" t="s">
        <v>4047</v>
      </c>
      <c r="N241" s="325"/>
      <c r="O241" s="36"/>
    </row>
    <row r="242" spans="1:15" ht="12.75" customHeight="1" x14ac:dyDescent="0.3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3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3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3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3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3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2.750354147072951E-8</v>
      </c>
      <c r="L247" s="636">
        <f>IF(ISBLANK(I247),IF(ISNUMBER(J247)=FALSE,K247,J247),I247)</f>
        <v>2.750354147072951E-8</v>
      </c>
      <c r="M247" s="36" t="s">
        <v>4047</v>
      </c>
      <c r="N247" s="29"/>
      <c r="O247" s="36"/>
    </row>
    <row r="248" spans="1:15" ht="12.75" customHeight="1" x14ac:dyDescent="0.3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1.0106419913586115E-8</v>
      </c>
      <c r="L248" s="636">
        <f>IF(ISBLANK(I248),IF(ISNUMBER(J248)=FALSE,K248,J248),I248)</f>
        <v>1.0106419913586115E-8</v>
      </c>
      <c r="M248" s="36" t="s">
        <v>4047</v>
      </c>
      <c r="N248" s="29"/>
      <c r="O248" s="36"/>
    </row>
    <row r="249" spans="1:15" ht="12.75" customHeight="1" x14ac:dyDescent="0.3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3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3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3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2.0124792019013467E-8</v>
      </c>
      <c r="L252" s="636">
        <f>IF(ISBLANK(I252),IF(ISNUMBER(J252)=FALSE,K252,J252),I252)</f>
        <v>2.0124792019013467E-8</v>
      </c>
      <c r="M252" s="29" t="s">
        <v>1488</v>
      </c>
      <c r="N252" s="29"/>
      <c r="O252" s="36"/>
    </row>
    <row r="253" spans="1:15" ht="12.75" customHeight="1" x14ac:dyDescent="0.3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3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3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3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3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3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3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2.4628381466129294E-7</v>
      </c>
      <c r="L259" s="636">
        <f t="shared" ref="L259:L274" si="15">IF(ISBLANK(I259),IF(ISNUMBER(J259)=FALSE,K259,J259),I259)</f>
        <v>2.4628381466129294E-7</v>
      </c>
      <c r="M259" s="29" t="s">
        <v>1488</v>
      </c>
      <c r="N259" s="29"/>
      <c r="O259" s="36"/>
    </row>
    <row r="260" spans="1:15" ht="12.75" customHeight="1" x14ac:dyDescent="0.3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4.6843424434504381E-11</v>
      </c>
      <c r="L260" s="636">
        <f t="shared" si="15"/>
        <v>4.6843424434504381E-11</v>
      </c>
      <c r="M260" s="29" t="s">
        <v>1488</v>
      </c>
      <c r="N260" s="29"/>
      <c r="O260" s="36"/>
    </row>
    <row r="261" spans="1:15" ht="12.75" customHeight="1" x14ac:dyDescent="0.3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4.6843424434504381E-11</v>
      </c>
      <c r="L261" s="636">
        <f t="shared" si="15"/>
        <v>4.6843424434504381E-11</v>
      </c>
      <c r="M261" s="29" t="s">
        <v>1488</v>
      </c>
      <c r="N261" s="29"/>
      <c r="O261" s="36"/>
    </row>
    <row r="262" spans="1:15" ht="12.75" customHeight="1" x14ac:dyDescent="0.3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6.031418563876915E-11</v>
      </c>
      <c r="L262" s="636">
        <f t="shared" si="15"/>
        <v>6.031418563876915E-11</v>
      </c>
      <c r="M262" s="29" t="s">
        <v>1488</v>
      </c>
      <c r="N262" s="29"/>
      <c r="O262" s="36"/>
    </row>
    <row r="263" spans="1:15" ht="12.75" customHeight="1" x14ac:dyDescent="0.3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7.1743887320962765E-10</v>
      </c>
      <c r="L263" s="636">
        <f t="shared" si="15"/>
        <v>7.1743887320962765E-10</v>
      </c>
      <c r="M263" s="29" t="s">
        <v>1488</v>
      </c>
      <c r="N263" s="29"/>
      <c r="O263" s="36"/>
    </row>
    <row r="264" spans="1:15" ht="12.75" customHeight="1" x14ac:dyDescent="0.3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3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2.4591748877946477E-7</v>
      </c>
      <c r="L265" s="636">
        <f t="shared" si="15"/>
        <v>2.4591748877946477E-7</v>
      </c>
      <c r="M265" s="36" t="s">
        <v>1488</v>
      </c>
      <c r="N265" s="29"/>
      <c r="O265" s="36"/>
    </row>
    <row r="266" spans="1:15" ht="12.75" customHeight="1" x14ac:dyDescent="0.3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3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3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4.6843424434504381E-11</v>
      </c>
      <c r="L268" s="636">
        <f t="shared" si="15"/>
        <v>4.6843424434504381E-11</v>
      </c>
      <c r="M268" s="36" t="s">
        <v>1488</v>
      </c>
      <c r="N268" s="29"/>
      <c r="O268" s="36"/>
    </row>
    <row r="269" spans="1:15" ht="12.75" customHeight="1" x14ac:dyDescent="0.3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4.6843424434504381E-11</v>
      </c>
      <c r="L269" s="636">
        <f t="shared" si="15"/>
        <v>4.6843424434504381E-11</v>
      </c>
      <c r="M269" s="36" t="s">
        <v>1488</v>
      </c>
      <c r="N269" s="29"/>
      <c r="O269" s="36"/>
    </row>
    <row r="270" spans="1:15" ht="12.75" customHeight="1" x14ac:dyDescent="0.3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3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3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3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5.8200199506518201E-11</v>
      </c>
      <c r="L273" s="636">
        <f t="shared" si="15"/>
        <v>5.8200199506518201E-11</v>
      </c>
      <c r="M273" s="36" t="s">
        <v>1488</v>
      </c>
      <c r="N273" s="29"/>
      <c r="O273" s="36"/>
    </row>
    <row r="274" spans="1:15" ht="12.75" customHeight="1" x14ac:dyDescent="0.3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5.8200199506518189E-10</v>
      </c>
      <c r="L274" s="636">
        <f t="shared" si="15"/>
        <v>5.8200199506518189E-10</v>
      </c>
      <c r="M274" s="36" t="s">
        <v>1488</v>
      </c>
      <c r="N274" s="29"/>
      <c r="O274" s="36"/>
    </row>
    <row r="275" spans="1:15" ht="12.75" customHeight="1" x14ac:dyDescent="0.3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3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3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3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3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3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3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3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3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3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3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3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3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3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3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3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3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3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3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3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3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3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3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3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3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3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3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3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3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3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3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3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3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3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3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3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3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3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3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3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3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3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3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3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0.55176159029624605</v>
      </c>
      <c r="L318" s="636">
        <f>IF(ISBLANK(I318),IF(ISNUMBER(J318)=FALSE,K318,J318),I318)</f>
        <v>0.55176159029624605</v>
      </c>
      <c r="M318" s="20" t="s">
        <v>486</v>
      </c>
      <c r="N318" s="36"/>
      <c r="O318" s="36"/>
    </row>
    <row r="319" spans="1:15" ht="12.75" customHeight="1" x14ac:dyDescent="0.3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2.4520700749658307E-2</v>
      </c>
      <c r="L319" s="636">
        <f>IF(ISBLANK(I319),IF(ISNUMBER(J319)=FALSE,K319,J319),I319)</f>
        <v>2.4520700749658307E-2</v>
      </c>
      <c r="M319" s="36" t="s">
        <v>486</v>
      </c>
      <c r="N319" s="29" t="s">
        <v>2185</v>
      </c>
      <c r="O319" s="36"/>
    </row>
    <row r="320" spans="1:15" ht="12.75" customHeight="1" x14ac:dyDescent="0.3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0.42371770895409566</v>
      </c>
      <c r="L320" s="636">
        <f>IF(ISBLANK(I320),IF(ISNUMBER(J320)=FALSE,K320,J320),I320)</f>
        <v>0.42371770895409566</v>
      </c>
      <c r="M320" s="36" t="s">
        <v>486</v>
      </c>
      <c r="N320" s="29" t="s">
        <v>2185</v>
      </c>
      <c r="O320" s="36"/>
    </row>
    <row r="321" spans="1:15" ht="12.75" customHeight="1" x14ac:dyDescent="0.3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4.5003737530130299E-10</v>
      </c>
      <c r="L321" s="636">
        <f>IF(ISBLANK(I321),IF(ISNUMBER(J321)=FALSE,K321,J321),I321)</f>
        <v>4.5003737530130299E-10</v>
      </c>
      <c r="M321" s="36" t="s">
        <v>486</v>
      </c>
      <c r="N321" s="29"/>
      <c r="O321" s="36"/>
    </row>
    <row r="322" spans="1:15" ht="12.75" customHeight="1" x14ac:dyDescent="0.3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3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2222037668.1614351</v>
      </c>
      <c r="L323" s="636">
        <f t="shared" ref="L323:L330" si="18">IF(ISBLANK(I323),IF(ISNUMBER(J323)=FALSE,K323,J323),I323)</f>
        <v>2222037668.1614351</v>
      </c>
      <c r="M323" s="36" t="s">
        <v>4051</v>
      </c>
      <c r="N323" s="29"/>
      <c r="O323" s="36"/>
    </row>
    <row r="324" spans="1:15" ht="12.75" customHeight="1" x14ac:dyDescent="0.3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38396810905.829605</v>
      </c>
      <c r="L324" s="636">
        <f t="shared" si="18"/>
        <v>38396810905.829605</v>
      </c>
      <c r="M324" s="36" t="s">
        <v>4052</v>
      </c>
      <c r="N324" s="29" t="s">
        <v>924</v>
      </c>
      <c r="O324" s="36"/>
    </row>
    <row r="325" spans="1:15" ht="12.75" customHeight="1" x14ac:dyDescent="0.3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0.99994877197396703</v>
      </c>
      <c r="L325" s="636">
        <f t="shared" si="18"/>
        <v>0.99994877197396703</v>
      </c>
      <c r="M325" s="36" t="s">
        <v>486</v>
      </c>
      <c r="N325" s="29"/>
      <c r="O325" s="36"/>
    </row>
    <row r="326" spans="1:15" ht="12.75" customHeight="1" x14ac:dyDescent="0.3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0.99994877197396703</v>
      </c>
      <c r="L326" s="636">
        <f t="shared" si="18"/>
        <v>0.99994877197396703</v>
      </c>
      <c r="M326" s="36" t="s">
        <v>486</v>
      </c>
      <c r="N326" s="29"/>
      <c r="O326" s="36"/>
    </row>
    <row r="327" spans="1:15" ht="12.75" customHeight="1" x14ac:dyDescent="0.3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7.6861300956135628</v>
      </c>
      <c r="L327" s="636">
        <f t="shared" si="18"/>
        <v>7.6861300956135628</v>
      </c>
      <c r="M327" s="36" t="s">
        <v>1498</v>
      </c>
      <c r="N327" s="29"/>
      <c r="O327" s="36"/>
    </row>
    <row r="328" spans="1:15" ht="12.75" customHeight="1" x14ac:dyDescent="0.3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7.6861300956135628</v>
      </c>
      <c r="L328" s="636">
        <f t="shared" si="18"/>
        <v>7.6861300956135628</v>
      </c>
      <c r="M328" s="36" t="s">
        <v>1498</v>
      </c>
      <c r="N328" s="29"/>
      <c r="O328" s="36"/>
    </row>
    <row r="329" spans="1:15" ht="12.75" customHeight="1" x14ac:dyDescent="0.3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3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3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3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3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12.8</v>
      </c>
      <c r="L333" s="636">
        <f>IF(ISBLANK(I333),IF(ISNUMBER(J333)=FALSE,K333,J333),I333)</f>
        <v>12.8</v>
      </c>
      <c r="M333" s="36" t="s">
        <v>1498</v>
      </c>
      <c r="N333" s="29"/>
      <c r="O333" s="36"/>
    </row>
    <row r="334" spans="1:15" ht="12.75" customHeight="1" x14ac:dyDescent="0.3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12.8</v>
      </c>
      <c r="L334" s="636">
        <f>IF(ISBLANK(I334),IF(ISNUMBER(J334)=FALSE,K334,J334),I334)</f>
        <v>12.8</v>
      </c>
      <c r="M334" s="36" t="s">
        <v>1498</v>
      </c>
      <c r="N334" s="29"/>
      <c r="O334" s="36"/>
    </row>
    <row r="335" spans="1:15" ht="12.75" customHeight="1" x14ac:dyDescent="0.3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3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3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2.7215325239033903</v>
      </c>
      <c r="L337" s="636">
        <f t="shared" ref="L337:L344" si="19">IF(ISBLANK(I337),IF(ISNUMBER(J337)=FALSE,K337,J337),I337)</f>
        <v>2.7215325239033903</v>
      </c>
      <c r="M337" s="36" t="s">
        <v>486</v>
      </c>
      <c r="N337" s="29"/>
      <c r="O337" s="36"/>
    </row>
    <row r="338" spans="1:15" ht="12.75" customHeight="1" x14ac:dyDescent="0.3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3.8430650478067814</v>
      </c>
      <c r="L338" s="636">
        <f t="shared" si="19"/>
        <v>3.8430650478067814</v>
      </c>
      <c r="M338" s="36" t="s">
        <v>1498</v>
      </c>
      <c r="N338" s="29"/>
      <c r="O338" s="36"/>
    </row>
    <row r="339" spans="1:15" ht="12.75" customHeight="1" x14ac:dyDescent="0.3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3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2.5058390287740764</v>
      </c>
      <c r="L340" s="636">
        <f t="shared" si="19"/>
        <v>2.5058390287740764</v>
      </c>
      <c r="M340" s="29" t="s">
        <v>486</v>
      </c>
      <c r="N340" s="29"/>
      <c r="O340" s="36"/>
    </row>
    <row r="341" spans="1:15" ht="12.75" customHeight="1" x14ac:dyDescent="0.3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7.9813586468818545E-2</v>
      </c>
      <c r="L341" s="636">
        <f t="shared" si="19"/>
        <v>7.9813586468818545E-2</v>
      </c>
      <c r="M341" s="29" t="s">
        <v>486</v>
      </c>
      <c r="N341" s="29"/>
      <c r="O341" s="36"/>
    </row>
    <row r="342" spans="1:15" ht="12.75" customHeight="1" x14ac:dyDescent="0.3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0.92018641349526231</v>
      </c>
      <c r="L342" s="636">
        <f t="shared" si="19"/>
        <v>0.92018641349526231</v>
      </c>
      <c r="M342" s="5" t="s">
        <v>486</v>
      </c>
      <c r="N342" s="29"/>
      <c r="O342" s="36"/>
    </row>
    <row r="343" spans="1:15" ht="12.75" customHeight="1" x14ac:dyDescent="0.3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1.5372260191227125</v>
      </c>
      <c r="L343" s="636">
        <f t="shared" si="19"/>
        <v>1.5372260191227125</v>
      </c>
      <c r="M343" s="36" t="s">
        <v>1498</v>
      </c>
      <c r="N343" s="29"/>
      <c r="O343" s="36"/>
    </row>
    <row r="344" spans="1:15" ht="12.75" customHeight="1" x14ac:dyDescent="0.3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3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3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3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3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6.3396114777620021E-6</v>
      </c>
      <c r="L348" s="636">
        <f t="shared" ref="L348:L361" si="20">IF(ISBLANK(I348),IF(ISNUMBER(J348)=FALSE,K348,J348),I348)</f>
        <v>6.3396114777620021E-6</v>
      </c>
      <c r="M348" s="29" t="s">
        <v>1488</v>
      </c>
      <c r="N348" s="29"/>
      <c r="O348" s="36"/>
    </row>
    <row r="349" spans="1:15" ht="12.75" customHeight="1" x14ac:dyDescent="0.3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2.2492260137257923E-6</v>
      </c>
      <c r="L349" s="636">
        <f t="shared" si="20"/>
        <v>2.2492260137257923E-6</v>
      </c>
      <c r="M349" s="29" t="s">
        <v>1488</v>
      </c>
      <c r="N349" s="29"/>
      <c r="O349" s="36"/>
    </row>
    <row r="350" spans="1:15" ht="12.75" customHeight="1" x14ac:dyDescent="0.3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1.7430218936559197E-14</v>
      </c>
      <c r="L350" s="636">
        <f t="shared" si="20"/>
        <v>1.7430218936559197E-14</v>
      </c>
      <c r="M350" s="29" t="s">
        <v>1488</v>
      </c>
      <c r="N350" s="29"/>
      <c r="O350" s="36"/>
    </row>
    <row r="351" spans="1:15" ht="12.75" customHeight="1" x14ac:dyDescent="0.3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4.7810306376587074E-12</v>
      </c>
      <c r="L351" s="636">
        <f t="shared" si="20"/>
        <v>4.7810306376587074E-12</v>
      </c>
      <c r="M351" s="29" t="s">
        <v>1488</v>
      </c>
      <c r="N351" s="29"/>
      <c r="O351" s="36"/>
    </row>
    <row r="352" spans="1:15" ht="12.75" customHeight="1" x14ac:dyDescent="0.3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6.9194724324493268E-6</v>
      </c>
      <c r="L352" s="636">
        <f t="shared" si="20"/>
        <v>6.9194724324493268E-6</v>
      </c>
      <c r="M352" s="29" t="s">
        <v>1555</v>
      </c>
      <c r="N352" s="29"/>
      <c r="O352" s="36"/>
    </row>
    <row r="353" spans="1:15" ht="12.75" customHeight="1" x14ac:dyDescent="0.3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1.0923229096045866E-5</v>
      </c>
      <c r="L353" s="636">
        <f t="shared" si="20"/>
        <v>1.0923229096045866E-5</v>
      </c>
      <c r="M353" s="29" t="s">
        <v>1488</v>
      </c>
      <c r="N353" s="29"/>
      <c r="O353" s="36"/>
    </row>
    <row r="354" spans="1:15" ht="12.75" customHeight="1" x14ac:dyDescent="0.3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4.4519950733002928E-6</v>
      </c>
      <c r="L354" s="636">
        <f t="shared" si="20"/>
        <v>4.4519950733002928E-6</v>
      </c>
      <c r="M354" s="29" t="s">
        <v>1488</v>
      </c>
      <c r="N354" s="29"/>
      <c r="O354" s="36"/>
    </row>
    <row r="355" spans="1:15" ht="12.75" customHeight="1" x14ac:dyDescent="0.3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0.84240407316523302</v>
      </c>
      <c r="L355" s="636">
        <f t="shared" si="20"/>
        <v>0.84240407316523302</v>
      </c>
      <c r="M355" s="29" t="s">
        <v>1488</v>
      </c>
      <c r="N355" s="29"/>
      <c r="O355" s="36"/>
    </row>
    <row r="356" spans="1:15" ht="12.75" customHeight="1" x14ac:dyDescent="0.3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3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3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4.4823840970375394E-4</v>
      </c>
      <c r="L358" s="636">
        <f t="shared" si="20"/>
        <v>4.4823840970375394E-4</v>
      </c>
      <c r="M358" s="29" t="s">
        <v>1490</v>
      </c>
      <c r="N358" s="29"/>
      <c r="O358" s="36"/>
    </row>
    <row r="359" spans="1:15" ht="12.75" customHeight="1" x14ac:dyDescent="0.3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5.8222668446677277E-2</v>
      </c>
      <c r="L359" s="636">
        <f t="shared" si="20"/>
        <v>5.8222668446677277E-2</v>
      </c>
      <c r="M359" s="29" t="s">
        <v>1490</v>
      </c>
      <c r="N359" s="29" t="s">
        <v>3910</v>
      </c>
      <c r="O359" s="36"/>
    </row>
    <row r="360" spans="1:15" ht="12.75" customHeight="1" x14ac:dyDescent="0.3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842.34184674012272</v>
      </c>
      <c r="L360" s="636">
        <f t="shared" si="20"/>
        <v>842.34184674012272</v>
      </c>
      <c r="M360" s="29" t="s">
        <v>1490</v>
      </c>
      <c r="N360" s="29"/>
      <c r="O360" s="36"/>
    </row>
    <row r="361" spans="1:15" ht="12.75" customHeight="1" x14ac:dyDescent="0.3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3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3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3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2.1371153929249623E-3</v>
      </c>
      <c r="L364" s="636">
        <f t="shared" si="21"/>
        <v>2.1371153929249623E-3</v>
      </c>
      <c r="M364" s="36" t="s">
        <v>4047</v>
      </c>
      <c r="N364" s="29"/>
      <c r="O364" s="36"/>
    </row>
    <row r="365" spans="1:15" ht="12.75" customHeight="1" x14ac:dyDescent="0.3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5.7794761330331329E-4</v>
      </c>
      <c r="L365" s="636">
        <f>IF(ISBLANK(I365),IF(ISNUMBER(J365)=FALSE,K365,J365),I365)</f>
        <v>5.7794761330331329E-4</v>
      </c>
      <c r="M365" s="36" t="s">
        <v>4047</v>
      </c>
      <c r="N365" s="29"/>
      <c r="O365" s="36"/>
    </row>
    <row r="366" spans="1:15" ht="12.75" customHeight="1" x14ac:dyDescent="0.3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1.7430218936559196E-12</v>
      </c>
      <c r="L366" s="636">
        <f t="shared" si="21"/>
        <v>1.7430218936559196E-12</v>
      </c>
      <c r="M366" s="36" t="s">
        <v>4047</v>
      </c>
      <c r="N366" s="29"/>
      <c r="O366" s="36"/>
    </row>
    <row r="367" spans="1:15" ht="12.75" customHeight="1" x14ac:dyDescent="0.3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2.3905153188293539E-13</v>
      </c>
      <c r="L367" s="636">
        <f>IF(ISBLANK(I367),IF(ISNUMBER(J367)=FALSE,K367,J367),I367)</f>
        <v>2.3905153188293539E-13</v>
      </c>
      <c r="M367" s="36" t="s">
        <v>4047</v>
      </c>
      <c r="N367" s="29"/>
      <c r="O367" s="36"/>
    </row>
    <row r="368" spans="1:15" ht="12.75" customHeight="1" x14ac:dyDescent="0.3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3.8732601668996416E-3</v>
      </c>
      <c r="L368" s="636">
        <f t="shared" si="21"/>
        <v>3.8732601668996416E-3</v>
      </c>
      <c r="M368" s="29" t="s">
        <v>1490</v>
      </c>
      <c r="N368" s="29"/>
      <c r="O368" s="36"/>
    </row>
    <row r="369" spans="1:15" ht="12.75" customHeight="1" x14ac:dyDescent="0.3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4.6776192822663505E-6</v>
      </c>
      <c r="L369" s="636">
        <f t="shared" si="21"/>
        <v>4.6776192822663505E-6</v>
      </c>
      <c r="M369" s="29" t="s">
        <v>1490</v>
      </c>
      <c r="N369" s="29"/>
      <c r="O369" s="36"/>
    </row>
    <row r="370" spans="1:15" ht="12.75" customHeight="1" x14ac:dyDescent="0.3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3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3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6.5846009179950351E-10</v>
      </c>
      <c r="L372" s="636">
        <f>IF(ISBLANK(I372),IF(ISNUMBER(J372)=FALSE,K372,J372),I372)</f>
        <v>6.5846009179950351E-10</v>
      </c>
      <c r="M372" s="29" t="s">
        <v>1490</v>
      </c>
      <c r="N372" s="29" t="s">
        <v>1415</v>
      </c>
      <c r="O372" s="36"/>
    </row>
    <row r="373" spans="1:15" ht="12.75" customHeight="1" x14ac:dyDescent="0.3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3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3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9.66194463022164E-12</v>
      </c>
      <c r="L375" s="636">
        <f t="shared" ref="L375:L381" si="22">IF(ISBLANK(I375),IF(ISNUMBER(J375)=FALSE,K375,J375),I375)</f>
        <v>9.66194463022164E-12</v>
      </c>
      <c r="M375" s="29" t="s">
        <v>1488</v>
      </c>
      <c r="N375" s="29"/>
      <c r="O375" s="36"/>
    </row>
    <row r="376" spans="1:15" ht="12.75" customHeight="1" x14ac:dyDescent="0.3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3.4652361152846669E-7</v>
      </c>
      <c r="L376" s="636">
        <f t="shared" si="22"/>
        <v>3.4652361152846669E-7</v>
      </c>
      <c r="M376" s="29" t="s">
        <v>1488</v>
      </c>
      <c r="N376" s="29"/>
      <c r="O376" s="36"/>
    </row>
    <row r="377" spans="1:15" ht="12.75" customHeight="1" x14ac:dyDescent="0.3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1.482292419935412E-9</v>
      </c>
      <c r="L377" s="636">
        <f t="shared" si="22"/>
        <v>1.482292419935412E-9</v>
      </c>
      <c r="M377" s="36" t="s">
        <v>4047</v>
      </c>
      <c r="N377" s="325"/>
      <c r="O377" s="36"/>
    </row>
    <row r="378" spans="1:15" ht="12.75" customHeight="1" x14ac:dyDescent="0.3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3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3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3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3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3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2.750354147072951E-8</v>
      </c>
      <c r="L383" s="636">
        <f>IF(ISBLANK(I383),IF(ISNUMBER(J383)=FALSE,K383,J383),I383)</f>
        <v>2.750354147072951E-8</v>
      </c>
      <c r="M383" s="36" t="s">
        <v>4047</v>
      </c>
      <c r="N383" s="29"/>
      <c r="O383" s="36"/>
    </row>
    <row r="384" spans="1:15" ht="12.75" customHeight="1" x14ac:dyDescent="0.3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1.0106419913586115E-8</v>
      </c>
      <c r="L384" s="636">
        <f>IF(ISBLANK(I384),IF(ISNUMBER(J384)=FALSE,K384,J384),I384)</f>
        <v>1.0106419913586115E-8</v>
      </c>
      <c r="M384" s="36" t="s">
        <v>4047</v>
      </c>
      <c r="N384" s="29"/>
      <c r="O384" s="36"/>
    </row>
    <row r="385" spans="1:15" ht="12.75" customHeight="1" x14ac:dyDescent="0.3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3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3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3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1.0454737478179092E-7</v>
      </c>
      <c r="L388" s="636">
        <f>IF(ISBLANK(I388),IF(ISNUMBER(J388)=FALSE,K388,J388),I388)</f>
        <v>1.0454737478179092E-7</v>
      </c>
      <c r="M388" s="29" t="s">
        <v>1488</v>
      </c>
      <c r="N388" s="29"/>
      <c r="O388" s="36"/>
    </row>
    <row r="389" spans="1:15" ht="12.75" customHeight="1" x14ac:dyDescent="0.3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3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3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3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3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3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3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1.9350341756746508E-6</v>
      </c>
      <c r="L395" s="636">
        <f t="shared" ref="L395:L410" si="23">IF(ISBLANK(I395),IF(ISNUMBER(J395)=FALSE,K395,J395),I395)</f>
        <v>1.9350341756746508E-6</v>
      </c>
      <c r="M395" s="29" t="s">
        <v>1488</v>
      </c>
      <c r="N395" s="29"/>
      <c r="O395" s="36"/>
    </row>
    <row r="396" spans="1:15" ht="12.75" customHeight="1" x14ac:dyDescent="0.3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5.2997284914620253E-10</v>
      </c>
      <c r="L396" s="636">
        <f t="shared" si="23"/>
        <v>5.2997284914620253E-10</v>
      </c>
      <c r="M396" s="29" t="s">
        <v>1488</v>
      </c>
      <c r="N396" s="29"/>
      <c r="O396" s="36"/>
    </row>
    <row r="397" spans="1:15" ht="12.75" customHeight="1" x14ac:dyDescent="0.3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5.2997284914620253E-10</v>
      </c>
      <c r="L397" s="636">
        <f t="shared" si="23"/>
        <v>5.2997284914620253E-10</v>
      </c>
      <c r="M397" s="29" t="s">
        <v>1488</v>
      </c>
      <c r="N397" s="29"/>
      <c r="O397" s="36"/>
    </row>
    <row r="398" spans="1:15" ht="12.75" customHeight="1" x14ac:dyDescent="0.3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6.6057407793175462E-10</v>
      </c>
      <c r="L398" s="636">
        <f t="shared" si="23"/>
        <v>6.6057407793175462E-10</v>
      </c>
      <c r="M398" s="29" t="s">
        <v>1488</v>
      </c>
      <c r="N398" s="29"/>
      <c r="O398" s="36"/>
    </row>
    <row r="399" spans="1:15" ht="12.75" customHeight="1" x14ac:dyDescent="0.3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7.2888726843209816E-9</v>
      </c>
      <c r="L399" s="636">
        <f t="shared" si="23"/>
        <v>7.2888726843209816E-9</v>
      </c>
      <c r="M399" s="29" t="s">
        <v>1488</v>
      </c>
      <c r="N399" s="29"/>
      <c r="O399" s="36"/>
    </row>
    <row r="400" spans="1:15" ht="12.75" customHeight="1" x14ac:dyDescent="0.3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3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1.9346678497928229E-6</v>
      </c>
      <c r="L401" s="636">
        <f t="shared" si="23"/>
        <v>1.9346678497928229E-6</v>
      </c>
      <c r="M401" s="36" t="s">
        <v>1488</v>
      </c>
      <c r="N401" s="29"/>
      <c r="O401" s="36"/>
    </row>
    <row r="402" spans="1:15" ht="12.75" customHeight="1" x14ac:dyDescent="0.3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3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3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5.2997284914620253E-10</v>
      </c>
      <c r="L404" s="636">
        <f t="shared" si="23"/>
        <v>5.2997284914620253E-10</v>
      </c>
      <c r="M404" s="36" t="s">
        <v>1488</v>
      </c>
      <c r="N404" s="29"/>
      <c r="O404" s="36"/>
    </row>
    <row r="405" spans="1:15" ht="12.75" customHeight="1" x14ac:dyDescent="0.3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5.2997284914620253E-10</v>
      </c>
      <c r="L405" s="636">
        <f t="shared" si="23"/>
        <v>5.2997284914620253E-10</v>
      </c>
      <c r="M405" s="36" t="s">
        <v>1488</v>
      </c>
      <c r="N405" s="29"/>
      <c r="O405" s="36"/>
    </row>
    <row r="406" spans="1:15" ht="12.75" customHeight="1" x14ac:dyDescent="0.3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3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3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3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6.5846009179950362E-10</v>
      </c>
      <c r="L409" s="636">
        <f t="shared" si="23"/>
        <v>6.5846009179950362E-10</v>
      </c>
      <c r="M409" s="36" t="s">
        <v>1488</v>
      </c>
      <c r="N409" s="29"/>
      <c r="O409" s="36"/>
    </row>
    <row r="410" spans="1:15" ht="12.75" customHeight="1" x14ac:dyDescent="0.3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6.5846009179950347E-9</v>
      </c>
      <c r="L410" s="636">
        <f t="shared" si="23"/>
        <v>6.5846009179950347E-9</v>
      </c>
      <c r="M410" s="36" t="s">
        <v>1488</v>
      </c>
      <c r="N410" s="29"/>
      <c r="O410" s="36"/>
    </row>
    <row r="411" spans="1:15" ht="12.75" customHeight="1" x14ac:dyDescent="0.3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3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3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3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09375" defaultRowHeight="12.75" customHeight="1" x14ac:dyDescent="0.3"/>
  <cols>
    <col min="1" max="1" width="2.33203125" customWidth="1"/>
    <col min="2" max="2" width="31.44140625" customWidth="1"/>
    <col min="3" max="4" width="9.109375" customWidth="1"/>
    <col min="5" max="5" width="9.109375" style="137" customWidth="1"/>
    <col min="6" max="13" width="9.109375" customWidth="1"/>
    <col min="14" max="14" width="9.109375" style="137" customWidth="1"/>
    <col min="15" max="36" width="9.109375" customWidth="1"/>
    <col min="37" max="16384" width="9.109375" style="26"/>
  </cols>
  <sheetData>
    <row r="1" spans="2:36" ht="12.75" customHeight="1" x14ac:dyDescent="0.3">
      <c r="B1" s="419" t="s">
        <v>271</v>
      </c>
    </row>
    <row r="2" spans="2:36" ht="12.75" customHeight="1" x14ac:dyDescent="0.3">
      <c r="B2" s="61"/>
    </row>
    <row r="3" spans="2:36" ht="12.75" customHeight="1" x14ac:dyDescent="0.3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3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3">
      <c r="B5" s="141" t="s">
        <v>1209</v>
      </c>
      <c r="C5" s="72" t="s">
        <v>532</v>
      </c>
      <c r="D5" s="372">
        <f>E.aR</f>
        <v>1.4219637660880982</v>
      </c>
      <c r="E5" s="372">
        <v>0</v>
      </c>
      <c r="F5" s="372">
        <f>E.w1R</f>
        <v>1.4219637660880982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1.4219637660880982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3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3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3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3">
      <c r="B9" s="146" t="s">
        <v>2337</v>
      </c>
      <c r="C9" s="144"/>
      <c r="D9" s="378">
        <f>-k.aR-SUM(D10:D42)</f>
        <v>-1.7833245799326521E-5</v>
      </c>
      <c r="E9" s="179">
        <f>k.w0R.aR</f>
        <v>2.832628313446183E-15</v>
      </c>
      <c r="F9" s="179">
        <f>k.w1R.aR</f>
        <v>9.4410422020256369E-14</v>
      </c>
      <c r="G9" s="179">
        <f>k.w2R.aR</f>
        <v>2.8325303446914023E-14</v>
      </c>
      <c r="H9" s="376">
        <v>0</v>
      </c>
      <c r="I9" s="376">
        <v>0</v>
      </c>
      <c r="J9" s="179">
        <f>k.s1R.aR</f>
        <v>7.7708326243272425E-13</v>
      </c>
      <c r="K9" s="179">
        <f>k.s2R.aR</f>
        <v>3.5361502868102846E-13</v>
      </c>
      <c r="L9" s="179">
        <f>k.s3R.aR</f>
        <v>7.7708326243272425E-13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3">
      <c r="B10" s="146" t="s">
        <v>2338</v>
      </c>
      <c r="C10" s="144"/>
      <c r="D10" s="179">
        <f>k.aR.w0R</f>
        <v>2.042092426847822E-8</v>
      </c>
      <c r="E10" s="378">
        <f>-k.w0R-SUM(E9,E11:E41)</f>
        <v>-2.6125064093270299E-9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4.6921582432191008E-9</v>
      </c>
      <c r="K10" s="655">
        <f>k.s2R.w0R</f>
        <v>2.1351864748154871E-9</v>
      </c>
      <c r="L10" s="655">
        <f>k.s3R.w0R</f>
        <v>4.6921582432191008E-9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3">
      <c r="B11" s="146" t="s">
        <v>2339</v>
      </c>
      <c r="C11" s="144"/>
      <c r="D11" s="179">
        <f>k.aR.w1R</f>
        <v>2.2463016695326045E-7</v>
      </c>
      <c r="E11" s="179">
        <f>k.w0R.w1R</f>
        <v>2.3972602739726025E-9</v>
      </c>
      <c r="F11" s="378">
        <f>-k.w1R-SUM(F9:F10,F12:F41)</f>
        <v>-8.3262003595482935E-8</v>
      </c>
      <c r="G11" s="376">
        <v>0</v>
      </c>
      <c r="H11" s="179">
        <f>k.sd1R.w1R</f>
        <v>3.6292048071500488E-7</v>
      </c>
      <c r="I11" s="376">
        <v>0</v>
      </c>
      <c r="J11" s="179">
        <f>k.s1R.w1R</f>
        <v>5.1613740675410114E-8</v>
      </c>
      <c r="K11" s="179">
        <f>k.s2R.w1R</f>
        <v>2.3487051222970356E-8</v>
      </c>
      <c r="L11" s="179">
        <f>k.s3R.w1R</f>
        <v>5.1613740675410114E-8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3">
      <c r="B12" s="146" t="s">
        <v>2340</v>
      </c>
      <c r="C12" s="144"/>
      <c r="D12" s="179">
        <f>k.aR.w2R</f>
        <v>3.573684082509208E-8</v>
      </c>
      <c r="E12" s="179">
        <f>k.w0R.w2R</f>
        <v>0</v>
      </c>
      <c r="F12" s="179">
        <f>k.w1R.w2R</f>
        <v>7.26442507264425E-8</v>
      </c>
      <c r="G12" s="378">
        <f>-k.w2R-SUM(G9:G11,G13:G41)</f>
        <v>-1.3729682996275241E-6</v>
      </c>
      <c r="H12" s="376">
        <v>0</v>
      </c>
      <c r="I12" s="179">
        <f>k.sd2R.w2R</f>
        <v>3.4441239218126568E-7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3">
      <c r="B13" s="146" t="s">
        <v>2341</v>
      </c>
      <c r="C13" s="144"/>
      <c r="D13" s="376">
        <v>0</v>
      </c>
      <c r="E13" s="179">
        <v>0</v>
      </c>
      <c r="F13" s="179">
        <f>k.w1R.sd1R</f>
        <v>1.0402439141446337E-8</v>
      </c>
      <c r="G13" s="376">
        <v>0</v>
      </c>
      <c r="H13" s="378">
        <f>-k.sd1R-SUM(H9:H12,H14:H41)</f>
        <v>-3.6608326686512366E-7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3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2.8985833890664925E-9</v>
      </c>
      <c r="H14" s="376">
        <v>0</v>
      </c>
      <c r="I14" s="378">
        <f>-k.sd2R-SUM(I9:I13,I15:I41)</f>
        <v>-3.4679314340833358E-7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3">
      <c r="B15" s="146" t="s">
        <v>2343</v>
      </c>
      <c r="C15" s="144"/>
      <c r="D15" s="179">
        <f>k.aR.s1R</f>
        <v>1.8333660620144195E-6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-5.9360078198039415E-8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3">
      <c r="B16" s="146" t="s">
        <v>2344</v>
      </c>
      <c r="C16" s="144"/>
      <c r="D16" s="179">
        <f>k.aR.s2R</f>
        <v>4.074146804476487E-6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-2.8469337399680212E-8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3">
      <c r="B17" s="146" t="s">
        <v>2345</v>
      </c>
      <c r="C17" s="144"/>
      <c r="D17" s="179">
        <f>k.aR.s3R</f>
        <v>6.7902446741274783E-7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-5.9360078198039415E-8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3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-1.1373993746620577E-5</v>
      </c>
      <c r="N18" s="179">
        <f>k.w0C.aC</f>
        <v>2.832628313446183E-15</v>
      </c>
      <c r="O18" s="179">
        <f>k.w1C.aC</f>
        <v>9.4410422020256369E-14</v>
      </c>
      <c r="P18" s="179">
        <f>k.w2C.aC</f>
        <v>1.4162651723457011E-15</v>
      </c>
      <c r="Q18" s="376">
        <v>0</v>
      </c>
      <c r="R18" s="376">
        <v>0</v>
      </c>
      <c r="S18" s="179">
        <f>k.s1C.aC</f>
        <v>7.7708326243272425E-13</v>
      </c>
      <c r="T18" s="179">
        <f>k.s2C.aC</f>
        <v>3.5361502868102846E-13</v>
      </c>
      <c r="U18" s="179">
        <f>k.s3C.aC</f>
        <v>7.7708326243272425E-13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3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1.0647608174708385E-8</v>
      </c>
      <c r="N19" s="378">
        <f>-k.w0C-SUM(N9:N18,N20:N41)</f>
        <v>-2.6125064093270303E-9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4.6921582432191016E-9</v>
      </c>
      <c r="T19" s="179">
        <f>k.s2C.w0C</f>
        <v>2.1351864748154871E-9</v>
      </c>
      <c r="U19" s="179">
        <f>k.s3C.w0C</f>
        <v>4.6921582432191016E-9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3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1.1712368992179221E-7</v>
      </c>
      <c r="N20" s="179">
        <f>k.w0C.w1C</f>
        <v>2.3972602739726029E-9</v>
      </c>
      <c r="O20" s="378">
        <f>-k.w1C-SUM(O9:O19,O21:O41)</f>
        <v>-8.3262003595482935E-8</v>
      </c>
      <c r="P20" s="376">
        <v>0</v>
      </c>
      <c r="Q20" s="179">
        <f>k.sd1C.w1C</f>
        <v>3.6294162057623545E-7</v>
      </c>
      <c r="R20" s="376">
        <v>0</v>
      </c>
      <c r="S20" s="179">
        <f>k.s1C.w1C</f>
        <v>5.1613740675410107E-8</v>
      </c>
      <c r="T20" s="179">
        <f>k.s2C.w1C</f>
        <v>2.3487051222970356E-8</v>
      </c>
      <c r="U20" s="179">
        <f>k.s3C.w1C</f>
        <v>5.1613740675410107E-8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3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4.537091165635125E-6</v>
      </c>
      <c r="N21" s="179">
        <f>k.w0C.w2C</f>
        <v>0</v>
      </c>
      <c r="O21" s="179">
        <f>k.w1C.w2C</f>
        <v>7.2644250726442513E-8</v>
      </c>
      <c r="P21" s="378">
        <f>-k.w2C-SUM(P9:P20,P22:P41)</f>
        <v>-3.2068113958135949E-8</v>
      </c>
      <c r="Q21" s="376">
        <v>0</v>
      </c>
      <c r="R21" s="179">
        <f>k.sd2C.w2C</f>
        <v>3.4561143227301242E-7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3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1.0402439141446335E-8</v>
      </c>
      <c r="P22" s="376">
        <v>0</v>
      </c>
      <c r="Q22" s="378">
        <f>-k.sd1C-SUM(Q9:Q21,Q23:Q41)</f>
        <v>-3.6608326686512355E-7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3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1.4492916945332459E-10</v>
      </c>
      <c r="Q23" s="376">
        <v>0</v>
      </c>
      <c r="R23" s="378">
        <f>-k.sd2C-SUM(R9:R22,R24:R41)</f>
        <v>-3.4679314340833348E-7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3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9.6898755865419947E-7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-5.9360078198039409E-8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3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2.1533056858982208E-6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-2.8469337399680212E-8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3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3.5888428098303675E-7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-5.9360078198039409E-8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3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-1.0901405435262727E-5</v>
      </c>
      <c r="W27" s="179">
        <f>k.w2M.aM</f>
        <v>2.8325303446914022E-15</v>
      </c>
      <c r="X27" s="376">
        <v>0</v>
      </c>
      <c r="Y27" s="376">
        <v>0</v>
      </c>
      <c r="Z27" s="179">
        <f>k.sM.aM</f>
        <v>7.7708326243272425E-13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3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4.4415670163638715E-6</v>
      </c>
      <c r="W28" s="378">
        <f>-k.w2M-SUM(W9:W27,W29:W41)</f>
        <v>-2.9406964929625865E-7</v>
      </c>
      <c r="X28" s="376">
        <f>k.w3M.w2M</f>
        <v>8.3037289171706622E-9</v>
      </c>
      <c r="Y28" s="179">
        <v>0</v>
      </c>
      <c r="Z28" s="179">
        <f>k.sM.w2M</f>
        <v>5.630589891862921E-8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3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-9.8177652894092363E-9</v>
      </c>
      <c r="Y29" s="376">
        <f>k.sdM.w3M</f>
        <v>3.4652274158028427E-7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3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9.66194463022164E-12</v>
      </c>
      <c r="Y30" s="378">
        <f>-k.sdM-SUM(Y9:Y29,Y31:Y41)</f>
        <v>-3.4679314340833348E-7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3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3.7494898323800317E-6</v>
      </c>
      <c r="W31" s="376">
        <v>0</v>
      </c>
      <c r="X31" s="376">
        <v>0</v>
      </c>
      <c r="Y31" s="376">
        <v>0</v>
      </c>
      <c r="Z31" s="378">
        <f>-k.sM-SUM(Z9:Z30,Z32:Z41)</f>
        <v>-5.9360078198039409E-8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3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-9.0238213823410237E-6</v>
      </c>
      <c r="AB32" s="179">
        <f>k.w2A.aA</f>
        <v>8.6446887106979018E-17</v>
      </c>
      <c r="AC32" s="376">
        <v>0</v>
      </c>
      <c r="AD32" s="376">
        <v>0</v>
      </c>
      <c r="AE32" s="179">
        <f>k.sA.aA</f>
        <v>2.3718379430493608E-14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3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4.9143252258855628E-6</v>
      </c>
      <c r="AB33" s="378">
        <f>-k.w2A-SUM(AB9:AB32,AB34:AB41)</f>
        <v>-2.6930808336035651E-7</v>
      </c>
      <c r="AC33" s="376">
        <f>k.w3A.w2A</f>
        <v>8.9753746616491718E-9</v>
      </c>
      <c r="AD33" s="179">
        <v>0</v>
      </c>
      <c r="AE33" s="179">
        <f>k.sA.w2A</f>
        <v>2.0124792019013467E-8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3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-1.0992664344439388E-8</v>
      </c>
      <c r="AD34" s="376">
        <f>k.sdA.w3A</f>
        <v>3.4652361152846669E-7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3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9.66194463022164E-12</v>
      </c>
      <c r="AD35" s="378">
        <f>-k.sdA-SUM(AD9:AD34,AD36:AD41)</f>
        <v>-3.4658392571410544E-7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3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3.1708704895485567E-6</v>
      </c>
      <c r="AB36" s="376">
        <v>0</v>
      </c>
      <c r="AC36" s="376">
        <v>0</v>
      </c>
      <c r="AD36" s="376">
        <v>0</v>
      </c>
      <c r="AE36" s="378">
        <f>-k.sA-SUM(AE9:AE35,AE37:AE41)</f>
        <v>-2.0842254610602524E-8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3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-1.0923595421927693E-5</v>
      </c>
      <c r="AG37" s="179">
        <f>k.w2T.aT</f>
        <v>1.7430218936559197E-14</v>
      </c>
      <c r="AH37" s="376">
        <v>0</v>
      </c>
      <c r="AI37" s="376">
        <v>0</v>
      </c>
      <c r="AJ37" s="380">
        <f>k.sT.aT</f>
        <v>4.7810306376587074E-12</v>
      </c>
    </row>
    <row r="38" spans="1:36" ht="12.75" customHeight="1" x14ac:dyDescent="0.3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6.3396114777620021E-6</v>
      </c>
      <c r="AG38" s="378">
        <f>-k.w2T-SUM(AG9:AG37,AG39:AG41)</f>
        <v>-2.4458114609522684E-7</v>
      </c>
      <c r="AH38" s="376">
        <f>k.w3T.w2T</f>
        <v>7.5748144375595357E-9</v>
      </c>
      <c r="AI38" s="179">
        <v>0</v>
      </c>
      <c r="AJ38" s="380">
        <f>k.sT.w2T</f>
        <v>1.0454737478179092E-7</v>
      </c>
    </row>
    <row r="39" spans="1:36" ht="12.75" customHeight="1" x14ac:dyDescent="0.3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-8.1144492313359607E-9</v>
      </c>
      <c r="AI39" s="376">
        <f>k.sdT.w3T</f>
        <v>3.4652361152846669E-7</v>
      </c>
      <c r="AJ39" s="379">
        <v>0</v>
      </c>
    </row>
    <row r="40" spans="1:36" ht="12.75" customHeight="1" x14ac:dyDescent="0.3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9.66194463022164E-12</v>
      </c>
      <c r="AI40" s="378">
        <f>-k.sdT-SUM(AI9:AI39,AI41)</f>
        <v>-3.4718418560639846E-7</v>
      </c>
      <c r="AJ40" s="379">
        <v>0</v>
      </c>
    </row>
    <row r="41" spans="1:36" ht="12.75" customHeight="1" x14ac:dyDescent="0.3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2.2492260137257923E-6</v>
      </c>
      <c r="AG41" s="373">
        <v>0</v>
      </c>
      <c r="AH41" s="373">
        <v>0</v>
      </c>
      <c r="AI41" s="373">
        <v>0</v>
      </c>
      <c r="AJ41" s="381">
        <f>-k.sT-SUM(AJ9:AJ40)</f>
        <v>-1.1184102849674956E-7</v>
      </c>
    </row>
    <row r="42" spans="1:36" ht="12.75" customHeight="1" x14ac:dyDescent="0.3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3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3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3">
      <c r="B45" s="233" t="s">
        <v>1364</v>
      </c>
      <c r="C45" s="391">
        <f>SUM(D45:AJ45)</f>
        <v>12503625041.209549</v>
      </c>
      <c r="D45" s="370">
        <f t="array" ref="D45:AJ45">TRANSPOSE(MMULT(MINVERSE(D9:AJ41),-TRANSPOSE(D5:AJ5)))</f>
        <v>80868.094469903546</v>
      </c>
      <c r="E45" s="370">
        <v>57059327.443470888</v>
      </c>
      <c r="F45" s="370">
        <v>43845386.87537843</v>
      </c>
      <c r="G45" s="370">
        <v>2328591.9823089936</v>
      </c>
      <c r="H45" s="370">
        <v>1245888.5993615626</v>
      </c>
      <c r="I45" s="370">
        <v>19462.95123801479</v>
      </c>
      <c r="J45" s="370">
        <v>2497652.0314926743</v>
      </c>
      <c r="K45" s="370">
        <v>61519951.454031087</v>
      </c>
      <c r="L45" s="370">
        <v>925056.3079602496</v>
      </c>
      <c r="M45" s="370">
        <v>67073.017677370764</v>
      </c>
      <c r="N45" s="370">
        <v>7114395.8930942006</v>
      </c>
      <c r="O45" s="370">
        <v>3036450.2662956524</v>
      </c>
      <c r="P45" s="370">
        <v>143036913.63053936</v>
      </c>
      <c r="Q45" s="370">
        <v>86282.253137799053</v>
      </c>
      <c r="R45" s="370">
        <v>59776.905880841136</v>
      </c>
      <c r="S45" s="370">
        <v>1094892.7566088028</v>
      </c>
      <c r="T45" s="370">
        <v>5073132.1318583498</v>
      </c>
      <c r="U45" s="370">
        <v>405515.83578103781</v>
      </c>
      <c r="V45" s="370">
        <v>8543.4411536737407</v>
      </c>
      <c r="W45" s="370">
        <v>140323196.02934319</v>
      </c>
      <c r="X45" s="370">
        <v>4104172782.9086914</v>
      </c>
      <c r="Y45" s="370">
        <v>114345.65802425705</v>
      </c>
      <c r="Z45" s="370">
        <v>539647.97068435885</v>
      </c>
      <c r="AA45" s="370">
        <v>359.13101282853791</v>
      </c>
      <c r="AB45" s="370">
        <v>110212312.31346571</v>
      </c>
      <c r="AC45" s="370">
        <v>2701984233.1595106</v>
      </c>
      <c r="AD45" s="370">
        <v>75324.964938085628</v>
      </c>
      <c r="AE45" s="370">
        <v>54636.983941286519</v>
      </c>
      <c r="AF45" s="370">
        <v>514.10052621071713</v>
      </c>
      <c r="AG45" s="370">
        <v>153717696.10092276</v>
      </c>
      <c r="AH45" s="370">
        <v>4962776379.649251</v>
      </c>
      <c r="AI45" s="370">
        <v>138111.33277453974</v>
      </c>
      <c r="AJ45" s="371">
        <v>10339.034724245848</v>
      </c>
    </row>
    <row r="46" spans="1:36" ht="12.75" customHeight="1" x14ac:dyDescent="0.3">
      <c r="B46" s="255" t="s">
        <v>2410</v>
      </c>
      <c r="C46" s="531">
        <f>SUM(D46:AJ46)</f>
        <v>24612637918.034172</v>
      </c>
      <c r="D46" s="383">
        <f>D45</f>
        <v>80868.094469903546</v>
      </c>
      <c r="E46" s="383"/>
      <c r="F46" s="383">
        <f t="shared" ref="F46:AJ46" si="0">F45</f>
        <v>43845386.87537843</v>
      </c>
      <c r="G46" s="383">
        <f t="shared" si="0"/>
        <v>2328591.9823089936</v>
      </c>
      <c r="H46" s="383">
        <f t="shared" si="0"/>
        <v>1245888.5993615626</v>
      </c>
      <c r="I46" s="383">
        <f t="shared" si="0"/>
        <v>19462.95123801479</v>
      </c>
      <c r="J46" s="383">
        <f t="shared" si="0"/>
        <v>2497652.0314926743</v>
      </c>
      <c r="K46" s="383">
        <f t="shared" si="0"/>
        <v>61519951.454031087</v>
      </c>
      <c r="L46" s="383">
        <f t="shared" si="0"/>
        <v>925056.3079602496</v>
      </c>
      <c r="M46" s="383">
        <f t="shared" si="0"/>
        <v>67073.017677370764</v>
      </c>
      <c r="N46" s="383"/>
      <c r="O46" s="383">
        <f t="shared" si="0"/>
        <v>3036450.2662956524</v>
      </c>
      <c r="P46" s="383">
        <f t="shared" si="0"/>
        <v>143036913.63053936</v>
      </c>
      <c r="Q46" s="383">
        <f t="shared" si="0"/>
        <v>86282.253137799053</v>
      </c>
      <c r="R46" s="383">
        <f t="shared" si="0"/>
        <v>59776.905880841136</v>
      </c>
      <c r="S46" s="383">
        <f t="shared" si="0"/>
        <v>1094892.7566088028</v>
      </c>
      <c r="T46" s="383">
        <f t="shared" si="0"/>
        <v>5073132.1318583498</v>
      </c>
      <c r="U46" s="383">
        <f t="shared" si="0"/>
        <v>405515.83578103781</v>
      </c>
      <c r="V46" s="383">
        <f t="shared" si="0"/>
        <v>8543.4411536737407</v>
      </c>
      <c r="W46" s="383">
        <f>SUM(W45:X45)</f>
        <v>4244495978.9380345</v>
      </c>
      <c r="X46" s="383">
        <f>SUM(W45:X45)</f>
        <v>4244495978.9380345</v>
      </c>
      <c r="Y46" s="383">
        <f t="shared" si="0"/>
        <v>114345.65802425705</v>
      </c>
      <c r="Z46" s="383">
        <f t="shared" si="0"/>
        <v>539647.97068435885</v>
      </c>
      <c r="AA46" s="383">
        <f t="shared" si="0"/>
        <v>359.13101282853791</v>
      </c>
      <c r="AB46" s="383">
        <f>SUM(AB45:AC45)</f>
        <v>2812196545.4729762</v>
      </c>
      <c r="AC46" s="383">
        <f>SUM(AB45:AC45)</f>
        <v>2812196545.4729762</v>
      </c>
      <c r="AD46" s="383">
        <f t="shared" si="0"/>
        <v>75324.964938085628</v>
      </c>
      <c r="AE46" s="383">
        <f t="shared" si="0"/>
        <v>54636.983941286519</v>
      </c>
      <c r="AF46" s="383">
        <f t="shared" si="0"/>
        <v>514.10052621071713</v>
      </c>
      <c r="AG46" s="383">
        <f>SUM(AG45:AH45)</f>
        <v>5116494075.7501736</v>
      </c>
      <c r="AH46" s="383">
        <f>SUM(AG45:AH45)</f>
        <v>5116494075.7501736</v>
      </c>
      <c r="AI46" s="383">
        <f t="shared" si="0"/>
        <v>138111.33277453974</v>
      </c>
      <c r="AJ46" s="384">
        <f t="shared" si="0"/>
        <v>10339.034724245848</v>
      </c>
    </row>
    <row r="47" spans="1:36" ht="12.75" customHeight="1" x14ac:dyDescent="0.3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3">
      <c r="A48"/>
      <c r="B48" s="255" t="s">
        <v>2408</v>
      </c>
      <c r="C48" s="515" t="e">
        <f>IF(ABS(MIN(D48:AJ48))&lt;MAX(D48:AJ48),MAX(D48:AJ48),MIN(D48:AJ48))</f>
        <v>#DIV/0!</v>
      </c>
      <c r="D48" s="515" t="str">
        <f>IF(D49&gt;0.0001,LOG(D46/D47),"")</f>
        <v/>
      </c>
      <c r="E48" s="515" t="e">
        <f t="shared" ref="E48:AJ48" si="1">IF(E49&gt;0.0001,LOG(E46/E47),"")</f>
        <v>#DIV/0!</v>
      </c>
      <c r="F48" s="515">
        <f t="shared" si="1"/>
        <v>1.5654970484556463</v>
      </c>
      <c r="G48" s="515">
        <f t="shared" si="1"/>
        <v>1.7574321276189437</v>
      </c>
      <c r="H48" s="515" t="str">
        <f t="shared" si="1"/>
        <v/>
      </c>
      <c r="I48" s="515" t="str">
        <f t="shared" si="1"/>
        <v/>
      </c>
      <c r="J48" s="515">
        <f t="shared" si="1"/>
        <v>3.0414223745779592</v>
      </c>
      <c r="K48" s="515">
        <f t="shared" si="1"/>
        <v>0.47481722298794915</v>
      </c>
      <c r="L48" s="515" t="str">
        <f t="shared" si="1"/>
        <v/>
      </c>
      <c r="M48" s="515" t="str">
        <f t="shared" si="1"/>
        <v/>
      </c>
      <c r="N48" s="515" t="e">
        <f t="shared" si="1"/>
        <v>#DIV/0!</v>
      </c>
      <c r="O48" s="515">
        <f t="shared" si="1"/>
        <v>2.9640824576002096</v>
      </c>
      <c r="P48" s="515">
        <f t="shared" si="1"/>
        <v>1.925340027105839</v>
      </c>
      <c r="Q48" s="515" t="str">
        <f t="shared" si="1"/>
        <v/>
      </c>
      <c r="R48" s="515" t="str">
        <f t="shared" si="1"/>
        <v/>
      </c>
      <c r="S48" s="515" t="str">
        <f t="shared" si="1"/>
        <v/>
      </c>
      <c r="T48" s="515">
        <f t="shared" si="1"/>
        <v>2.1077277409292088</v>
      </c>
      <c r="U48" s="515" t="str">
        <f t="shared" si="1"/>
        <v/>
      </c>
      <c r="V48" s="515" t="str">
        <f t="shared" si="1"/>
        <v/>
      </c>
      <c r="W48" s="515">
        <f t="shared" si="1"/>
        <v>2.9781221856334819</v>
      </c>
      <c r="X48" s="515">
        <f t="shared" si="1"/>
        <v>2.9781221856334819</v>
      </c>
      <c r="Y48" s="515" t="str">
        <f t="shared" si="1"/>
        <v/>
      </c>
      <c r="Z48" s="515" t="str">
        <f t="shared" si="1"/>
        <v/>
      </c>
      <c r="AA48" s="515" t="str">
        <f t="shared" si="1"/>
        <v/>
      </c>
      <c r="AB48" s="515">
        <f t="shared" si="1"/>
        <v>2.1431970862444674</v>
      </c>
      <c r="AC48" s="515">
        <f t="shared" si="1"/>
        <v>2.1431970862444674</v>
      </c>
      <c r="AD48" s="515" t="str">
        <f t="shared" si="1"/>
        <v/>
      </c>
      <c r="AE48" s="515" t="str">
        <f t="shared" si="1"/>
        <v/>
      </c>
      <c r="AF48" s="515" t="str">
        <f t="shared" si="1"/>
        <v/>
      </c>
      <c r="AG48" s="515">
        <f t="shared" si="1"/>
        <v>3.6674953365672582</v>
      </c>
      <c r="AH48" s="515">
        <f t="shared" si="1"/>
        <v>3.6674953365672582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3">
      <c r="A49"/>
      <c r="B49" s="146" t="s">
        <v>1307</v>
      </c>
      <c r="C49" s="252">
        <f>SUM(D49:AJ49)</f>
        <v>1</v>
      </c>
      <c r="D49" s="151">
        <f t="shared" ref="D49:AJ49" si="2">D45/SUM($D45:$AJ45)</f>
        <v>6.4675719404075075E-6</v>
      </c>
      <c r="E49" s="151">
        <f t="shared" si="2"/>
        <v>4.5634227878246746E-3</v>
      </c>
      <c r="F49" s="151">
        <f t="shared" si="2"/>
        <v>3.5066140204038786E-3</v>
      </c>
      <c r="G49" s="151">
        <f t="shared" si="2"/>
        <v>1.8623335029916533E-4</v>
      </c>
      <c r="H49" s="151">
        <f t="shared" si="2"/>
        <v>9.9642191384926603E-5</v>
      </c>
      <c r="I49" s="151">
        <f t="shared" si="2"/>
        <v>1.5565846843510291E-6</v>
      </c>
      <c r="J49" s="151">
        <f t="shared" si="2"/>
        <v>1.9975423313326273E-4</v>
      </c>
      <c r="K49" s="151">
        <f t="shared" si="2"/>
        <v>4.9201692510190548E-3</v>
      </c>
      <c r="L49" s="151">
        <f t="shared" si="2"/>
        <v>7.3983049308615824E-5</v>
      </c>
      <c r="M49" s="151">
        <f t="shared" si="2"/>
        <v>5.3642857536363233E-6</v>
      </c>
      <c r="N49" s="151">
        <f t="shared" si="2"/>
        <v>5.6898666343932394E-4</v>
      </c>
      <c r="O49" s="151">
        <f t="shared" si="2"/>
        <v>2.4284559528041627E-4</v>
      </c>
      <c r="P49" s="151">
        <f t="shared" si="2"/>
        <v>1.143963555841743E-2</v>
      </c>
      <c r="Q49" s="151">
        <f t="shared" si="2"/>
        <v>6.9005790603468434E-6</v>
      </c>
      <c r="R49" s="151">
        <f t="shared" si="2"/>
        <v>4.7807660325567925E-6</v>
      </c>
      <c r="S49" s="151">
        <f t="shared" si="2"/>
        <v>8.75660260924529E-5</v>
      </c>
      <c r="T49" s="151">
        <f t="shared" si="2"/>
        <v>4.0573290666812861E-4</v>
      </c>
      <c r="U49" s="151">
        <f t="shared" si="2"/>
        <v>3.2431861515723271E-5</v>
      </c>
      <c r="V49" s="151">
        <f t="shared" si="2"/>
        <v>6.8327713967079129E-7</v>
      </c>
      <c r="W49" s="151">
        <f t="shared" si="2"/>
        <v>1.1222601091032789E-2</v>
      </c>
      <c r="X49" s="151">
        <f t="shared" si="2"/>
        <v>0.32823863234718936</v>
      </c>
      <c r="Y49" s="151">
        <f t="shared" si="2"/>
        <v>9.1450005616287834E-6</v>
      </c>
      <c r="Z49" s="151">
        <f t="shared" si="2"/>
        <v>4.3159321309282923E-5</v>
      </c>
      <c r="AA49" s="151">
        <f t="shared" si="2"/>
        <v>2.872215150765566E-8</v>
      </c>
      <c r="AB49" s="151">
        <f t="shared" si="2"/>
        <v>8.8144287716743815E-3</v>
      </c>
      <c r="AC49" s="151">
        <f t="shared" si="2"/>
        <v>0.21609607008001991</v>
      </c>
      <c r="AD49" s="151">
        <f t="shared" si="2"/>
        <v>6.0242501426449528E-6</v>
      </c>
      <c r="AE49" s="151">
        <f t="shared" si="2"/>
        <v>4.3696914903648748E-6</v>
      </c>
      <c r="AF49" s="151">
        <f t="shared" si="2"/>
        <v>4.1116118287004005E-8</v>
      </c>
      <c r="AG49" s="151">
        <f t="shared" si="2"/>
        <v>1.2293850430918933E-2</v>
      </c>
      <c r="AH49" s="151">
        <f t="shared" si="2"/>
        <v>0.39690700603168222</v>
      </c>
      <c r="AI49" s="151">
        <f t="shared" si="2"/>
        <v>1.1045703331581945E-5</v>
      </c>
      <c r="AJ49" s="253">
        <f t="shared" si="2"/>
        <v>8.268829791496765E-7</v>
      </c>
    </row>
    <row r="50" spans="1:36" ht="12.75" customHeight="1" x14ac:dyDescent="0.3">
      <c r="B50" s="146" t="s">
        <v>1037</v>
      </c>
      <c r="C50" s="179"/>
      <c r="D50" s="179">
        <f t="shared" ref="D50:AJ50" si="3">D45/D4</f>
        <v>3.5225898187874522E-10</v>
      </c>
      <c r="E50" s="179">
        <f t="shared" si="3"/>
        <v>9.985444711636854E-4</v>
      </c>
      <c r="F50" s="179">
        <f t="shared" si="3"/>
        <v>2.3251486846614686E-3</v>
      </c>
      <c r="G50" s="179">
        <f t="shared" si="3"/>
        <v>2.3285919823089909E-4</v>
      </c>
      <c r="H50" s="179">
        <f t="shared" si="3"/>
        <v>6.607026290528663E-3</v>
      </c>
      <c r="I50" s="179">
        <f t="shared" si="3"/>
        <v>6.48765041267159E-4</v>
      </c>
      <c r="J50" s="179">
        <f t="shared" si="3"/>
        <v>8.0942932839852091E-4</v>
      </c>
      <c r="K50" s="179">
        <f t="shared" si="3"/>
        <v>2.2429289150672693E-3</v>
      </c>
      <c r="L50" s="179">
        <f t="shared" si="3"/>
        <v>8.0942932839852091E-4</v>
      </c>
      <c r="M50" s="179">
        <f t="shared" si="3"/>
        <v>9.3166673858208515E-12</v>
      </c>
      <c r="N50" s="179">
        <f t="shared" si="3"/>
        <v>8.1637664300073447E-6</v>
      </c>
      <c r="O50" s="179">
        <f t="shared" si="3"/>
        <v>1.0558562003213181E-5</v>
      </c>
      <c r="P50" s="179">
        <f t="shared" si="3"/>
        <v>1.9259509942416721E-7</v>
      </c>
      <c r="Q50" s="179">
        <f t="shared" si="3"/>
        <v>3.0002682067432311E-5</v>
      </c>
      <c r="R50" s="179">
        <f t="shared" si="3"/>
        <v>5.365859222012574E-7</v>
      </c>
      <c r="S50" s="179">
        <f t="shared" si="3"/>
        <v>2.3266462934675024E-5</v>
      </c>
      <c r="T50" s="179">
        <f t="shared" si="3"/>
        <v>1.2127952257940576E-5</v>
      </c>
      <c r="U50" s="179">
        <f t="shared" si="3"/>
        <v>2.3266462934675017E-5</v>
      </c>
      <c r="V50" s="179">
        <f t="shared" si="3"/>
        <v>1.1013679505292739E-13</v>
      </c>
      <c r="W50" s="179">
        <f t="shared" si="3"/>
        <v>3.6179208832286212E-8</v>
      </c>
      <c r="X50" s="179">
        <f t="shared" si="3"/>
        <v>3.5272316195342065E-8</v>
      </c>
      <c r="Y50" s="179">
        <f t="shared" si="3"/>
        <v>9.8271598656663516E-8</v>
      </c>
      <c r="Z50" s="179">
        <f t="shared" si="3"/>
        <v>2.7827240513002835E-7</v>
      </c>
      <c r="AA50" s="179">
        <f t="shared" si="3"/>
        <v>8.4501414783185392E-15</v>
      </c>
      <c r="AB50" s="179">
        <f t="shared" si="3"/>
        <v>4.322051463273165E-8</v>
      </c>
      <c r="AC50" s="179">
        <f t="shared" si="3"/>
        <v>3.5320055335418439E-8</v>
      </c>
      <c r="AD50" s="179">
        <f t="shared" si="3"/>
        <v>9.8464006455013893E-8</v>
      </c>
      <c r="AE50" s="179">
        <f t="shared" si="3"/>
        <v>6.4278804636807674E-8</v>
      </c>
      <c r="AF50" s="179">
        <f t="shared" si="3"/>
        <v>4.0321609898879773E-15</v>
      </c>
      <c r="AG50" s="179">
        <f t="shared" si="3"/>
        <v>1.7223271271812077E-8</v>
      </c>
      <c r="AH50" s="179">
        <f t="shared" si="3"/>
        <v>1.8535112529035487E-8</v>
      </c>
      <c r="AI50" s="179">
        <f t="shared" si="3"/>
        <v>5.1582197114674038E-8</v>
      </c>
      <c r="AJ50" s="380">
        <f t="shared" si="3"/>
        <v>5.406031228363841E-9</v>
      </c>
    </row>
    <row r="51" spans="1:36" ht="12.75" customHeight="1" x14ac:dyDescent="0.3">
      <c r="B51" s="141" t="s">
        <v>703</v>
      </c>
      <c r="C51" s="254"/>
      <c r="D51" s="385">
        <f>D50*8.314*TEMP.R</f>
        <v>8.3467413497186804E-7</v>
      </c>
      <c r="E51" s="385">
        <f>E50*Kaw.R*8.314*TEMP.R</f>
        <v>1.7303839096414515E-10</v>
      </c>
      <c r="F51" s="385">
        <f>F50*Kaw.R*8.314*TEMP.R</f>
        <v>4.0292645822507976E-10</v>
      </c>
      <c r="G51" s="385">
        <f>G50*Kaw.R*8.314*TEMP.R</f>
        <v>4.0352314941084488E-11</v>
      </c>
      <c r="H51" s="385">
        <f>H50*Kaw.R/Ksdw1.R*8.314*TEMP.R</f>
        <v>4.2069520581528539E-10</v>
      </c>
      <c r="I51" s="385">
        <f>I50*Kaw.R/Ksdw2.R*8.314*TEMP.R</f>
        <v>4.1309407676022866E-11</v>
      </c>
      <c r="J51" s="385">
        <f>J50*Kaw.R/Ks1w.R*8.314*TEMP.R</f>
        <v>5.5975866338455457E-11</v>
      </c>
      <c r="K51" s="385">
        <f>K50*Kaw.R/Ks2w.R*8.314*TEMP.R</f>
        <v>1.5510914264110797E-10</v>
      </c>
      <c r="L51" s="385">
        <f>L50*Kaw.R/Ks3w.R*8.314*TEMP.R</f>
        <v>5.5975866338455457E-11</v>
      </c>
      <c r="M51" s="385">
        <f>M50*8.314*TEMP.C</f>
        <v>2.2075750204028649E-8</v>
      </c>
      <c r="N51" s="385">
        <f>N50*Kaw.C*8.314*TEMP.C</f>
        <v>1.4147041499406672E-12</v>
      </c>
      <c r="O51" s="385">
        <f>O50*Kaw.C*8.314*TEMP.C</f>
        <v>1.829699760694659E-12</v>
      </c>
      <c r="P51" s="385">
        <f>P50*Kaw.C*8.314*TEMP.C</f>
        <v>3.3374924276631902E-14</v>
      </c>
      <c r="Q51" s="385">
        <f>Q50*Kaw.C/Ksdw1.C*8.314*TEMP.C</f>
        <v>1.9103881159763114E-12</v>
      </c>
      <c r="R51" s="385">
        <f>R50*Kaw.C/Ksdw2.C*8.314*TEMP.C</f>
        <v>3.4166524401703292E-14</v>
      </c>
      <c r="S51" s="385">
        <f>S50*Kaw.C/Ks1w.C*8.314*TEMP.C</f>
        <v>1.6089859530748097E-12</v>
      </c>
      <c r="T51" s="385">
        <f>T50*Kaw.C/Ks2w.C*8.314*TEMP.C</f>
        <v>8.3870525904073629E-13</v>
      </c>
      <c r="U51" s="385">
        <f>U50*Kaw.C/Ks3w.C*8.314*TEMP.C</f>
        <v>1.6089859530748091E-12</v>
      </c>
      <c r="V51" s="385">
        <f>V50*8.314*TEMP.M</f>
        <v>2.609680345099609E-10</v>
      </c>
      <c r="W51" s="385">
        <f>W50*Kaw.M*8.314*TEMP.M</f>
        <v>6.2695175462729752E-15</v>
      </c>
      <c r="X51" s="385">
        <f>X50*Kaw.M*8.314*TEMP.M</f>
        <v>6.1123615585269659E-15</v>
      </c>
      <c r="Y51" s="385">
        <f>Y50*Kaw.M/Ksdw.M*8.314*TEMP.M</f>
        <v>6.2573370537252944E-15</v>
      </c>
      <c r="Z51" s="372">
        <f>Z50*Kaw.M/Kslw.M*8.314*TEMP.M</f>
        <v>1.9243852932852853E-14</v>
      </c>
      <c r="AA51" s="385">
        <f>AA50*8.314*TEMP.A</f>
        <v>1.847692725394471E-11</v>
      </c>
      <c r="AB51" s="385">
        <f>AB50*Kaw.A*8.314*TEMP.A</f>
        <v>2.1093596862331307E-16</v>
      </c>
      <c r="AC51" s="385">
        <f>AC50*Kaw.A*8.314*TEMP.A</f>
        <v>1.7237809746863321E-16</v>
      </c>
      <c r="AD51" s="385">
        <f>AD50*Kaw.A/Ksdw.A*8.314*TEMP.A</f>
        <v>1.7657315705128019E-16</v>
      </c>
      <c r="AE51" s="372">
        <f>AE50*Kaw.A/Kslw.A*8.314*TEMP.A</f>
        <v>1.2519164051014347E-16</v>
      </c>
      <c r="AF51" s="385">
        <f>AF50*8.314*TEMP.T</f>
        <v>9.9899691680387372E-12</v>
      </c>
      <c r="AG51" s="385">
        <f>AG50*Kaw.T*8.314*TEMP.T</f>
        <v>1.9203947468070462E-14</v>
      </c>
      <c r="AH51" s="385">
        <f>AH50*Kaw.T*8.314*TEMP.T</f>
        <v>2.0666650469874565E-14</v>
      </c>
      <c r="AI51" s="385">
        <f>AI50*Kaw.T/Ksdw.T*8.314*TEMP.T</f>
        <v>2.1133001085862899E-14</v>
      </c>
      <c r="AJ51" s="386">
        <f>AJ50*Kaw.T/Kslw.T*8.314*TEMP.T</f>
        <v>2.4054716805071896E-15</v>
      </c>
    </row>
    <row r="52" spans="1:36" s="220" customFormat="1" ht="12.75" customHeight="1" x14ac:dyDescent="0.3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3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3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3">
      <c r="B55" s="233" t="s">
        <v>2371</v>
      </c>
      <c r="C55" s="511"/>
      <c r="D55" s="388">
        <f>SUM(E55:AJ55)-SUM(D56:D87)</f>
        <v>-1.2969596614355121</v>
      </c>
      <c r="E55" s="370">
        <f t="shared" ref="E55:AJ55" si="4">E9*E$45</f>
        <v>1.6162786646257243E-7</v>
      </c>
      <c r="F55" s="370">
        <f t="shared" si="4"/>
        <v>4.1394614785458875E-6</v>
      </c>
      <c r="G55" s="370">
        <f t="shared" si="4"/>
        <v>6.5958074502953293E-8</v>
      </c>
      <c r="H55" s="389">
        <f t="shared" si="4"/>
        <v>0</v>
      </c>
      <c r="I55" s="389">
        <f t="shared" si="4"/>
        <v>0</v>
      </c>
      <c r="J55" s="370">
        <f t="shared" si="4"/>
        <v>1.9408835890540487E-6</v>
      </c>
      <c r="K55" s="370">
        <f t="shared" si="4"/>
        <v>2.1754379397872682E-5</v>
      </c>
      <c r="L55" s="370">
        <f t="shared" si="4"/>
        <v>7.188457737237216E-7</v>
      </c>
      <c r="M55" s="370">
        <f t="shared" si="4"/>
        <v>2.0148058760669354E-2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3">
      <c r="B56" s="146" t="s">
        <v>2372</v>
      </c>
      <c r="C56" s="144"/>
      <c r="D56" s="179">
        <f t="shared" ref="D56:D87" si="5">D10*D$45</f>
        <v>1.6514012329060426E-3</v>
      </c>
      <c r="E56" s="378">
        <f>SUM(D56,F56:AJ56)-SUM(E55,E57:E87)</f>
        <v>1.2281638090263475E-2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1.1719378568261284E-2</v>
      </c>
      <c r="K56" s="376">
        <f t="shared" si="6"/>
        <v>0.13135656827595255</v>
      </c>
      <c r="L56" s="376">
        <f t="shared" si="6"/>
        <v>4.3405105808375123E-3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3">
      <c r="B57" s="146" t="s">
        <v>2373</v>
      </c>
      <c r="C57" s="144"/>
      <c r="D57" s="179">
        <f t="shared" si="5"/>
        <v>1.8165413561966472E-2</v>
      </c>
      <c r="E57" s="179">
        <f t="shared" ref="E57:E87" si="7">E11*E$45</f>
        <v>0.13678605893982745</v>
      </c>
      <c r="F57" s="378">
        <f>SUM(D57:E57,G57:AJ57)-SUM(F55:F56,F58:F87)</f>
        <v>-1.4125273918636339</v>
      </c>
      <c r="G57" s="376">
        <f t="shared" ref="G57:AJ57" si="8">G11*G$45</f>
        <v>0</v>
      </c>
      <c r="H57" s="179">
        <f t="shared" si="8"/>
        <v>0.45215848939764242</v>
      </c>
      <c r="I57" s="376">
        <f t="shared" si="8"/>
        <v>0</v>
      </c>
      <c r="J57" s="179">
        <f t="shared" si="8"/>
        <v>0.12891316425087415</v>
      </c>
      <c r="K57" s="179">
        <f t="shared" si="8"/>
        <v>1.4449222510354778</v>
      </c>
      <c r="L57" s="179">
        <f t="shared" si="8"/>
        <v>4.7745616389212639E-2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3">
      <c r="B58" s="146" t="s">
        <v>2374</v>
      </c>
      <c r="C58" s="144"/>
      <c r="D58" s="179">
        <f t="shared" si="5"/>
        <v>2.8899702198994523E-3</v>
      </c>
      <c r="E58" s="179">
        <f t="shared" si="7"/>
        <v>0</v>
      </c>
      <c r="F58" s="179">
        <f t="shared" ref="F58:F87" si="9">F12*F$45</f>
        <v>3.1851152773728622</v>
      </c>
      <c r="G58" s="378">
        <f>SUM(D58:F58,H58:AJ58)-SUM(G55:G57,G59:G87)</f>
        <v>5.0119649408575384E-4</v>
      </c>
      <c r="H58" s="376">
        <f t="shared" ref="H58:N58" si="10">H12*H$45</f>
        <v>0</v>
      </c>
      <c r="I58" s="179">
        <f t="shared" si="10"/>
        <v>6.7032815947920005E-3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2.3744452895111813E-3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3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0.45609896860429405</v>
      </c>
      <c r="G59" s="376">
        <f t="shared" ref="G59:G87" si="12">G13*G$45</f>
        <v>0</v>
      </c>
      <c r="H59" s="378">
        <f>SUM(D59:G59,I59:AJ59)-SUM(H55:H58,H60:H87)</f>
        <v>3.940479206651637E-3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3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6.7496180398342641E-3</v>
      </c>
      <c r="H60" s="376">
        <f t="shared" ref="H60:H87" si="15">H14*H$45</f>
        <v>0</v>
      </c>
      <c r="I60" s="378">
        <f>SUM(D60:H60,J60:AJ60)-SUM(I55:I59,I61:I87)</f>
        <v>4.6336445042263578E-5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3">
      <c r="B61" s="146" t="s">
        <v>2377</v>
      </c>
      <c r="C61" s="144"/>
      <c r="D61" s="179">
        <f t="shared" si="5"/>
        <v>0.14826081990089712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7.6263361981726285E-3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3">
      <c r="B62" s="146" t="s">
        <v>2378</v>
      </c>
      <c r="C62" s="144"/>
      <c r="D62" s="179">
        <f t="shared" si="5"/>
        <v>0.32946848866866019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-1.2468320850221679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3">
      <c r="B63" s="146" t="s">
        <v>2379</v>
      </c>
      <c r="C63" s="144"/>
      <c r="D63" s="179">
        <f t="shared" si="5"/>
        <v>5.4911414778110033E-2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2.82456896228616E-3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3">
      <c r="B64" s="146" t="s">
        <v>2380</v>
      </c>
      <c r="C64" s="144"/>
      <c r="D64" s="179">
        <f t="shared" si="5"/>
        <v>0.76178899298992242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0.10367998128393141</v>
      </c>
      <c r="N64" s="179">
        <f>N18*N$45</f>
        <v>2.0152439239843876E-8</v>
      </c>
      <c r="O64" s="179">
        <f>O18*O$45</f>
        <v>2.8667255108449238E-7</v>
      </c>
      <c r="P64" s="179">
        <f t="shared" ref="P64:AJ64" si="25">P18*P$45</f>
        <v>2.0257819913475297E-7</v>
      </c>
      <c r="Q64" s="376">
        <f t="shared" si="25"/>
        <v>0</v>
      </c>
      <c r="R64" s="376">
        <f t="shared" si="25"/>
        <v>0</v>
      </c>
      <c r="S64" s="179">
        <f t="shared" si="25"/>
        <v>8.508228353195272E-7</v>
      </c>
      <c r="T64" s="179">
        <f t="shared" si="25"/>
        <v>1.7939357643097375E-6</v>
      </c>
      <c r="U64" s="179">
        <f t="shared" si="25"/>
        <v>3.1511956863686173E-7</v>
      </c>
      <c r="V64" s="179">
        <f t="shared" si="25"/>
        <v>1.0956213581063189E-3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3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7.14167211323933E-4</v>
      </c>
      <c r="N65" s="378">
        <f>SUM(D65:M65,O65:AJ65)-SUM(N55:N64,N66:N87)</f>
        <v>1.5313260689306975E-3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5.1374100733628794E-3</v>
      </c>
      <c r="T65" s="376">
        <f t="shared" si="27"/>
        <v>1.0832083112895807E-2</v>
      </c>
      <c r="U65" s="376">
        <f t="shared" si="27"/>
        <v>1.9027444716158801E-3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3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7.8558393245632616E-3</v>
      </c>
      <c r="N66" s="179">
        <f t="shared" ref="N66:N87" si="28">N20*N$45</f>
        <v>1.7055058647828563E-2</v>
      </c>
      <c r="O66" s="378">
        <f>SUM(D66:N66,P66:AJ66)-SUM(O55:O65,O67:O87)</f>
        <v>6.5350275293918347E-4</v>
      </c>
      <c r="P66" s="376">
        <f t="shared" ref="P66:AJ66" si="29">P20*P$45</f>
        <v>0</v>
      </c>
      <c r="Q66" s="179">
        <f t="shared" si="29"/>
        <v>3.1315420780801767E-2</v>
      </c>
      <c r="R66" s="376">
        <f t="shared" si="29"/>
        <v>0</v>
      </c>
      <c r="S66" s="179">
        <f t="shared" si="29"/>
        <v>5.6511510806991662E-2</v>
      </c>
      <c r="T66" s="179">
        <f t="shared" si="29"/>
        <v>0.11915291424185387</v>
      </c>
      <c r="U66" s="179">
        <f t="shared" si="29"/>
        <v>2.0930189187774676E-2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3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3.1898320939850704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0.30431639595648746</v>
      </c>
      <c r="N67" s="179">
        <f t="shared" si="28"/>
        <v>0</v>
      </c>
      <c r="O67" s="179">
        <f t="shared" ref="O67:O87" si="30">O21*O$45</f>
        <v>0.2205806544631545</v>
      </c>
      <c r="P67" s="378">
        <f>SUM(D67:O67,Q67:AJ67)-SUM(P55:P66,P68:P87)</f>
        <v>3.0786672882631372E-2</v>
      </c>
      <c r="Q67" s="376">
        <f t="shared" ref="Q67:AJ67" si="31">Q21*Q$45</f>
        <v>0</v>
      </c>
      <c r="R67" s="179">
        <f t="shared" si="31"/>
        <v>2.0659582058326565E-2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0.85153532006114618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3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3.1586489101169041E-2</v>
      </c>
      <c r="P68" s="376">
        <f t="shared" ref="P68:P87" si="32">P22*P$45</f>
        <v>0</v>
      </c>
      <c r="Q68" s="378">
        <f>SUM(D68:P68,R68:AJ68)-SUM(Q55:Q67,Q69:Q87)</f>
        <v>2.7106832036727369E-4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3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2.0730221093640991E-2</v>
      </c>
      <c r="Q69" s="376">
        <f t="shared" ref="Q69:Q87" si="34">Q23*Q$45</f>
        <v>0</v>
      </c>
      <c r="R69" s="378">
        <f>SUM(D69:Q69,S69:AJ69)-SUM(R55:R68,R70:R87)</f>
        <v>7.0639035314425808E-5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3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6.4992919650765466E-2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3.343147947575606E-3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3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0.14442871033503435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1.4441919044520357E-2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3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2.4071451722505719E-2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1.2382029435465264E-3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3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9.2680559384105451E-2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1.3206261617361381E-2</v>
      </c>
      <c r="W73" s="179">
        <f t="shared" ref="W73:AJ73" si="43">W27*W$45</f>
        <v>3.9746971081719466E-7</v>
      </c>
      <c r="X73" s="376">
        <f t="shared" si="43"/>
        <v>0</v>
      </c>
      <c r="Y73" s="376">
        <f t="shared" si="43"/>
        <v>0</v>
      </c>
      <c r="Z73" s="179">
        <f t="shared" si="43"/>
        <v>4.1935140562460069E-7</v>
      </c>
      <c r="AA73" s="179">
        <f t="shared" si="43"/>
        <v>2.4864143062055253E-4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2.0549819266373772E-4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3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4.5330325046802029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3.7946266434402992E-2</v>
      </c>
      <c r="W74" s="378">
        <f>SUM(D74:V74,X74:AJ74)-SUM(W55:W73,W75:W87)</f>
        <v>3.0202583545388961E-2</v>
      </c>
      <c r="X74" s="376">
        <f t="shared" ref="X74:AJ74" si="45">X28*X$45</f>
        <v>34.079938218503692</v>
      </c>
      <c r="Y74" s="376">
        <f t="shared" si="45"/>
        <v>0</v>
      </c>
      <c r="Z74" s="179">
        <f t="shared" si="45"/>
        <v>3.0385364088996888E-2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2.5834906907718116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3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34.956173418559928</v>
      </c>
      <c r="X75" s="378">
        <f>SUM(D75:W75,Y75:AJ75)-SUM(X55:X74,X76:X87)</f>
        <v>0.88336515179273789</v>
      </c>
      <c r="Y75" s="376">
        <f t="shared" ref="Y75:AJ75" si="47">Y29*Y$45</f>
        <v>3.9623370906367181E-2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5.298008300312766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3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3.9654290181326435E-2</v>
      </c>
      <c r="Y76" s="378">
        <f>SUM(D76:X76,Z76:AJ76)-SUM(Y55:Y75,Y77:Y87)</f>
        <v>3.0919274959254062E-5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3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3.2033545739236821E-2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1.6477622988343085E-3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3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3.2407232892119118E-3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8.8448155802585329E-5</v>
      </c>
      <c r="AB78" s="179">
        <f t="shared" ref="AB78:AJ78" si="53">AB32*AB$45</f>
        <v>9.5275113203612848E-9</v>
      </c>
      <c r="AC78" s="376">
        <f t="shared" si="53"/>
        <v>0</v>
      </c>
      <c r="AD78" s="376">
        <f t="shared" si="53"/>
        <v>0</v>
      </c>
      <c r="AE78" s="179">
        <f t="shared" si="53"/>
        <v>1.2959007160572198E-9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3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5.4268813248429328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1.7648865957411155E-3</v>
      </c>
      <c r="AB79" s="378">
        <f>SUM(D79:AA79,AC79:AJ79)-SUM(AB55:AB78,AB80:AB87)</f>
        <v>5.1627221236145715E-3</v>
      </c>
      <c r="AC79" s="376">
        <f t="shared" ref="AC79:AJ79" si="55">AC33*AC$45</f>
        <v>24.251320822475439</v>
      </c>
      <c r="AD79" s="376">
        <f t="shared" si="55"/>
        <v>0</v>
      </c>
      <c r="AE79" s="179">
        <f t="shared" si="55"/>
        <v>1.09955793836457E-3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3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29.675903860201352</v>
      </c>
      <c r="AC80" s="378">
        <f>SUM(D80:AB80,AD80:AJ80)-SUM(AC55:AC79,AC81:AC87)</f>
        <v>0.12657019424922922</v>
      </c>
      <c r="AD80" s="376">
        <f t="shared" ref="AD80:AJ80" si="57">AD34*AD$45</f>
        <v>2.610187888860056E-2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3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2.610642205251907E-2</v>
      </c>
      <c r="AD81" s="378">
        <f>SUM(D81:AC81,AE81:AJ81)-SUM(AD55:AD80,AD82:AD87)</f>
        <v>4.5431639185099237E-6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3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1.138757930459695E-3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3.9198696194408817E-5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3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5.6130973901867597E-3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9.9480208795005385E-4</v>
      </c>
      <c r="AG83" s="179">
        <f>AG37*AG$45</f>
        <v>2.6793330974625558E-6</v>
      </c>
      <c r="AH83" s="376">
        <f>AH37*AH$45</f>
        <v>0</v>
      </c>
      <c r="AI83" s="376">
        <f>AI37*AI$45</f>
        <v>0</v>
      </c>
      <c r="AJ83" s="380">
        <f>AJ37*AJ$45</f>
        <v>4.9431241780436645E-8</v>
      </c>
    </row>
    <row r="84" spans="2:36" ht="12.75" customHeight="1" x14ac:dyDescent="0.3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3.2591975966889475E-3</v>
      </c>
      <c r="AG84" s="378">
        <f>SUM(D84:AF84,AH84:AJ84)-SUM(AG55:AG83,AG85:AG87)</f>
        <v>8.1466205366801603E-2</v>
      </c>
      <c r="AH84" s="376">
        <f>AH38*AH$45</f>
        <v>37.59211017094659</v>
      </c>
      <c r="AI84" s="179">
        <f>AI38*AI$45</f>
        <v>0</v>
      </c>
      <c r="AJ84" s="380">
        <f>AJ38*AJ$45</f>
        <v>1.0809189381976809E-3</v>
      </c>
    </row>
    <row r="85" spans="2:36" ht="12.75" customHeight="1" x14ac:dyDescent="0.3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5.2908474293013095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34.931490712009769</v>
      </c>
      <c r="AH85" s="378">
        <f>SUM(D85:AG85,AI85:AJ85)-SUM(AH55:AH84,AH86:AH87)</f>
        <v>2.6301367375981854</v>
      </c>
      <c r="AI85" s="376">
        <f>AI39*AI$45</f>
        <v>4.7858837826043402E-2</v>
      </c>
      <c r="AJ85" s="379">
        <f>AJ39*AJ$45</f>
        <v>0</v>
      </c>
    </row>
    <row r="86" spans="2:36" ht="12.75" customHeight="1" x14ac:dyDescent="0.3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4.7950070592342874E-2</v>
      </c>
      <c r="AI86" s="378">
        <f>SUM(D86:AH86,AJ86)-SUM(AI55:AI85,AI87)</f>
        <v>9.1232766299471912E-5</v>
      </c>
      <c r="AJ86" s="379">
        <f>AJ40*AJ$45</f>
        <v>0</v>
      </c>
    </row>
    <row r="87" spans="2:36" ht="12.75" customHeight="1" x14ac:dyDescent="0.3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1.1563282772232635E-3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7.5359907783802225E-5</v>
      </c>
    </row>
    <row r="88" spans="2:36" ht="12.75" customHeight="1" x14ac:dyDescent="0.3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3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3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3">
      <c r="B91" s="146" t="s">
        <v>1209</v>
      </c>
      <c r="C91" s="150">
        <f>SUM(D91:AJ91)</f>
        <v>4.2658912982642949</v>
      </c>
      <c r="D91" s="179">
        <f t="array" ref="D91:AJ91">D5:AJ5</f>
        <v>1.4219637660880982</v>
      </c>
      <c r="E91" s="179">
        <v>0</v>
      </c>
      <c r="F91" s="179">
        <v>1.4219637660880982</v>
      </c>
      <c r="G91" s="179">
        <v>0</v>
      </c>
      <c r="H91" s="179">
        <v>0</v>
      </c>
      <c r="I91" s="179">
        <v>0</v>
      </c>
      <c r="J91" s="179">
        <v>0</v>
      </c>
      <c r="K91" s="179">
        <v>1.4219637660880982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3">
      <c r="B92" s="146" t="s">
        <v>1210</v>
      </c>
      <c r="C92" s="150">
        <f>SUM(D92:AJ92)</f>
        <v>231.55588645922236</v>
      </c>
      <c r="D92" s="179">
        <f>SUM($D$55:$AJ$55)</f>
        <v>-1.2767828215186627</v>
      </c>
      <c r="E92" s="179">
        <f>SUM($D$56:$AJ$56)</f>
        <v>0.16134949674822086</v>
      </c>
      <c r="F92" s="179">
        <f>SUM($D$57:$AJ$57)</f>
        <v>0.81616360171136715</v>
      </c>
      <c r="G92" s="179">
        <f>SUM($D$58:$AJ$58)</f>
        <v>3.1975841709711506</v>
      </c>
      <c r="H92" s="179">
        <f>SUM($D$59:$AJ$59)</f>
        <v>0.46003944781094569</v>
      </c>
      <c r="I92" s="179">
        <f>SUM($D$60:$AJ$60)</f>
        <v>6.7959544848765277E-3</v>
      </c>
      <c r="J92" s="179">
        <f>SUM($D$61:$AJ$61)</f>
        <v>0.15588715609906975</v>
      </c>
      <c r="K92" s="179">
        <f>SUM($D$62:$AJ$62)</f>
        <v>-0.91736359635350773</v>
      </c>
      <c r="L92" s="179">
        <f>SUM($D$63:$AJ$63)</f>
        <v>5.7735983740396193E-2</v>
      </c>
      <c r="M92" s="179">
        <f>SUM($D$64:$AJ$64)</f>
        <v>0.86656806491331784</v>
      </c>
      <c r="N92" s="179">
        <f>SUM($D$65:$AJ$65)</f>
        <v>2.0117730938129196E-2</v>
      </c>
      <c r="O92" s="179">
        <f>SUM($D$66:$AJ$66)</f>
        <v>0.25347443574275297</v>
      </c>
      <c r="P92" s="179">
        <f>SUM($D$67:$AJ$67)</f>
        <v>4.6177107194068165</v>
      </c>
      <c r="Q92" s="179">
        <f>SUM($D$68:$AJ$68)</f>
        <v>3.1857557421536314E-2</v>
      </c>
      <c r="R92" s="179">
        <f>SUM($D$69:$AJ$69)</f>
        <v>2.0800860128955417E-2</v>
      </c>
      <c r="S92" s="179">
        <f>SUM($D$70:$AJ$70)</f>
        <v>6.8336067598341071E-2</v>
      </c>
      <c r="T92" s="179">
        <f>SUM($D$71:$AJ$71)</f>
        <v>0.15887062937955471</v>
      </c>
      <c r="U92" s="179">
        <f>SUM($D$72:$AJ$72)</f>
        <v>2.5309654666052245E-2</v>
      </c>
      <c r="V92" s="179">
        <f>SUM($D$73:$AJ$73)</f>
        <v>0.10634177744586756</v>
      </c>
      <c r="W92" s="179">
        <f>SUM($D$74:$AJ$74)</f>
        <v>41.294995628024495</v>
      </c>
      <c r="X92" s="179">
        <f>SUM($D$75:$AJ$75)</f>
        <v>41.177170241571801</v>
      </c>
      <c r="Y92" s="179">
        <f>SUM($D$76:$AJ$76)</f>
        <v>3.9685209456285689E-2</v>
      </c>
      <c r="Z92" s="179">
        <f>SUM($D$77:$AJ$77)</f>
        <v>3.368130803807113E-2</v>
      </c>
      <c r="AA92" s="179">
        <f>SUM($D$78:$AJ$78)</f>
        <v>3.3291822684265336E-3</v>
      </c>
      <c r="AB92" s="179">
        <f>SUM($D$79:$AJ$79)</f>
        <v>29.686229313976092</v>
      </c>
      <c r="AC92" s="179">
        <f>SUM($D$80:$AJ$80)</f>
        <v>29.828575933339181</v>
      </c>
      <c r="AD92" s="179">
        <f>SUM($D$81:$AJ$81)</f>
        <v>2.611096521643758E-2</v>
      </c>
      <c r="AE92" s="179">
        <f>SUM($D$82:$AJ$82)</f>
        <v>1.1779566266541038E-3</v>
      </c>
      <c r="AF92" s="179">
        <f>SUM($D$83:$AJ$83)</f>
        <v>6.6106282424760561E-3</v>
      </c>
      <c r="AG92" s="179">
        <f>SUM($D$84:$AJ$84)</f>
        <v>37.677916492848283</v>
      </c>
      <c r="AH92" s="179">
        <f>SUM($D$85:$AJ$85)</f>
        <v>42.900333716735304</v>
      </c>
      <c r="AI92" s="179">
        <f>SUM($D$86:$AJ$86)</f>
        <v>4.8041303358642345E-2</v>
      </c>
      <c r="AJ92" s="380">
        <f>SUM($D$87:$AJ$87)</f>
        <v>1.2316881850070658E-3</v>
      </c>
    </row>
    <row r="93" spans="2:36" ht="12.75" customHeight="1" x14ac:dyDescent="0.3">
      <c r="B93" s="146" t="s">
        <v>1212</v>
      </c>
      <c r="C93" s="150">
        <f>SUM(D93:AJ93)</f>
        <v>231.55588645922234</v>
      </c>
      <c r="D93" s="179">
        <f t="shared" ref="D93:AJ93" si="61">SUM(D55:D87)</f>
        <v>2.0176839916849487E-2</v>
      </c>
      <c r="E93" s="179">
        <f t="shared" si="61"/>
        <v>0.14906785865795738</v>
      </c>
      <c r="F93" s="179">
        <f t="shared" si="61"/>
        <v>2.2286909935750008</v>
      </c>
      <c r="G93" s="179">
        <f t="shared" si="61"/>
        <v>3.1970829744770648</v>
      </c>
      <c r="H93" s="179">
        <f t="shared" si="61"/>
        <v>0.45609896860429405</v>
      </c>
      <c r="I93" s="179">
        <f t="shared" si="61"/>
        <v>6.7496180398342641E-3</v>
      </c>
      <c r="J93" s="179">
        <f t="shared" si="61"/>
        <v>0.14826081990089712</v>
      </c>
      <c r="K93" s="179">
        <f t="shared" si="61"/>
        <v>0.3294684886686603</v>
      </c>
      <c r="L93" s="179">
        <f t="shared" si="61"/>
        <v>5.4911414778110033E-2</v>
      </c>
      <c r="M93" s="179">
        <f t="shared" si="61"/>
        <v>0.76288808362938643</v>
      </c>
      <c r="N93" s="179">
        <f t="shared" si="61"/>
        <v>1.8586404869198499E-2</v>
      </c>
      <c r="O93" s="179">
        <f t="shared" si="61"/>
        <v>0.25282093298981378</v>
      </c>
      <c r="P93" s="179">
        <f t="shared" si="61"/>
        <v>4.5869240465241852</v>
      </c>
      <c r="Q93" s="179">
        <f t="shared" si="61"/>
        <v>3.1586489101169041E-2</v>
      </c>
      <c r="R93" s="179">
        <f t="shared" si="61"/>
        <v>2.0730221093640991E-2</v>
      </c>
      <c r="S93" s="179">
        <f t="shared" si="61"/>
        <v>6.4992919650765466E-2</v>
      </c>
      <c r="T93" s="179">
        <f t="shared" si="61"/>
        <v>0.14442871033503435</v>
      </c>
      <c r="U93" s="179">
        <f t="shared" si="61"/>
        <v>2.4071451722505719E-2</v>
      </c>
      <c r="V93" s="179">
        <f t="shared" si="61"/>
        <v>9.3135515828506182E-2</v>
      </c>
      <c r="W93" s="179">
        <f t="shared" si="61"/>
        <v>41.264793044479106</v>
      </c>
      <c r="X93" s="179">
        <f t="shared" si="61"/>
        <v>40.293805089779063</v>
      </c>
      <c r="Y93" s="179">
        <f t="shared" si="61"/>
        <v>3.9654290181326435E-2</v>
      </c>
      <c r="Z93" s="179">
        <f t="shared" si="61"/>
        <v>3.2033545739236821E-2</v>
      </c>
      <c r="AA93" s="179">
        <f t="shared" si="61"/>
        <v>3.2407341126239487E-3</v>
      </c>
      <c r="AB93" s="179">
        <f t="shared" si="61"/>
        <v>29.681066591852478</v>
      </c>
      <c r="AC93" s="179">
        <f t="shared" si="61"/>
        <v>29.702005739089952</v>
      </c>
      <c r="AD93" s="179">
        <f t="shared" si="61"/>
        <v>2.610642205251907E-2</v>
      </c>
      <c r="AE93" s="179">
        <f t="shared" si="61"/>
        <v>1.138757930459695E-3</v>
      </c>
      <c r="AF93" s="179">
        <f t="shared" si="61"/>
        <v>5.6158261545260022E-3</v>
      </c>
      <c r="AG93" s="179">
        <f t="shared" si="61"/>
        <v>37.596450287481481</v>
      </c>
      <c r="AH93" s="179">
        <f t="shared" si="61"/>
        <v>40.270196979137118</v>
      </c>
      <c r="AI93" s="179">
        <f t="shared" si="61"/>
        <v>4.7950070592342874E-2</v>
      </c>
      <c r="AJ93" s="380">
        <f t="shared" si="61"/>
        <v>1.1563282772232635E-3</v>
      </c>
    </row>
    <row r="94" spans="2:36" ht="12.75" customHeight="1" x14ac:dyDescent="0.3">
      <c r="B94" s="152" t="s">
        <v>1211</v>
      </c>
      <c r="C94" s="150">
        <f>SUM(D94:AJ94)</f>
        <v>4.2658912982642869</v>
      </c>
      <c r="D94" s="179">
        <f>k.aR*D45</f>
        <v>0.12500410465258588</v>
      </c>
      <c r="E94" s="179">
        <f>k.w0R*E45</f>
        <v>1.2281638090263473E-2</v>
      </c>
      <c r="F94" s="179">
        <f>k.w1R*F45</f>
        <v>9.4363742244646023E-3</v>
      </c>
      <c r="G94" s="179">
        <f>k.w2R*G45</f>
        <v>5.0119649408568575E-4</v>
      </c>
      <c r="H94" s="179">
        <f>k.sd1R*H45</f>
        <v>3.9404792066516431E-3</v>
      </c>
      <c r="I94" s="179">
        <f>k.sd2R*I45</f>
        <v>4.6336445042266025E-5</v>
      </c>
      <c r="J94" s="179">
        <f>k.s1R*J45</f>
        <v>7.6263361981726693E-3</v>
      </c>
      <c r="K94" s="179">
        <f>k.s2R*K45</f>
        <v>0.17513168106593013</v>
      </c>
      <c r="L94" s="179">
        <f>k.s3R*L45</f>
        <v>2.8245689622861734E-3</v>
      </c>
      <c r="M94" s="179">
        <f>k.aC*M45</f>
        <v>0.10367998128393142</v>
      </c>
      <c r="N94" s="179">
        <f>k.w0C*N45</f>
        <v>1.5313260689306977E-3</v>
      </c>
      <c r="O94" s="179">
        <f>k.w1C*O45</f>
        <v>6.5350275293912926E-4</v>
      </c>
      <c r="P94" s="179">
        <f>k.w2C*P45</f>
        <v>3.0786672882630615E-2</v>
      </c>
      <c r="Q94" s="179">
        <f>k.sd1C*Q45</f>
        <v>2.7106832036727054E-4</v>
      </c>
      <c r="R94" s="179">
        <f>k.sd2C*R45</f>
        <v>7.0639035314428356E-5</v>
      </c>
      <c r="S94" s="179">
        <f>k.s1C*S45</f>
        <v>3.3431479475756038E-3</v>
      </c>
      <c r="T94" s="179">
        <f>k.s2C*T45</f>
        <v>1.4441919044520347E-2</v>
      </c>
      <c r="U94" s="179">
        <f>k.s3C*U45</f>
        <v>1.238202943546519E-3</v>
      </c>
      <c r="V94" s="179">
        <f>k.aM*V45</f>
        <v>1.3206261617361381E-2</v>
      </c>
      <c r="W94" s="179">
        <f>k.w2M*W45</f>
        <v>3.0202583545386796E-2</v>
      </c>
      <c r="X94" s="179">
        <f>k.w3M*X45</f>
        <v>0.88336515179273445</v>
      </c>
      <c r="Y94" s="179">
        <f>k.sdM*Y45</f>
        <v>3.0919274959248126E-5</v>
      </c>
      <c r="Z94" s="179">
        <f>k.sM*Z45</f>
        <v>1.6477622988343085E-3</v>
      </c>
      <c r="AA94" s="179">
        <f>k.aA*AA45</f>
        <v>8.8448155802586047E-5</v>
      </c>
      <c r="AB94" s="179">
        <f>k.w2A*AB45</f>
        <v>5.1627221236078278E-3</v>
      </c>
      <c r="AC94" s="179">
        <f>k.w3A*AC45</f>
        <v>0.1265701942492298</v>
      </c>
      <c r="AD94" s="179">
        <f>k.sdA*AD45</f>
        <v>4.543163918509474E-6</v>
      </c>
      <c r="AE94" s="179">
        <f>k.sA*AE45</f>
        <v>3.9198696194409122E-5</v>
      </c>
      <c r="AF94" s="179">
        <f>k.aT*AF45</f>
        <v>9.9480208795005927E-4</v>
      </c>
      <c r="AG94" s="179">
        <f>k.w2T*AG45</f>
        <v>8.1466205366796149E-2</v>
      </c>
      <c r="AH94" s="179">
        <f>k.w3T*AH45</f>
        <v>2.6301367375981894</v>
      </c>
      <c r="AI94" s="179">
        <f>k.sdT*AI45</f>
        <v>9.1232766299467305E-5</v>
      </c>
      <c r="AJ94" s="374">
        <f>k.sT*AJ45</f>
        <v>7.5359907783801683E-5</v>
      </c>
    </row>
    <row r="95" spans="2:36" ht="12.75" customHeight="1" x14ac:dyDescent="0.3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09375" defaultRowHeight="15" customHeight="1" x14ac:dyDescent="0.3"/>
  <cols>
    <col min="1" max="1" width="10.44140625" style="205" customWidth="1"/>
    <col min="2" max="2" width="102" style="205" customWidth="1"/>
    <col min="3" max="3" width="5.6640625" style="205" bestFit="1" customWidth="1"/>
    <col min="4" max="16384" width="9.109375" style="205"/>
  </cols>
  <sheetData>
    <row r="1" spans="1:3" s="232" customFormat="1" ht="15" customHeight="1" x14ac:dyDescent="0.3">
      <c r="A1" s="231" t="s">
        <v>2071</v>
      </c>
      <c r="B1" s="231" t="s">
        <v>2070</v>
      </c>
      <c r="C1" s="231" t="s">
        <v>968</v>
      </c>
    </row>
    <row r="2" spans="1:3" ht="15" customHeight="1" x14ac:dyDescent="0.3">
      <c r="A2" s="207" t="s">
        <v>661</v>
      </c>
      <c r="B2" s="208">
        <f>(kwsd.water.wC*kwsd.sed.sdC)/(kwsd.water.wC+kwsd.sed.sdC)*FRw.w1C*(SYSTEMAREA.C*AREAFRAC.w1C)</f>
        <v>2636.3033681827396</v>
      </c>
      <c r="C2" s="209" t="s">
        <v>2072</v>
      </c>
    </row>
    <row r="3" spans="1:3" ht="15" customHeight="1" x14ac:dyDescent="0.3">
      <c r="A3" s="207" t="s">
        <v>1085</v>
      </c>
      <c r="B3" s="208">
        <f>(kwsd.water.wR*kwsd.sed.sdR)/(kwsd.water.wR+kwsd.sed.sdR)*FRw.w1R*(SYSTEMAREA.R*AREAFRAC.w1R)</f>
        <v>172.86503708303562</v>
      </c>
      <c r="C3" s="209" t="s">
        <v>2072</v>
      </c>
    </row>
    <row r="4" spans="1:3" ht="15" customHeight="1" x14ac:dyDescent="0.3">
      <c r="A4" s="207" t="s">
        <v>663</v>
      </c>
      <c r="B4" s="208">
        <f>(kwsd.water.wC*kwsd.sed.sdC)/(kwsd.water.wC+kwsd.sed.sdC)*FRw.w2C*(SYSTEMAREA.C*AREAFRAC.w2C)</f>
        <v>102131.92593282167</v>
      </c>
      <c r="C4" s="209" t="s">
        <v>2072</v>
      </c>
    </row>
    <row r="5" spans="1:3" ht="15" customHeight="1" x14ac:dyDescent="0.3">
      <c r="A5" s="207" t="s">
        <v>973</v>
      </c>
      <c r="B5" s="208">
        <f>(kwsd.water.wR*kwsd.sed.sdR)/(kwsd.water.wR+kwsd.sed.sdR)*FRw.w2R*(SYSTEMAREA.R*AREAFRAC.w2R)</f>
        <v>27.503541470729541</v>
      </c>
      <c r="C5" s="209" t="s">
        <v>2072</v>
      </c>
    </row>
    <row r="6" spans="1:3" ht="15" customHeight="1" x14ac:dyDescent="0.3">
      <c r="A6" s="207" t="s">
        <v>163</v>
      </c>
      <c r="B6" s="208">
        <f>(kwsd.water.wA*kwsd.sed.sdA)/(kwsd.water.wA+kwsd.sed.sdA)*FRw.w3A*(SYSTEMAREA.A*AREAFRAC.wA)</f>
        <v>701340.30750360247</v>
      </c>
      <c r="C6" s="206" t="s">
        <v>2072</v>
      </c>
    </row>
    <row r="7" spans="1:3" ht="15" customHeight="1" x14ac:dyDescent="0.3">
      <c r="A7" s="207" t="s">
        <v>165</v>
      </c>
      <c r="B7" s="208">
        <f>(kwsd.water.wM*kwsd.sed.sdM)/(kwsd.water.wM+kwsd.sed.sdM)*FRw.w3M*(SYSTEMAREA.M*AREAFRAC.wM)</f>
        <v>1066741.0830317119</v>
      </c>
      <c r="C7" s="206" t="s">
        <v>2072</v>
      </c>
    </row>
    <row r="8" spans="1:3" ht="15" customHeight="1" x14ac:dyDescent="0.3">
      <c r="A8" s="207" t="s">
        <v>158</v>
      </c>
      <c r="B8" s="208">
        <f>(kwsd.water.wT*kwsd.sed.sdT)/(kwsd.water.wT+kwsd.sed.sdT)*FRw.w3T*(SYSTEMAREA.T*AREAFRAC.wT)</f>
        <v>2454691.0762626086</v>
      </c>
      <c r="C8" s="206" t="s">
        <v>2072</v>
      </c>
    </row>
    <row r="9" spans="1:3" ht="15" customHeight="1" x14ac:dyDescent="0.3">
      <c r="A9" s="210" t="s">
        <v>494</v>
      </c>
      <c r="B9" s="208">
        <v>1E-3</v>
      </c>
      <c r="C9" s="211" t="s">
        <v>2073</v>
      </c>
    </row>
    <row r="10" spans="1:3" ht="15" customHeight="1" x14ac:dyDescent="0.3">
      <c r="A10" s="210" t="s">
        <v>460</v>
      </c>
      <c r="B10" s="208">
        <v>1E-3</v>
      </c>
      <c r="C10" s="212" t="s">
        <v>2073</v>
      </c>
    </row>
    <row r="11" spans="1:3" ht="15" customHeight="1" x14ac:dyDescent="0.3">
      <c r="A11" s="210" t="s">
        <v>960</v>
      </c>
      <c r="B11" s="208">
        <v>1E-3</v>
      </c>
      <c r="C11" s="211" t="s">
        <v>2073</v>
      </c>
    </row>
    <row r="12" spans="1:3" ht="15" customHeight="1" x14ac:dyDescent="0.3">
      <c r="A12" s="210" t="s">
        <v>121</v>
      </c>
      <c r="B12" s="208">
        <v>1E-3</v>
      </c>
      <c r="C12" s="212" t="s">
        <v>2073</v>
      </c>
    </row>
    <row r="13" spans="1:3" ht="15" customHeight="1" x14ac:dyDescent="0.3">
      <c r="A13" s="210" t="s">
        <v>954</v>
      </c>
      <c r="B13" s="213">
        <v>1E-3</v>
      </c>
      <c r="C13" s="211" t="s">
        <v>2073</v>
      </c>
    </row>
    <row r="14" spans="1:3" ht="15" customHeight="1" x14ac:dyDescent="0.3">
      <c r="A14" s="207" t="s">
        <v>1023</v>
      </c>
      <c r="B14" s="208">
        <f>(FRaerw.aA+FRaers.aA)*(tdry.A+twet.A)/twet.A*RAINrate.A*COLLECTeff.A</f>
        <v>2.3961775822995107E-2</v>
      </c>
      <c r="C14" s="212" t="s">
        <v>2073</v>
      </c>
    </row>
    <row r="15" spans="1:3" ht="15" customHeight="1" x14ac:dyDescent="0.3">
      <c r="A15" s="207" t="s">
        <v>1291</v>
      </c>
      <c r="B15" s="208">
        <f>(FRaerw.aC+FRaers.aC)*(tdry.C+twet.C)/twet.C*RAINrate.C*COLLECTeff.C</f>
        <v>3.7745130223957403E-2</v>
      </c>
      <c r="C15" s="212" t="s">
        <v>2073</v>
      </c>
    </row>
    <row r="16" spans="1:3" ht="15" customHeight="1" x14ac:dyDescent="0.3">
      <c r="A16" s="207" t="s">
        <v>547</v>
      </c>
      <c r="B16" s="208">
        <f>(FRaerw.aM+FRaers.aM)*(tdry.M+twet.M)/twet.M*RAINrate.M*COLLECTeff.M</f>
        <v>3.7745130223957403E-2</v>
      </c>
      <c r="C16" s="212" t="s">
        <v>2073</v>
      </c>
    </row>
    <row r="17" spans="1:3" ht="15" customHeight="1" x14ac:dyDescent="0.3">
      <c r="A17" s="207" t="s">
        <v>586</v>
      </c>
      <c r="B17" s="208">
        <f>(FRaerw.aR+FRaers.aR)*(tdry.R+twet.R)/twet.R*COLLECTeff.R*RAINrate.R</f>
        <v>3.774513022395741E-2</v>
      </c>
      <c r="C17" s="212" t="s">
        <v>2073</v>
      </c>
    </row>
    <row r="18" spans="1:3" ht="15" customHeight="1" x14ac:dyDescent="0.3">
      <c r="A18" s="207" t="s">
        <v>1400</v>
      </c>
      <c r="B18" s="208">
        <f>(FRaerw.aT+FRaers.aT)*(tdry.T+twet.T)/twet.T*RAINrate.T*COLLECTeff.T</f>
        <v>6.1592035833637766E-2</v>
      </c>
      <c r="C18" s="212" t="s">
        <v>2073</v>
      </c>
    </row>
    <row r="19" spans="1:3" ht="15" customHeight="1" x14ac:dyDescent="0.3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3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3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3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3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3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3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3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3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3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3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3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3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3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3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3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3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3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3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3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3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3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3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3">
      <c r="A42" s="210" t="s">
        <v>18</v>
      </c>
      <c r="B42" s="228">
        <v>0.6</v>
      </c>
      <c r="C42" s="206" t="s">
        <v>36</v>
      </c>
    </row>
    <row r="43" spans="1:3" ht="15" customHeight="1" x14ac:dyDescent="0.3">
      <c r="A43" s="210" t="s">
        <v>1187</v>
      </c>
      <c r="B43" s="228">
        <v>0.5</v>
      </c>
      <c r="C43" s="206" t="s">
        <v>36</v>
      </c>
    </row>
    <row r="44" spans="1:3" ht="15" customHeight="1" x14ac:dyDescent="0.3">
      <c r="A44" s="210" t="s">
        <v>1410</v>
      </c>
      <c r="B44" s="229">
        <v>0.7</v>
      </c>
      <c r="C44" s="209" t="s">
        <v>36</v>
      </c>
    </row>
    <row r="45" spans="1:3" ht="15" customHeight="1" x14ac:dyDescent="0.3">
      <c r="A45" s="206" t="s">
        <v>1445</v>
      </c>
      <c r="B45" s="229">
        <v>3714410000000</v>
      </c>
      <c r="C45" s="212" t="s">
        <v>2074</v>
      </c>
    </row>
    <row r="46" spans="1:3" ht="15" customHeight="1" x14ac:dyDescent="0.3">
      <c r="A46" s="206" t="s">
        <v>1398</v>
      </c>
      <c r="B46" s="229">
        <v>228570000000</v>
      </c>
      <c r="C46" s="212" t="s">
        <v>2074</v>
      </c>
    </row>
    <row r="47" spans="1:3" ht="15" customHeight="1" x14ac:dyDescent="0.3">
      <c r="A47" s="206" t="s">
        <v>1446</v>
      </c>
      <c r="B47" s="229">
        <v>3714410000000</v>
      </c>
      <c r="C47" s="212" t="s">
        <v>2074</v>
      </c>
    </row>
    <row r="48" spans="1:3" ht="15" customHeight="1" x14ac:dyDescent="0.3">
      <c r="A48" s="206" t="s">
        <v>1399</v>
      </c>
      <c r="B48" s="229">
        <v>1000000000</v>
      </c>
      <c r="C48" s="212" t="s">
        <v>2074</v>
      </c>
    </row>
    <row r="49" spans="1:3" ht="15" customHeight="1" x14ac:dyDescent="0.3">
      <c r="A49" s="209" t="s">
        <v>16</v>
      </c>
      <c r="B49" s="229">
        <v>40000</v>
      </c>
      <c r="C49" s="209" t="s">
        <v>2075</v>
      </c>
    </row>
    <row r="50" spans="1:3" ht="15" customHeight="1" x14ac:dyDescent="0.3">
      <c r="A50" s="210" t="s">
        <v>355</v>
      </c>
      <c r="B50" s="228">
        <v>40000</v>
      </c>
      <c r="C50" s="209" t="s">
        <v>730</v>
      </c>
    </row>
    <row r="51" spans="1:3" ht="15" customHeight="1" x14ac:dyDescent="0.3">
      <c r="A51" s="210" t="s">
        <v>307</v>
      </c>
      <c r="B51" s="228">
        <v>40000</v>
      </c>
      <c r="C51" s="209" t="s">
        <v>730</v>
      </c>
    </row>
    <row r="52" spans="1:3" ht="15" customHeight="1" x14ac:dyDescent="0.3">
      <c r="A52" s="210" t="s">
        <v>686</v>
      </c>
      <c r="B52" s="228">
        <v>40000</v>
      </c>
      <c r="C52" s="209" t="s">
        <v>730</v>
      </c>
    </row>
    <row r="53" spans="1:3" ht="15" customHeight="1" x14ac:dyDescent="0.3">
      <c r="A53" s="210" t="s">
        <v>688</v>
      </c>
      <c r="B53" s="228">
        <v>40000</v>
      </c>
      <c r="C53" s="209" t="s">
        <v>730</v>
      </c>
    </row>
    <row r="54" spans="1:3" ht="15" customHeight="1" x14ac:dyDescent="0.3">
      <c r="A54" s="210" t="s">
        <v>1160</v>
      </c>
      <c r="B54" s="228">
        <v>40000</v>
      </c>
      <c r="C54" s="209" t="s">
        <v>730</v>
      </c>
    </row>
    <row r="55" spans="1:3" ht="15" customHeight="1" x14ac:dyDescent="0.3">
      <c r="A55" s="210" t="s">
        <v>687</v>
      </c>
      <c r="B55" s="228">
        <v>40000</v>
      </c>
      <c r="C55" s="209" t="s">
        <v>730</v>
      </c>
    </row>
    <row r="56" spans="1:3" ht="15" customHeight="1" x14ac:dyDescent="0.3">
      <c r="A56" s="210" t="s">
        <v>684</v>
      </c>
      <c r="B56" s="228">
        <v>40000</v>
      </c>
      <c r="C56" s="209" t="s">
        <v>730</v>
      </c>
    </row>
    <row r="57" spans="1:3" ht="15" customHeight="1" x14ac:dyDescent="0.3">
      <c r="A57" s="210" t="s">
        <v>689</v>
      </c>
      <c r="B57" s="228">
        <v>40000</v>
      </c>
      <c r="C57" s="209" t="s">
        <v>730</v>
      </c>
    </row>
    <row r="58" spans="1:3" ht="15" customHeight="1" x14ac:dyDescent="0.3">
      <c r="A58" s="210" t="s">
        <v>1141</v>
      </c>
      <c r="B58" s="229">
        <v>40000</v>
      </c>
      <c r="C58" s="209" t="s">
        <v>730</v>
      </c>
    </row>
    <row r="59" spans="1:3" ht="15" customHeight="1" x14ac:dyDescent="0.3">
      <c r="A59" s="210" t="s">
        <v>1161</v>
      </c>
      <c r="B59" s="228">
        <v>40000</v>
      </c>
      <c r="C59" s="209" t="s">
        <v>730</v>
      </c>
    </row>
    <row r="60" spans="1:3" ht="15" customHeight="1" x14ac:dyDescent="0.3">
      <c r="A60" s="210" t="s">
        <v>685</v>
      </c>
      <c r="B60" s="228">
        <v>40000</v>
      </c>
      <c r="C60" s="209" t="s">
        <v>730</v>
      </c>
    </row>
    <row r="61" spans="1:3" ht="15" customHeight="1" x14ac:dyDescent="0.3">
      <c r="A61" s="210" t="s">
        <v>1142</v>
      </c>
      <c r="B61" s="229">
        <v>40000</v>
      </c>
      <c r="C61" s="209" t="s">
        <v>730</v>
      </c>
    </row>
    <row r="62" spans="1:3" ht="15" customHeight="1" x14ac:dyDescent="0.3">
      <c r="A62" s="207" t="s">
        <v>765</v>
      </c>
      <c r="B62" s="214" t="s">
        <v>1296</v>
      </c>
      <c r="C62" s="209" t="s">
        <v>1295</v>
      </c>
    </row>
    <row r="63" spans="1:3" ht="15" customHeight="1" x14ac:dyDescent="0.3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3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3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3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3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3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3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3">
      <c r="A70" s="207" t="s">
        <v>1309</v>
      </c>
      <c r="B70" s="213">
        <v>500000</v>
      </c>
      <c r="C70" s="209" t="s">
        <v>2076</v>
      </c>
    </row>
    <row r="71" spans="1:3" ht="15" customHeight="1" x14ac:dyDescent="0.3">
      <c r="A71" s="207" t="s">
        <v>804</v>
      </c>
      <c r="B71" s="208">
        <v>500000</v>
      </c>
      <c r="C71" s="209" t="s">
        <v>2076</v>
      </c>
    </row>
    <row r="72" spans="1:3" ht="15" customHeight="1" x14ac:dyDescent="0.3">
      <c r="A72" s="207" t="s">
        <v>188</v>
      </c>
      <c r="B72" s="208">
        <v>500000</v>
      </c>
      <c r="C72" s="209" t="s">
        <v>2076</v>
      </c>
    </row>
    <row r="73" spans="1:3" ht="15" customHeight="1" x14ac:dyDescent="0.3">
      <c r="A73" s="207" t="s">
        <v>1003</v>
      </c>
      <c r="B73" s="208">
        <v>500000</v>
      </c>
      <c r="C73" s="209" t="s">
        <v>2076</v>
      </c>
    </row>
    <row r="74" spans="1:3" ht="15" customHeight="1" x14ac:dyDescent="0.3">
      <c r="A74" s="207" t="s">
        <v>972</v>
      </c>
      <c r="B74" s="208">
        <v>500000</v>
      </c>
      <c r="C74" s="209" t="s">
        <v>2076</v>
      </c>
    </row>
    <row r="75" spans="1:3" ht="15" customHeight="1" x14ac:dyDescent="0.3">
      <c r="A75" s="207" t="s">
        <v>1402</v>
      </c>
      <c r="B75" s="208">
        <v>500000</v>
      </c>
      <c r="C75" s="209" t="s">
        <v>2076</v>
      </c>
    </row>
    <row r="76" spans="1:3" ht="15" customHeight="1" x14ac:dyDescent="0.3">
      <c r="A76" s="210" t="s">
        <v>347</v>
      </c>
      <c r="B76" s="208">
        <v>1E-3</v>
      </c>
      <c r="C76" s="209" t="s">
        <v>2115</v>
      </c>
    </row>
    <row r="77" spans="1:3" ht="15" customHeight="1" x14ac:dyDescent="0.3">
      <c r="A77" s="210" t="s">
        <v>297</v>
      </c>
      <c r="B77" s="208">
        <v>1E-3</v>
      </c>
      <c r="C77" s="209" t="s">
        <v>2115</v>
      </c>
    </row>
    <row r="78" spans="1:3" ht="15" customHeight="1" x14ac:dyDescent="0.3">
      <c r="A78" s="210" t="s">
        <v>556</v>
      </c>
      <c r="B78" s="208">
        <v>1E-3</v>
      </c>
      <c r="C78" s="209" t="s">
        <v>2115</v>
      </c>
    </row>
    <row r="79" spans="1:3" ht="15" customHeight="1" x14ac:dyDescent="0.3">
      <c r="A79" s="210" t="s">
        <v>552</v>
      </c>
      <c r="B79" s="208">
        <v>1E-3</v>
      </c>
      <c r="C79" s="209" t="s">
        <v>2115</v>
      </c>
    </row>
    <row r="80" spans="1:3" ht="15" customHeight="1" x14ac:dyDescent="0.3">
      <c r="A80" s="210" t="s">
        <v>1155</v>
      </c>
      <c r="B80" s="208">
        <v>1E-3</v>
      </c>
      <c r="C80" s="209" t="s">
        <v>2115</v>
      </c>
    </row>
    <row r="81" spans="1:3" ht="15" customHeight="1" x14ac:dyDescent="0.3">
      <c r="A81" s="210" t="s">
        <v>558</v>
      </c>
      <c r="B81" s="208">
        <v>1E-3</v>
      </c>
      <c r="C81" s="209" t="s">
        <v>2115</v>
      </c>
    </row>
    <row r="82" spans="1:3" ht="15" customHeight="1" x14ac:dyDescent="0.3">
      <c r="A82" s="210" t="s">
        <v>142</v>
      </c>
      <c r="B82" s="208">
        <v>1E-3</v>
      </c>
      <c r="C82" s="209" t="s">
        <v>2115</v>
      </c>
    </row>
    <row r="83" spans="1:3" ht="15" customHeight="1" x14ac:dyDescent="0.3">
      <c r="A83" s="210" t="s">
        <v>554</v>
      </c>
      <c r="B83" s="208">
        <v>1E-3</v>
      </c>
      <c r="C83" s="209" t="s">
        <v>2115</v>
      </c>
    </row>
    <row r="84" spans="1:3" ht="15" customHeight="1" x14ac:dyDescent="0.3">
      <c r="A84" s="210" t="s">
        <v>1144</v>
      </c>
      <c r="B84" s="208">
        <v>1E-3</v>
      </c>
      <c r="C84" s="209" t="s">
        <v>2115</v>
      </c>
    </row>
    <row r="85" spans="1:3" ht="15" customHeight="1" x14ac:dyDescent="0.3">
      <c r="A85" s="210" t="s">
        <v>1156</v>
      </c>
      <c r="B85" s="208">
        <v>1E-3</v>
      </c>
      <c r="C85" s="209" t="s">
        <v>2115</v>
      </c>
    </row>
    <row r="86" spans="1:3" ht="15" customHeight="1" x14ac:dyDescent="0.3">
      <c r="A86" s="210" t="s">
        <v>143</v>
      </c>
      <c r="B86" s="208">
        <v>1E-3</v>
      </c>
      <c r="C86" s="209" t="s">
        <v>2115</v>
      </c>
    </row>
    <row r="87" spans="1:3" ht="15" customHeight="1" x14ac:dyDescent="0.3">
      <c r="A87" s="210" t="s">
        <v>1131</v>
      </c>
      <c r="B87" s="208">
        <v>1E-3</v>
      </c>
      <c r="C87" s="209" t="s">
        <v>2115</v>
      </c>
    </row>
    <row r="88" spans="1:3" ht="15" customHeight="1" x14ac:dyDescent="0.3">
      <c r="A88" s="210" t="s">
        <v>496</v>
      </c>
      <c r="B88" s="208">
        <v>200000</v>
      </c>
      <c r="C88" s="209" t="s">
        <v>36</v>
      </c>
    </row>
    <row r="89" spans="1:3" ht="15" customHeight="1" x14ac:dyDescent="0.3">
      <c r="A89" s="210" t="s">
        <v>1064</v>
      </c>
      <c r="B89" s="208">
        <v>200000</v>
      </c>
      <c r="C89" s="209" t="s">
        <v>36</v>
      </c>
    </row>
    <row r="90" spans="1:3" ht="15" customHeight="1" x14ac:dyDescent="0.3">
      <c r="A90" s="210" t="s">
        <v>962</v>
      </c>
      <c r="B90" s="208">
        <v>200000</v>
      </c>
      <c r="C90" s="209" t="s">
        <v>36</v>
      </c>
    </row>
    <row r="91" spans="1:3" ht="15" customHeight="1" x14ac:dyDescent="0.3">
      <c r="A91" s="210" t="s">
        <v>123</v>
      </c>
      <c r="B91" s="208">
        <v>200000</v>
      </c>
      <c r="C91" s="209" t="s">
        <v>36</v>
      </c>
    </row>
    <row r="92" spans="1:3" ht="15" customHeight="1" x14ac:dyDescent="0.3">
      <c r="A92" s="210" t="s">
        <v>956</v>
      </c>
      <c r="B92" s="213">
        <v>200000</v>
      </c>
      <c r="C92" s="209" t="s">
        <v>36</v>
      </c>
    </row>
    <row r="93" spans="1:3" ht="15" customHeight="1" x14ac:dyDescent="0.3">
      <c r="A93" s="210" t="s">
        <v>983</v>
      </c>
      <c r="B93" s="213">
        <v>0.02</v>
      </c>
      <c r="C93" s="209" t="s">
        <v>36</v>
      </c>
    </row>
    <row r="94" spans="1:3" ht="15" customHeight="1" x14ac:dyDescent="0.3">
      <c r="A94" s="210" t="s">
        <v>480</v>
      </c>
      <c r="B94" s="208">
        <v>0.02</v>
      </c>
      <c r="C94" s="209" t="s">
        <v>36</v>
      </c>
    </row>
    <row r="95" spans="1:3" ht="15" customHeight="1" x14ac:dyDescent="0.3">
      <c r="A95" s="210" t="s">
        <v>1070</v>
      </c>
      <c r="B95" s="208">
        <v>0.02</v>
      </c>
      <c r="C95" s="209" t="s">
        <v>36</v>
      </c>
    </row>
    <row r="96" spans="1:3" ht="15" customHeight="1" x14ac:dyDescent="0.3">
      <c r="A96" s="210" t="s">
        <v>482</v>
      </c>
      <c r="B96" s="208">
        <v>0.02</v>
      </c>
      <c r="C96" s="209" t="s">
        <v>36</v>
      </c>
    </row>
    <row r="97" spans="1:3" ht="15" customHeight="1" x14ac:dyDescent="0.3">
      <c r="A97" s="210" t="s">
        <v>1072</v>
      </c>
      <c r="B97" s="208">
        <v>0.02</v>
      </c>
      <c r="C97" s="209" t="s">
        <v>36</v>
      </c>
    </row>
    <row r="98" spans="1:3" ht="15" customHeight="1" x14ac:dyDescent="0.3">
      <c r="A98" s="210" t="s">
        <v>484</v>
      </c>
      <c r="B98" s="208">
        <v>0.02</v>
      </c>
      <c r="C98" s="209" t="s">
        <v>36</v>
      </c>
    </row>
    <row r="99" spans="1:3" ht="15" customHeight="1" x14ac:dyDescent="0.3">
      <c r="A99" s="210" t="s">
        <v>1074</v>
      </c>
      <c r="B99" s="208">
        <v>0.02</v>
      </c>
      <c r="C99" s="209" t="s">
        <v>36</v>
      </c>
    </row>
    <row r="100" spans="1:3" ht="15" customHeight="1" x14ac:dyDescent="0.3">
      <c r="A100" s="210" t="s">
        <v>410</v>
      </c>
      <c r="B100" s="208">
        <v>0.02</v>
      </c>
      <c r="C100" s="209" t="s">
        <v>36</v>
      </c>
    </row>
    <row r="101" spans="1:3" ht="15" customHeight="1" x14ac:dyDescent="0.3">
      <c r="A101" s="210" t="s">
        <v>1298</v>
      </c>
      <c r="B101" s="208">
        <v>0.05</v>
      </c>
      <c r="C101" s="209" t="s">
        <v>36</v>
      </c>
    </row>
    <row r="102" spans="1:3" ht="15" customHeight="1" x14ac:dyDescent="0.3">
      <c r="A102" s="210" t="s">
        <v>1066</v>
      </c>
      <c r="B102" s="208">
        <v>0.05</v>
      </c>
      <c r="C102" s="209" t="s">
        <v>36</v>
      </c>
    </row>
    <row r="103" spans="1:3" ht="15" customHeight="1" x14ac:dyDescent="0.3">
      <c r="A103" s="210" t="s">
        <v>1300</v>
      </c>
      <c r="B103" s="208">
        <v>0.05</v>
      </c>
      <c r="C103" s="209" t="s">
        <v>36</v>
      </c>
    </row>
    <row r="104" spans="1:3" ht="15" customHeight="1" x14ac:dyDescent="0.3">
      <c r="A104" s="210" t="s">
        <v>1068</v>
      </c>
      <c r="B104" s="208">
        <v>0.05</v>
      </c>
      <c r="C104" s="209" t="s">
        <v>36</v>
      </c>
    </row>
    <row r="105" spans="1:3" ht="15" customHeight="1" x14ac:dyDescent="0.3">
      <c r="A105" s="210" t="s">
        <v>409</v>
      </c>
      <c r="B105" s="208">
        <v>0.05</v>
      </c>
      <c r="C105" s="209" t="s">
        <v>36</v>
      </c>
    </row>
    <row r="106" spans="1:3" ht="15" customHeight="1" x14ac:dyDescent="0.3">
      <c r="A106" s="210" t="s">
        <v>437</v>
      </c>
      <c r="B106" s="208">
        <v>0.05</v>
      </c>
      <c r="C106" s="209" t="s">
        <v>36</v>
      </c>
    </row>
    <row r="107" spans="1:3" ht="15" customHeight="1" x14ac:dyDescent="0.3">
      <c r="A107" s="210" t="s">
        <v>114</v>
      </c>
      <c r="B107" s="208">
        <v>0.05</v>
      </c>
      <c r="C107" s="209" t="s">
        <v>36</v>
      </c>
    </row>
    <row r="108" spans="1:3" ht="15" customHeight="1" x14ac:dyDescent="0.3">
      <c r="A108" s="210" t="s">
        <v>957</v>
      </c>
      <c r="B108" s="208">
        <v>0.02</v>
      </c>
      <c r="C108" s="209" t="s">
        <v>36</v>
      </c>
    </row>
    <row r="109" spans="1:3" ht="15" customHeight="1" x14ac:dyDescent="0.3">
      <c r="A109" s="210" t="s">
        <v>1044</v>
      </c>
      <c r="B109" s="208">
        <v>0.02</v>
      </c>
      <c r="C109" s="209" t="s">
        <v>36</v>
      </c>
    </row>
    <row r="110" spans="1:3" ht="15" customHeight="1" x14ac:dyDescent="0.3">
      <c r="A110" s="210" t="s">
        <v>344</v>
      </c>
      <c r="B110" s="208">
        <v>0.1</v>
      </c>
      <c r="C110" s="209" t="s">
        <v>36</v>
      </c>
    </row>
    <row r="111" spans="1:3" ht="15" customHeight="1" x14ac:dyDescent="0.3">
      <c r="A111" s="210" t="s">
        <v>294</v>
      </c>
      <c r="B111" s="208">
        <v>0.1</v>
      </c>
      <c r="C111" s="209" t="s">
        <v>36</v>
      </c>
    </row>
    <row r="112" spans="1:3" ht="15" customHeight="1" x14ac:dyDescent="0.3">
      <c r="A112" s="210" t="s">
        <v>1454</v>
      </c>
      <c r="B112" s="208">
        <v>0.1</v>
      </c>
      <c r="C112" s="209" t="s">
        <v>36</v>
      </c>
    </row>
    <row r="113" spans="1:3" ht="15" customHeight="1" x14ac:dyDescent="0.3">
      <c r="A113" s="210" t="s">
        <v>1456</v>
      </c>
      <c r="B113" s="208">
        <v>0.1</v>
      </c>
      <c r="C113" s="209" t="s">
        <v>36</v>
      </c>
    </row>
    <row r="114" spans="1:3" ht="15" customHeight="1" x14ac:dyDescent="0.3">
      <c r="A114" s="210" t="s">
        <v>1458</v>
      </c>
      <c r="B114" s="208">
        <v>0.1</v>
      </c>
      <c r="C114" s="209" t="s">
        <v>36</v>
      </c>
    </row>
    <row r="115" spans="1:3" ht="15" customHeight="1" x14ac:dyDescent="0.3">
      <c r="A115" s="210" t="s">
        <v>1455</v>
      </c>
      <c r="B115" s="208">
        <v>0.1</v>
      </c>
      <c r="C115" s="209" t="s">
        <v>36</v>
      </c>
    </row>
    <row r="116" spans="1:3" ht="15" customHeight="1" x14ac:dyDescent="0.3">
      <c r="A116" s="210" t="s">
        <v>1452</v>
      </c>
      <c r="B116" s="208">
        <v>0.1</v>
      </c>
      <c r="C116" s="209" t="s">
        <v>36</v>
      </c>
    </row>
    <row r="117" spans="1:3" ht="15" customHeight="1" x14ac:dyDescent="0.3">
      <c r="A117" s="210" t="s">
        <v>1457</v>
      </c>
      <c r="B117" s="208">
        <v>0.1</v>
      </c>
      <c r="C117" s="209" t="s">
        <v>36</v>
      </c>
    </row>
    <row r="118" spans="1:3" ht="15" customHeight="1" x14ac:dyDescent="0.3">
      <c r="A118" s="210" t="s">
        <v>1460</v>
      </c>
      <c r="B118" s="215">
        <v>0.1</v>
      </c>
      <c r="C118" s="209" t="s">
        <v>36</v>
      </c>
    </row>
    <row r="119" spans="1:3" ht="15" customHeight="1" x14ac:dyDescent="0.3">
      <c r="A119" s="210" t="s">
        <v>1459</v>
      </c>
      <c r="B119" s="208">
        <v>0.1</v>
      </c>
      <c r="C119" s="209" t="s">
        <v>36</v>
      </c>
    </row>
    <row r="120" spans="1:3" ht="15" customHeight="1" x14ac:dyDescent="0.3">
      <c r="A120" s="210" t="s">
        <v>1453</v>
      </c>
      <c r="B120" s="208">
        <v>0.1</v>
      </c>
      <c r="C120" s="209" t="s">
        <v>36</v>
      </c>
    </row>
    <row r="121" spans="1:3" ht="15" customHeight="1" x14ac:dyDescent="0.3">
      <c r="A121" s="210" t="s">
        <v>1461</v>
      </c>
      <c r="B121" s="215">
        <v>0.1</v>
      </c>
      <c r="C121" s="209" t="s">
        <v>36</v>
      </c>
    </row>
    <row r="122" spans="1:3" ht="15" customHeight="1" x14ac:dyDescent="0.3">
      <c r="A122" s="206" t="s">
        <v>1546</v>
      </c>
      <c r="B122" s="208">
        <v>0.1</v>
      </c>
      <c r="C122" s="206" t="s">
        <v>36</v>
      </c>
    </row>
    <row r="123" spans="1:3" ht="15" customHeight="1" x14ac:dyDescent="0.3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3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3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3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3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3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3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3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3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3">
      <c r="A132" s="207" t="s">
        <v>908</v>
      </c>
      <c r="B132" s="216" t="s">
        <v>2096</v>
      </c>
      <c r="C132" s="206" t="s">
        <v>36</v>
      </c>
    </row>
    <row r="133" spans="1:3" ht="15" customHeight="1" x14ac:dyDescent="0.3">
      <c r="A133" s="207" t="s">
        <v>1467</v>
      </c>
      <c r="B133" s="216" t="s">
        <v>2097</v>
      </c>
      <c r="C133" s="206" t="s">
        <v>36</v>
      </c>
    </row>
    <row r="134" spans="1:3" ht="15" customHeight="1" x14ac:dyDescent="0.3">
      <c r="A134" s="207" t="s">
        <v>909</v>
      </c>
      <c r="B134" s="216" t="s">
        <v>2098</v>
      </c>
      <c r="C134" s="206" t="s">
        <v>36</v>
      </c>
    </row>
    <row r="135" spans="1:3" ht="15" customHeight="1" x14ac:dyDescent="0.3">
      <c r="A135" s="207" t="s">
        <v>1468</v>
      </c>
      <c r="B135" s="216" t="s">
        <v>2099</v>
      </c>
      <c r="C135" s="206" t="s">
        <v>36</v>
      </c>
    </row>
    <row r="136" spans="1:3" ht="15" customHeight="1" x14ac:dyDescent="0.3">
      <c r="A136" s="207" t="s">
        <v>910</v>
      </c>
      <c r="B136" s="216" t="s">
        <v>2100</v>
      </c>
      <c r="C136" s="206" t="s">
        <v>36</v>
      </c>
    </row>
    <row r="137" spans="1:3" ht="15" customHeight="1" x14ac:dyDescent="0.3">
      <c r="A137" s="207" t="s">
        <v>1469</v>
      </c>
      <c r="B137" s="216" t="s">
        <v>2101</v>
      </c>
      <c r="C137" s="206" t="s">
        <v>36</v>
      </c>
    </row>
    <row r="138" spans="1:3" ht="15" customHeight="1" x14ac:dyDescent="0.3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3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3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3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3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3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3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3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3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3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3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3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3">
      <c r="A150" s="207" t="s">
        <v>607</v>
      </c>
      <c r="B150" s="216" t="s">
        <v>2095</v>
      </c>
      <c r="C150" s="209" t="s">
        <v>36</v>
      </c>
    </row>
    <row r="151" spans="1:3" ht="15" customHeight="1" x14ac:dyDescent="0.3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3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3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3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3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3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3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3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3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3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3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3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3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3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3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3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3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3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3">
      <c r="A169" s="210" t="s">
        <v>1355</v>
      </c>
      <c r="B169" s="208">
        <v>0.05</v>
      </c>
      <c r="C169" s="206" t="s">
        <v>719</v>
      </c>
    </row>
    <row r="170" spans="1:3" ht="15" customHeight="1" x14ac:dyDescent="0.3">
      <c r="A170" s="210" t="s">
        <v>1200</v>
      </c>
      <c r="B170" s="213">
        <v>0.05</v>
      </c>
      <c r="C170" s="209" t="s">
        <v>719</v>
      </c>
    </row>
    <row r="171" spans="1:3" ht="15" customHeight="1" x14ac:dyDescent="0.3">
      <c r="A171" s="210" t="s">
        <v>472</v>
      </c>
      <c r="B171" s="208">
        <v>0.2</v>
      </c>
      <c r="C171" s="206" t="s">
        <v>719</v>
      </c>
    </row>
    <row r="172" spans="1:3" ht="15" customHeight="1" x14ac:dyDescent="0.3">
      <c r="A172" s="210" t="s">
        <v>57</v>
      </c>
      <c r="B172" s="213">
        <v>0.2</v>
      </c>
      <c r="C172" s="209" t="s">
        <v>719</v>
      </c>
    </row>
    <row r="173" spans="1:3" ht="15" customHeight="1" x14ac:dyDescent="0.3">
      <c r="A173" s="210" t="s">
        <v>775</v>
      </c>
      <c r="B173" s="208">
        <v>0.05</v>
      </c>
      <c r="C173" s="206" t="s">
        <v>719</v>
      </c>
    </row>
    <row r="174" spans="1:3" ht="15" customHeight="1" x14ac:dyDescent="0.3">
      <c r="A174" s="210" t="s">
        <v>58</v>
      </c>
      <c r="B174" s="213">
        <v>0.05</v>
      </c>
      <c r="C174" s="209" t="s">
        <v>719</v>
      </c>
    </row>
    <row r="175" spans="1:3" ht="15" customHeight="1" x14ac:dyDescent="0.3">
      <c r="A175" s="210" t="s">
        <v>22</v>
      </c>
      <c r="B175" s="208">
        <v>0.05</v>
      </c>
      <c r="C175" s="209" t="s">
        <v>719</v>
      </c>
    </row>
    <row r="176" spans="1:3" ht="15" customHeight="1" x14ac:dyDescent="0.3">
      <c r="A176" s="210" t="s">
        <v>470</v>
      </c>
      <c r="B176" s="208">
        <v>0.03</v>
      </c>
      <c r="C176" s="209" t="s">
        <v>719</v>
      </c>
    </row>
    <row r="177" spans="1:3" ht="15" customHeight="1" x14ac:dyDescent="0.3">
      <c r="A177" s="210" t="s">
        <v>1198</v>
      </c>
      <c r="B177" s="208">
        <v>0.03</v>
      </c>
      <c r="C177" s="209" t="s">
        <v>719</v>
      </c>
    </row>
    <row r="178" spans="1:3" ht="15" customHeight="1" x14ac:dyDescent="0.3">
      <c r="A178" s="210" t="s">
        <v>471</v>
      </c>
      <c r="B178" s="208">
        <v>0.03</v>
      </c>
      <c r="C178" s="209" t="s">
        <v>719</v>
      </c>
    </row>
    <row r="179" spans="1:3" ht="15" customHeight="1" x14ac:dyDescent="0.3">
      <c r="A179" s="210" t="s">
        <v>1199</v>
      </c>
      <c r="B179" s="208">
        <v>0.03</v>
      </c>
      <c r="C179" s="209" t="s">
        <v>719</v>
      </c>
    </row>
    <row r="180" spans="1:3" ht="15" customHeight="1" x14ac:dyDescent="0.3">
      <c r="A180" s="210" t="s">
        <v>21</v>
      </c>
      <c r="B180" s="208">
        <v>0.03</v>
      </c>
      <c r="C180" s="209" t="s">
        <v>719</v>
      </c>
    </row>
    <row r="181" spans="1:3" ht="15" customHeight="1" x14ac:dyDescent="0.3">
      <c r="A181" s="210" t="s">
        <v>1353</v>
      </c>
      <c r="B181" s="208">
        <v>0.03</v>
      </c>
      <c r="C181" s="209" t="s">
        <v>719</v>
      </c>
    </row>
    <row r="182" spans="1:3" ht="15" customHeight="1" x14ac:dyDescent="0.3">
      <c r="A182" s="210" t="s">
        <v>1413</v>
      </c>
      <c r="B182" s="208">
        <v>0.03</v>
      </c>
      <c r="C182" s="209" t="s">
        <v>719</v>
      </c>
    </row>
    <row r="183" spans="1:3" ht="15" customHeight="1" x14ac:dyDescent="0.3">
      <c r="A183" s="210" t="s">
        <v>1354</v>
      </c>
      <c r="B183" s="208">
        <v>0.05</v>
      </c>
      <c r="C183" s="209" t="s">
        <v>719</v>
      </c>
    </row>
    <row r="184" spans="1:3" ht="15" customHeight="1" x14ac:dyDescent="0.3">
      <c r="A184" s="210" t="s">
        <v>1414</v>
      </c>
      <c r="B184" s="208">
        <v>0.05</v>
      </c>
      <c r="C184" s="209" t="s">
        <v>719</v>
      </c>
    </row>
    <row r="185" spans="1:3" ht="15" customHeight="1" x14ac:dyDescent="0.3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3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3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3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3">
      <c r="A189" s="210" t="s">
        <v>950</v>
      </c>
      <c r="B189" s="208">
        <v>100</v>
      </c>
      <c r="C189" s="209" t="s">
        <v>719</v>
      </c>
    </row>
    <row r="190" spans="1:3" ht="15" customHeight="1" x14ac:dyDescent="0.3">
      <c r="A190" s="210" t="s">
        <v>469</v>
      </c>
      <c r="B190" s="208">
        <v>200</v>
      </c>
      <c r="C190" s="206" t="s">
        <v>719</v>
      </c>
    </row>
    <row r="191" spans="1:3" ht="15" customHeight="1" x14ac:dyDescent="0.3">
      <c r="A191" s="210" t="s">
        <v>941</v>
      </c>
      <c r="B191" s="208">
        <v>100</v>
      </c>
      <c r="C191" s="209" t="s">
        <v>719</v>
      </c>
    </row>
    <row r="192" spans="1:3" ht="15" customHeight="1" x14ac:dyDescent="0.3">
      <c r="A192" s="210" t="s">
        <v>1197</v>
      </c>
      <c r="B192" s="208">
        <v>10</v>
      </c>
      <c r="C192" s="209" t="s">
        <v>719</v>
      </c>
    </row>
    <row r="193" spans="1:3" ht="15" customHeight="1" x14ac:dyDescent="0.3">
      <c r="A193" s="210" t="s">
        <v>947</v>
      </c>
      <c r="B193" s="213">
        <v>100</v>
      </c>
      <c r="C193" s="209" t="s">
        <v>719</v>
      </c>
    </row>
    <row r="194" spans="1:3" ht="15" customHeight="1" x14ac:dyDescent="0.3">
      <c r="A194" s="210" t="s">
        <v>951</v>
      </c>
      <c r="B194" s="208">
        <v>3000</v>
      </c>
      <c r="C194" s="209" t="s">
        <v>719</v>
      </c>
    </row>
    <row r="195" spans="1:3" ht="15" customHeight="1" x14ac:dyDescent="0.3">
      <c r="A195" s="210" t="s">
        <v>940</v>
      </c>
      <c r="B195" s="208">
        <v>3000</v>
      </c>
      <c r="C195" s="209" t="s">
        <v>719</v>
      </c>
    </row>
    <row r="196" spans="1:3" ht="15" customHeight="1" x14ac:dyDescent="0.3">
      <c r="A196" s="210" t="s">
        <v>948</v>
      </c>
      <c r="B196" s="208">
        <v>3000</v>
      </c>
      <c r="C196" s="209" t="s">
        <v>719</v>
      </c>
    </row>
    <row r="197" spans="1:3" ht="15" customHeight="1" x14ac:dyDescent="0.3">
      <c r="A197" s="206" t="s">
        <v>1342</v>
      </c>
      <c r="B197" s="213">
        <v>3</v>
      </c>
      <c r="C197" s="206" t="s">
        <v>720</v>
      </c>
    </row>
    <row r="198" spans="1:3" ht="15" customHeight="1" x14ac:dyDescent="0.3">
      <c r="A198" s="206" t="s">
        <v>1418</v>
      </c>
      <c r="B198" s="213">
        <v>3</v>
      </c>
      <c r="C198" s="206" t="s">
        <v>720</v>
      </c>
    </row>
    <row r="199" spans="1:3" ht="15" customHeight="1" x14ac:dyDescent="0.3">
      <c r="A199" s="206" t="s">
        <v>313</v>
      </c>
      <c r="B199" s="213">
        <v>100</v>
      </c>
      <c r="C199" s="206" t="s">
        <v>720</v>
      </c>
    </row>
    <row r="200" spans="1:3" ht="15" customHeight="1" x14ac:dyDescent="0.3">
      <c r="A200" s="206" t="s">
        <v>312</v>
      </c>
      <c r="B200" s="213">
        <v>100</v>
      </c>
      <c r="C200" s="206" t="s">
        <v>720</v>
      </c>
    </row>
    <row r="201" spans="1:3" ht="15" customHeight="1" x14ac:dyDescent="0.3">
      <c r="A201" s="207" t="s">
        <v>662</v>
      </c>
      <c r="B201" s="208">
        <f>((kwsd.water.wC*kwsd.sed.sdC)/(kwsd.water.wC+kwsd.sed.sdC))/Ksdw1.C*(SYSTEMAREA.C*AREAFRAC.w1C)</f>
        <v>968.80747676831311</v>
      </c>
      <c r="C201" s="209" t="s">
        <v>2072</v>
      </c>
    </row>
    <row r="202" spans="1:3" ht="15" customHeight="1" x14ac:dyDescent="0.3">
      <c r="A202" s="207" t="s">
        <v>1086</v>
      </c>
      <c r="B202" s="208">
        <f>((kwsd.water.wR*kwsd.sed.sdR)/(kwsd.water.wR+kwsd.sed.sdR))/Ksdw1.R*(SYSTEMAREA.R*AREAFRAC.w1R)</f>
        <v>63.525670990330411</v>
      </c>
      <c r="C202" s="209" t="s">
        <v>2072</v>
      </c>
    </row>
    <row r="203" spans="1:3" ht="15" customHeight="1" x14ac:dyDescent="0.3">
      <c r="A203" s="207" t="s">
        <v>664</v>
      </c>
      <c r="B203" s="208">
        <f>((kwsd.water.wC*kwsd.sed.sdC)/(kwsd.water.wC+kwsd.sed.sdC))/Ksdw2.C*(SYSTEMAREA.C*AREAFRAC.w2C)</f>
        <v>37529.280771309815</v>
      </c>
      <c r="C203" s="209" t="s">
        <v>2072</v>
      </c>
    </row>
    <row r="204" spans="1:3" ht="15" customHeight="1" x14ac:dyDescent="0.3">
      <c r="A204" s="207" t="s">
        <v>974</v>
      </c>
      <c r="B204" s="208">
        <f>((kwsd.water.wR*kwsd.sed.sdR)/(kwsd.water.wR+kwsd.sed.sdR))/Ksdw2.R*(SYSTEMAREA.R*AREAFRAC.w2R)</f>
        <v>10.106419913586128</v>
      </c>
      <c r="C204" s="209" t="s">
        <v>2072</v>
      </c>
    </row>
    <row r="205" spans="1:3" ht="15" customHeight="1" x14ac:dyDescent="0.3">
      <c r="A205" s="207" t="s">
        <v>164</v>
      </c>
      <c r="B205" s="208">
        <f>((kwsd.water.wA*kwsd.sed.sdA)/(kwsd.water.wA+kwsd.sed.sdA))/Ksdw.A*(SYSTEMAREA.A*AREAFRAC.wA)</f>
        <v>257713.70779644593</v>
      </c>
      <c r="C205" s="206" t="s">
        <v>2072</v>
      </c>
    </row>
    <row r="206" spans="1:3" ht="15" customHeight="1" x14ac:dyDescent="0.3">
      <c r="A206" s="207" t="s">
        <v>166</v>
      </c>
      <c r="B206" s="208">
        <f>((kwsd.water.wM*kwsd.sed.sdM)/(kwsd.water.wM+kwsd.sed.sdM))/Ksdw.M*(SYSTEMAREA.M*AREAFRAC.wM)</f>
        <v>391983.45913618652</v>
      </c>
      <c r="C206" s="206" t="s">
        <v>2072</v>
      </c>
    </row>
    <row r="207" spans="1:3" ht="15" customHeight="1" x14ac:dyDescent="0.3">
      <c r="A207" s="207" t="s">
        <v>159</v>
      </c>
      <c r="B207" s="208">
        <f>((kwsd.water.wT*kwsd.sed.sdT)/(kwsd.water.wT+kwsd.sed.sdT))/Ksdw.T*(SYSTEMAREA.T*AREAFRAC.wT)</f>
        <v>901997.97728756082</v>
      </c>
      <c r="C207" s="206" t="s">
        <v>2072</v>
      </c>
    </row>
    <row r="208" spans="1:3" ht="15" customHeight="1" x14ac:dyDescent="0.3">
      <c r="A208" s="209" t="s">
        <v>1174</v>
      </c>
      <c r="B208" s="213">
        <f>0.0000257*SQRT(18)/SQRT(Molweight*1000)</f>
        <v>7.3015816211560352E-6</v>
      </c>
      <c r="C208" s="212" t="s">
        <v>2077</v>
      </c>
    </row>
    <row r="209" spans="1:3" ht="15" customHeight="1" x14ac:dyDescent="0.3">
      <c r="A209" s="209" t="s">
        <v>871</v>
      </c>
      <c r="B209" s="213">
        <f>0.000000002*SQRT(32)/SQRT(Molweight*1000)</f>
        <v>7.5762195809660557E-10</v>
      </c>
      <c r="C209" s="212" t="s">
        <v>2077</v>
      </c>
    </row>
    <row r="210" spans="1:3" ht="15" customHeight="1" x14ac:dyDescent="0.3">
      <c r="A210" s="210" t="s">
        <v>413</v>
      </c>
      <c r="B210" s="208">
        <f>AEROSOLdeprate.A*(FRaerw.aA+FRaers.aA)</f>
        <v>9.067902748247685E-4</v>
      </c>
      <c r="C210" s="211" t="s">
        <v>2073</v>
      </c>
    </row>
    <row r="211" spans="1:3" ht="15" customHeight="1" x14ac:dyDescent="0.3">
      <c r="A211" s="210" t="s">
        <v>459</v>
      </c>
      <c r="B211" s="208">
        <f>AEROSOLdeprate.C*(FRaerw.aC+FRaers.aC)</f>
        <v>5.1014161146116597E-4</v>
      </c>
      <c r="C211" s="212" t="s">
        <v>2073</v>
      </c>
    </row>
    <row r="212" spans="1:3" ht="15" customHeight="1" x14ac:dyDescent="0.3">
      <c r="A212" s="210" t="s">
        <v>959</v>
      </c>
      <c r="B212" s="208">
        <f>AEROSOLdeprate.M*(FRaerw.aM+FRaers.aM)</f>
        <v>5.1014161146116597E-4</v>
      </c>
      <c r="C212" s="211" t="s">
        <v>2073</v>
      </c>
    </row>
    <row r="213" spans="1:3" ht="15" customHeight="1" x14ac:dyDescent="0.3">
      <c r="A213" s="210" t="s">
        <v>120</v>
      </c>
      <c r="B213" s="208">
        <f>AEROSOLdeprate.R*(FRaerw.aR+FRaers.aR)</f>
        <v>5.1014161146116597E-4</v>
      </c>
      <c r="C213" s="212" t="s">
        <v>2073</v>
      </c>
    </row>
    <row r="214" spans="1:3" ht="15" customHeight="1" x14ac:dyDescent="0.3">
      <c r="A214" s="210" t="s">
        <v>953</v>
      </c>
      <c r="B214" s="208">
        <f>AEROSOLdeprate.T*(FRaerw.aT+FRaers.aT)</f>
        <v>4.4823840970375394E-4</v>
      </c>
      <c r="C214" s="211" t="s">
        <v>2073</v>
      </c>
    </row>
    <row r="215" spans="1:3" ht="15" customHeight="1" x14ac:dyDescent="0.3">
      <c r="A215" s="207" t="s">
        <v>969</v>
      </c>
      <c r="B215" s="213">
        <v>6000</v>
      </c>
      <c r="C215" s="209" t="s">
        <v>2116</v>
      </c>
    </row>
    <row r="216" spans="1:3" ht="15" customHeight="1" x14ac:dyDescent="0.3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3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3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3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3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3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3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3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3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3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3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3">
      <c r="A227" s="206" t="s">
        <v>1234</v>
      </c>
      <c r="B227" s="213">
        <v>0</v>
      </c>
      <c r="C227" s="206" t="s">
        <v>486</v>
      </c>
    </row>
    <row r="228" spans="1:3" ht="15" customHeight="1" x14ac:dyDescent="0.3">
      <c r="A228" s="206" t="s">
        <v>5</v>
      </c>
      <c r="B228" s="213">
        <v>0</v>
      </c>
      <c r="C228" s="206" t="s">
        <v>486</v>
      </c>
    </row>
    <row r="229" spans="1:3" ht="15" customHeight="1" x14ac:dyDescent="0.3">
      <c r="A229" s="210" t="s">
        <v>43</v>
      </c>
      <c r="B229" s="208">
        <v>0.2</v>
      </c>
      <c r="C229" s="206" t="s">
        <v>722</v>
      </c>
    </row>
    <row r="230" spans="1:3" ht="15" customHeight="1" x14ac:dyDescent="0.3">
      <c r="A230" s="210" t="s">
        <v>892</v>
      </c>
      <c r="B230" s="208">
        <v>0.2</v>
      </c>
      <c r="C230" s="209" t="s">
        <v>722</v>
      </c>
    </row>
    <row r="231" spans="1:3" ht="15" customHeight="1" x14ac:dyDescent="0.3">
      <c r="A231" s="210" t="s">
        <v>443</v>
      </c>
      <c r="B231" s="208">
        <v>0.2</v>
      </c>
      <c r="C231" s="206" t="s">
        <v>722</v>
      </c>
    </row>
    <row r="232" spans="1:3" ht="15" customHeight="1" x14ac:dyDescent="0.3">
      <c r="A232" s="210" t="s">
        <v>7</v>
      </c>
      <c r="B232" s="208">
        <v>0.2</v>
      </c>
      <c r="C232" s="209" t="s">
        <v>722</v>
      </c>
    </row>
    <row r="233" spans="1:3" ht="15" customHeight="1" x14ac:dyDescent="0.3">
      <c r="A233" s="210" t="s">
        <v>38</v>
      </c>
      <c r="B233" s="208">
        <v>0.2</v>
      </c>
      <c r="C233" s="206" t="s">
        <v>722</v>
      </c>
    </row>
    <row r="234" spans="1:3" ht="15" customHeight="1" x14ac:dyDescent="0.3">
      <c r="A234" s="210" t="s">
        <v>8</v>
      </c>
      <c r="B234" s="208">
        <v>0.2</v>
      </c>
      <c r="C234" s="209" t="s">
        <v>722</v>
      </c>
    </row>
    <row r="235" spans="1:3" ht="15" customHeight="1" x14ac:dyDescent="0.3">
      <c r="A235" s="210" t="s">
        <v>474</v>
      </c>
      <c r="B235" s="208">
        <v>0.2</v>
      </c>
      <c r="C235" s="209" t="s">
        <v>722</v>
      </c>
    </row>
    <row r="236" spans="1:3" ht="15" customHeight="1" x14ac:dyDescent="0.3">
      <c r="A236" s="210" t="s">
        <v>659</v>
      </c>
      <c r="B236" s="208">
        <v>0.2</v>
      </c>
      <c r="C236" s="209" t="s">
        <v>722</v>
      </c>
    </row>
    <row r="237" spans="1:3" ht="15" customHeight="1" x14ac:dyDescent="0.3">
      <c r="A237" s="210" t="s">
        <v>1081</v>
      </c>
      <c r="B237" s="213">
        <v>0.2</v>
      </c>
      <c r="C237" s="209" t="s">
        <v>722</v>
      </c>
    </row>
    <row r="238" spans="1:3" ht="15" customHeight="1" x14ac:dyDescent="0.3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3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3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3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3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3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3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3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3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3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3">
      <c r="A248" s="206" t="s">
        <v>1340</v>
      </c>
      <c r="B248" s="213">
        <v>0.6</v>
      </c>
      <c r="C248" s="206" t="s">
        <v>486</v>
      </c>
    </row>
    <row r="249" spans="1:3" ht="15" customHeight="1" x14ac:dyDescent="0.3">
      <c r="A249" s="206" t="s">
        <v>1416</v>
      </c>
      <c r="B249" s="213">
        <v>0.6</v>
      </c>
      <c r="C249" s="206" t="s">
        <v>486</v>
      </c>
    </row>
    <row r="250" spans="1:3" ht="15" customHeight="1" x14ac:dyDescent="0.3">
      <c r="A250" s="206" t="s">
        <v>1422</v>
      </c>
      <c r="B250" s="213">
        <v>2.75E-2</v>
      </c>
      <c r="C250" s="206" t="s">
        <v>486</v>
      </c>
    </row>
    <row r="251" spans="1:3" ht="15" customHeight="1" x14ac:dyDescent="0.3">
      <c r="A251" s="206" t="s">
        <v>681</v>
      </c>
      <c r="B251" s="213">
        <v>2.75E-2</v>
      </c>
      <c r="C251" s="206" t="s">
        <v>486</v>
      </c>
    </row>
    <row r="252" spans="1:3" ht="15" customHeight="1" x14ac:dyDescent="0.3">
      <c r="A252" s="206" t="s">
        <v>1343</v>
      </c>
      <c r="B252" s="213">
        <v>0.25</v>
      </c>
      <c r="C252" s="206" t="s">
        <v>486</v>
      </c>
    </row>
    <row r="253" spans="1:3" ht="15" customHeight="1" x14ac:dyDescent="0.3">
      <c r="A253" s="206" t="s">
        <v>1419</v>
      </c>
      <c r="B253" s="213">
        <v>0.25</v>
      </c>
      <c r="C253" s="206" t="s">
        <v>486</v>
      </c>
    </row>
    <row r="254" spans="1:3" ht="15" customHeight="1" x14ac:dyDescent="0.3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3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3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3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3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3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3">
      <c r="A260" s="210" t="s">
        <v>877</v>
      </c>
      <c r="B260" s="208">
        <v>0.25</v>
      </c>
      <c r="C260" s="209" t="s">
        <v>36</v>
      </c>
    </row>
    <row r="261" spans="1:3" ht="15" customHeight="1" x14ac:dyDescent="0.3">
      <c r="A261" s="210" t="s">
        <v>272</v>
      </c>
      <c r="B261" s="208">
        <v>0.25</v>
      </c>
      <c r="C261" s="209" t="s">
        <v>36</v>
      </c>
    </row>
    <row r="262" spans="1:3" ht="15" customHeight="1" x14ac:dyDescent="0.3">
      <c r="A262" s="210" t="s">
        <v>1393</v>
      </c>
      <c r="B262" s="213">
        <v>0.25</v>
      </c>
      <c r="C262" s="209" t="s">
        <v>36</v>
      </c>
    </row>
    <row r="263" spans="1:3" ht="15" customHeight="1" x14ac:dyDescent="0.3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3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3">
      <c r="A265" s="206" t="s">
        <v>1423</v>
      </c>
      <c r="B265" s="213">
        <v>0.27</v>
      </c>
      <c r="C265" s="206" t="s">
        <v>486</v>
      </c>
    </row>
    <row r="266" spans="1:3" ht="15" customHeight="1" x14ac:dyDescent="0.3">
      <c r="A266" s="206" t="s">
        <v>682</v>
      </c>
      <c r="B266" s="213">
        <v>0.27</v>
      </c>
      <c r="C266" s="206" t="s">
        <v>486</v>
      </c>
    </row>
    <row r="267" spans="1:3" ht="15" customHeight="1" x14ac:dyDescent="0.3">
      <c r="A267" s="206" t="s">
        <v>1341</v>
      </c>
      <c r="B267" s="213">
        <v>0.1</v>
      </c>
      <c r="C267" s="206" t="s">
        <v>486</v>
      </c>
    </row>
    <row r="268" spans="1:3" ht="15" customHeight="1" x14ac:dyDescent="0.3">
      <c r="A268" s="206" t="s">
        <v>1417</v>
      </c>
      <c r="B268" s="213">
        <v>0.1</v>
      </c>
      <c r="C268" s="206" t="s">
        <v>486</v>
      </c>
    </row>
    <row r="269" spans="1:3" ht="15" customHeight="1" x14ac:dyDescent="0.3">
      <c r="A269" s="206" t="s">
        <v>1344</v>
      </c>
      <c r="B269" s="213">
        <v>0.25</v>
      </c>
      <c r="C269" s="206" t="s">
        <v>486</v>
      </c>
    </row>
    <row r="270" spans="1:3" ht="15" customHeight="1" x14ac:dyDescent="0.3">
      <c r="A270" s="206" t="s">
        <v>1420</v>
      </c>
      <c r="B270" s="213">
        <v>0.25</v>
      </c>
      <c r="C270" s="206" t="s">
        <v>486</v>
      </c>
    </row>
    <row r="271" spans="1:3" ht="15" customHeight="1" x14ac:dyDescent="0.3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3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3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3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3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3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3">
      <c r="A277" s="210" t="s">
        <v>670</v>
      </c>
      <c r="B277" s="208">
        <v>0.25</v>
      </c>
      <c r="C277" s="209" t="s">
        <v>36</v>
      </c>
    </row>
    <row r="278" spans="1:3" ht="15" customHeight="1" x14ac:dyDescent="0.3">
      <c r="A278" s="210" t="s">
        <v>191</v>
      </c>
      <c r="B278" s="208">
        <v>0.25</v>
      </c>
      <c r="C278" s="209" t="s">
        <v>36</v>
      </c>
    </row>
    <row r="279" spans="1:3" ht="15" customHeight="1" x14ac:dyDescent="0.3">
      <c r="A279" s="210" t="s">
        <v>51</v>
      </c>
      <c r="B279" s="213">
        <v>0.25</v>
      </c>
      <c r="C279" s="209" t="s">
        <v>36</v>
      </c>
    </row>
    <row r="280" spans="1:3" ht="15" customHeight="1" x14ac:dyDescent="0.3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3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3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3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3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3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3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3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3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3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3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3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3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3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3">
      <c r="A294" s="210" t="s">
        <v>441</v>
      </c>
      <c r="B294" s="208">
        <v>0.2</v>
      </c>
      <c r="C294" s="206" t="s">
        <v>722</v>
      </c>
    </row>
    <row r="295" spans="1:3" ht="15" customHeight="1" x14ac:dyDescent="0.3">
      <c r="A295" s="210" t="s">
        <v>9</v>
      </c>
      <c r="B295" s="208">
        <v>0.2</v>
      </c>
      <c r="C295" s="209" t="s">
        <v>722</v>
      </c>
    </row>
    <row r="296" spans="1:3" ht="15" customHeight="1" x14ac:dyDescent="0.3">
      <c r="A296" s="210" t="s">
        <v>198</v>
      </c>
      <c r="B296" s="208">
        <v>0.2</v>
      </c>
      <c r="C296" s="206" t="s">
        <v>722</v>
      </c>
    </row>
    <row r="297" spans="1:3" ht="15" customHeight="1" x14ac:dyDescent="0.3">
      <c r="A297" s="210" t="s">
        <v>10</v>
      </c>
      <c r="B297" s="208">
        <v>0.2</v>
      </c>
      <c r="C297" s="209" t="s">
        <v>722</v>
      </c>
    </row>
    <row r="298" spans="1:3" ht="15" customHeight="1" x14ac:dyDescent="0.3">
      <c r="A298" s="210" t="s">
        <v>39</v>
      </c>
      <c r="B298" s="208">
        <v>0.2</v>
      </c>
      <c r="C298" s="206" t="s">
        <v>722</v>
      </c>
    </row>
    <row r="299" spans="1:3" ht="15" customHeight="1" x14ac:dyDescent="0.3">
      <c r="A299" s="210" t="s">
        <v>11</v>
      </c>
      <c r="B299" s="208">
        <v>0.2</v>
      </c>
      <c r="C299" s="209" t="s">
        <v>722</v>
      </c>
    </row>
    <row r="300" spans="1:3" ht="15" customHeight="1" x14ac:dyDescent="0.3">
      <c r="A300" s="210" t="s">
        <v>1304</v>
      </c>
      <c r="B300" s="208">
        <v>0.2</v>
      </c>
      <c r="C300" s="209" t="s">
        <v>722</v>
      </c>
    </row>
    <row r="301" spans="1:3" ht="15" customHeight="1" x14ac:dyDescent="0.3">
      <c r="A301" s="210" t="s">
        <v>1306</v>
      </c>
      <c r="B301" s="208">
        <v>0.8</v>
      </c>
      <c r="C301" s="209" t="s">
        <v>722</v>
      </c>
    </row>
    <row r="302" spans="1:3" ht="15" customHeight="1" x14ac:dyDescent="0.3">
      <c r="A302" s="210" t="s">
        <v>41</v>
      </c>
      <c r="B302" s="208">
        <v>0.8</v>
      </c>
      <c r="C302" s="206" t="s">
        <v>722</v>
      </c>
    </row>
    <row r="303" spans="1:3" ht="15" customHeight="1" x14ac:dyDescent="0.3">
      <c r="A303" s="210" t="s">
        <v>592</v>
      </c>
      <c r="B303" s="208">
        <v>0.8</v>
      </c>
      <c r="C303" s="209" t="s">
        <v>722</v>
      </c>
    </row>
    <row r="304" spans="1:3" ht="15" customHeight="1" x14ac:dyDescent="0.3">
      <c r="A304" s="210" t="s">
        <v>893</v>
      </c>
      <c r="B304" s="208">
        <v>0.8</v>
      </c>
      <c r="C304" s="209" t="s">
        <v>722</v>
      </c>
    </row>
    <row r="305" spans="1:3" ht="15" customHeight="1" x14ac:dyDescent="0.3">
      <c r="A305" s="210" t="s">
        <v>1078</v>
      </c>
      <c r="B305" s="213">
        <v>0.8</v>
      </c>
      <c r="C305" s="209" t="s">
        <v>722</v>
      </c>
    </row>
    <row r="306" spans="1:3" ht="15" customHeight="1" x14ac:dyDescent="0.3">
      <c r="A306" s="210" t="s">
        <v>590</v>
      </c>
      <c r="B306" s="208">
        <v>0.2</v>
      </c>
      <c r="C306" s="209" t="s">
        <v>722</v>
      </c>
    </row>
    <row r="307" spans="1:3" ht="15" customHeight="1" x14ac:dyDescent="0.3">
      <c r="A307" s="210" t="s">
        <v>1079</v>
      </c>
      <c r="B307" s="213">
        <v>0.2</v>
      </c>
      <c r="C307" s="209" t="s">
        <v>722</v>
      </c>
    </row>
    <row r="308" spans="1:3" ht="15" customHeight="1" x14ac:dyDescent="0.3">
      <c r="A308" s="206" t="s">
        <v>640</v>
      </c>
      <c r="B308" s="396" t="s">
        <v>2186</v>
      </c>
      <c r="C308" s="206" t="s">
        <v>36</v>
      </c>
    </row>
    <row r="309" spans="1:3" ht="15" customHeight="1" x14ac:dyDescent="0.3">
      <c r="A309" s="206" t="s">
        <v>625</v>
      </c>
      <c r="B309" s="396" t="s">
        <v>2187</v>
      </c>
      <c r="C309" s="206" t="s">
        <v>36</v>
      </c>
    </row>
    <row r="310" spans="1:3" ht="15" customHeight="1" x14ac:dyDescent="0.3">
      <c r="A310" s="206" t="s">
        <v>635</v>
      </c>
      <c r="B310" s="396" t="s">
        <v>2188</v>
      </c>
      <c r="C310" s="206" t="s">
        <v>36</v>
      </c>
    </row>
    <row r="311" spans="1:3" ht="15" customHeight="1" x14ac:dyDescent="0.3">
      <c r="A311" s="206" t="s">
        <v>610</v>
      </c>
      <c r="B311" s="396" t="s">
        <v>2189</v>
      </c>
      <c r="C311" s="206" t="s">
        <v>36</v>
      </c>
    </row>
    <row r="312" spans="1:3" ht="15" customHeight="1" x14ac:dyDescent="0.3">
      <c r="A312" s="206" t="s">
        <v>630</v>
      </c>
      <c r="B312" s="396" t="s">
        <v>2190</v>
      </c>
      <c r="C312" s="206" t="s">
        <v>36</v>
      </c>
    </row>
    <row r="313" spans="1:3" ht="15" customHeight="1" x14ac:dyDescent="0.3">
      <c r="A313" s="206" t="s">
        <v>639</v>
      </c>
      <c r="B313" s="397">
        <f>FRACaerw.aA*Kaerw.aA/(1+FRACaerw.aA*Kaerw.aA+FRACaers.aA*Kaers.aA)</f>
        <v>0.83521115098201426</v>
      </c>
      <c r="C313" s="206" t="s">
        <v>36</v>
      </c>
    </row>
    <row r="314" spans="1:3" ht="15" customHeight="1" x14ac:dyDescent="0.3">
      <c r="A314" s="206" t="s">
        <v>624</v>
      </c>
      <c r="B314" s="397">
        <f>FRACaerw.aC*Kaerw.aC/(1+FRACaerw.aC*Kaerw.aC+FRACaers.aC*Kaers.aC)</f>
        <v>0.13396161315396571</v>
      </c>
      <c r="C314" s="206" t="s">
        <v>36</v>
      </c>
    </row>
    <row r="315" spans="1:3" ht="15" customHeight="1" x14ac:dyDescent="0.3">
      <c r="A315" s="206" t="s">
        <v>634</v>
      </c>
      <c r="B315" s="397">
        <f>FRACaerw.aM*Kaerw.aM/(1+FRACaerw.aM*Kaerw.aM+FRACaers.aM*Kaers.aM)</f>
        <v>0.13396161315396571</v>
      </c>
      <c r="C315" s="206" t="s">
        <v>36</v>
      </c>
    </row>
    <row r="316" spans="1:3" ht="15" customHeight="1" x14ac:dyDescent="0.3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3">
      <c r="A317" s="206" t="s">
        <v>629</v>
      </c>
      <c r="B317" s="397">
        <f>FRACaerw.aT*Kaerw.aT/(1+FRACaerw.aT*Kaerw.aT+FRACaers.aT*Kaers.aT)</f>
        <v>2.4520700749658307E-2</v>
      </c>
      <c r="C317" s="206" t="s">
        <v>36</v>
      </c>
    </row>
    <row r="318" spans="1:3" ht="15" customHeight="1" x14ac:dyDescent="0.3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3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3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3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3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3">
      <c r="A323" s="209" t="s">
        <v>2044</v>
      </c>
      <c r="B323" s="397">
        <f>1-FRaerw.aA-FRaers.aA</f>
        <v>9.3209725175231531E-2</v>
      </c>
      <c r="C323" s="209" t="s">
        <v>36</v>
      </c>
    </row>
    <row r="324" spans="1:3" ht="15" customHeight="1" x14ac:dyDescent="0.3">
      <c r="A324" s="209" t="s">
        <v>2021</v>
      </c>
      <c r="B324" s="397">
        <f>1-FRaerw.aC-FRaers.aC</f>
        <v>0.48985838853883401</v>
      </c>
      <c r="C324" s="209" t="s">
        <v>36</v>
      </c>
    </row>
    <row r="325" spans="1:3" ht="15" customHeight="1" x14ac:dyDescent="0.3">
      <c r="A325" s="209" t="s">
        <v>2036</v>
      </c>
      <c r="B325" s="397">
        <f>1-FRaerw.aM-FRaers.aM</f>
        <v>0.48985838853883401</v>
      </c>
      <c r="C325" s="209" t="s">
        <v>36</v>
      </c>
    </row>
    <row r="326" spans="1:3" ht="15" customHeight="1" x14ac:dyDescent="0.3">
      <c r="A326" s="206" t="s">
        <v>2018</v>
      </c>
      <c r="B326" s="397">
        <f>1-FRaerw.aR-FRaers.aR</f>
        <v>0.48985838853883401</v>
      </c>
      <c r="C326" s="206" t="s">
        <v>36</v>
      </c>
    </row>
    <row r="327" spans="1:3" ht="15" customHeight="1" x14ac:dyDescent="0.3">
      <c r="A327" s="209" t="s">
        <v>2048</v>
      </c>
      <c r="B327" s="397">
        <f>1-FRaerw.aT-FRaers.aT</f>
        <v>0.55176159029624605</v>
      </c>
      <c r="C327" s="209" t="s">
        <v>36</v>
      </c>
    </row>
    <row r="328" spans="1:3" ht="15" customHeight="1" x14ac:dyDescent="0.3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3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3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3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3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3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3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3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3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3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3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3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3">
      <c r="A340" s="210" t="s">
        <v>1031</v>
      </c>
      <c r="B340" s="208">
        <f>FRACs.s1C / (FRACa.s1C*Kaw.C*FRorig.s1w/(Kp.s1C*RHOsolid/1000)+FRACw.s1C /(Kp.s1C*RHOsolid/1000)+FRACs.s1C )</f>
        <v>0.9201864135229435</v>
      </c>
      <c r="C340" s="209" t="s">
        <v>36</v>
      </c>
    </row>
    <row r="341" spans="1:3" ht="15" customHeight="1" x14ac:dyDescent="0.3">
      <c r="A341" s="210" t="s">
        <v>1029</v>
      </c>
      <c r="B341" s="215">
        <f>FRACs.s1R / (FRACa.s1R*Kaw.R*FRorig.s1w/(Kp.s1R*RHOsolid/1000)+FRACw.s1R /(Kp.s1R*RHOsolid/1000)+FRACs.s1R )</f>
        <v>0.9201864135229435</v>
      </c>
      <c r="C341" s="209" t="s">
        <v>36</v>
      </c>
    </row>
    <row r="342" spans="1:3" ht="15" customHeight="1" x14ac:dyDescent="0.3">
      <c r="A342" s="210" t="s">
        <v>1032</v>
      </c>
      <c r="B342" s="208">
        <f>FRACs.s2C / (FRACa.s2C*Kaw.C*FRorig.s2w/(Kp.s2C*RHOsolid/1000)+FRACw.s2C /(Kp.s2C*RHOsolid/1000)+FRACs.s2C )</f>
        <v>0.9201864135229435</v>
      </c>
      <c r="C342" s="209" t="s">
        <v>36</v>
      </c>
    </row>
    <row r="343" spans="1:3" ht="15" customHeight="1" x14ac:dyDescent="0.3">
      <c r="A343" s="210" t="s">
        <v>1030</v>
      </c>
      <c r="B343" s="215">
        <f>FRACs.s2R / (FRACa.s2R*Kaw.R*FRorig.s2w/(Kp.s2R*RHOsolid/1000)+FRACw.s2R /(Kp.s2R*RHOsolid/1000)+FRACs.s2R )</f>
        <v>0.9201864135229435</v>
      </c>
      <c r="C343" s="209" t="s">
        <v>36</v>
      </c>
    </row>
    <row r="344" spans="1:3" ht="15" customHeight="1" x14ac:dyDescent="0.3">
      <c r="A344" s="210" t="s">
        <v>1033</v>
      </c>
      <c r="B344" s="208">
        <f>FRACs.s3C / (FRACa.s3C*Kaw.C*FRorig.s3w/(Kp.s3C*RHOsolid/1000)+FRACw.s3C /(Kp.s3C*RHOsolid/1000)+FRACs.s3C )</f>
        <v>0.9201864135229435</v>
      </c>
      <c r="C344" s="209" t="s">
        <v>36</v>
      </c>
    </row>
    <row r="345" spans="1:3" ht="15" customHeight="1" x14ac:dyDescent="0.3">
      <c r="A345" s="210" t="s">
        <v>1107</v>
      </c>
      <c r="B345" s="215">
        <f>FRACs.s3R / (FRACa.s3R*Kaw.R*FRorig.s3w/(Kp.s3R*RHOsolid/1000)+FRACw.s3R /(Kp.s3R*RHOsolid/1000)+FRACs.s3R )</f>
        <v>0.9201864135229435</v>
      </c>
      <c r="C345" s="209" t="s">
        <v>36</v>
      </c>
    </row>
    <row r="346" spans="1:3" ht="15" customHeight="1" x14ac:dyDescent="0.3">
      <c r="A346" s="210" t="s">
        <v>1303</v>
      </c>
      <c r="B346" s="208">
        <f>FRACs.sA/ (FRACa.sA*Kaw.A*FRorig.s1w/(Kp.sA*RHOsolid/1000)+FRACw.sA/(Kp.sA*RHOsolid/1000)+FRACs.sA )</f>
        <v>0.92018641352815067</v>
      </c>
      <c r="C346" s="209" t="s">
        <v>36</v>
      </c>
    </row>
    <row r="347" spans="1:3" ht="15" customHeight="1" x14ac:dyDescent="0.3">
      <c r="A347" s="210" t="s">
        <v>44</v>
      </c>
      <c r="B347" s="208">
        <f>FRACs.sM / (FRACa.sM*Kaw.M*FRorig.s1w/(Kp.sM*RHOsolid/1000)+FRACw.sM/(Kp.sM*RHOsolid/1000)+FRACs.sM )</f>
        <v>0.9201864135229435</v>
      </c>
      <c r="C347" s="209" t="s">
        <v>36</v>
      </c>
    </row>
    <row r="348" spans="1:3" ht="15" customHeight="1" x14ac:dyDescent="0.3">
      <c r="A348" s="210" t="s">
        <v>477</v>
      </c>
      <c r="B348" s="208">
        <f>FRACs.sT/ (FRACa.sT*Kaw.T*FRorig.s1w/(Kp.sT*RHOsolid/1000)+FRACw.sT/(Kp.sT*RHOsolid/1000)+FRACs.sT )</f>
        <v>0.92018641349526231</v>
      </c>
      <c r="C348" s="209" t="s">
        <v>36</v>
      </c>
    </row>
    <row r="349" spans="1:3" ht="15" customHeight="1" x14ac:dyDescent="0.3">
      <c r="A349" s="210" t="s">
        <v>577</v>
      </c>
      <c r="B349" s="208">
        <f>FRACw.s1C/(FRACa.s1C*(Kaw.C*FRorig.s1w)+FRACw.s1C+FRACs.s1C*Kp.s1C*RHOsolid/1000)</f>
        <v>7.9813586471219486E-2</v>
      </c>
      <c r="C349" s="209" t="s">
        <v>36</v>
      </c>
    </row>
    <row r="350" spans="1:3" ht="15" customHeight="1" x14ac:dyDescent="0.3">
      <c r="A350" s="210" t="s">
        <v>1025</v>
      </c>
      <c r="B350" s="215">
        <f>FRACw.s1R/(FRACa.s1R*(Kaw.R*FRorig.s1w)+FRACw.s1R+FRACs.s1R*Kp.s1R*RHOsolid/1000)</f>
        <v>7.9813586471219486E-2</v>
      </c>
      <c r="C350" s="209" t="s">
        <v>36</v>
      </c>
    </row>
    <row r="351" spans="1:3" ht="15" customHeight="1" x14ac:dyDescent="0.3">
      <c r="A351" s="210" t="s">
        <v>578</v>
      </c>
      <c r="B351" s="208">
        <f>FRACw.s2C/(FRACa.s2C*(Kaw.C*FRorig.s2w)+FRACw.s2C+FRACs.s2C*Kp.s2C*RHOsolid/1000)</f>
        <v>7.9813586471219486E-2</v>
      </c>
      <c r="C351" s="209" t="s">
        <v>36</v>
      </c>
    </row>
    <row r="352" spans="1:3" ht="15" customHeight="1" x14ac:dyDescent="0.3">
      <c r="A352" s="210" t="s">
        <v>1026</v>
      </c>
      <c r="B352" s="215">
        <f>FRACw.s2R/(FRACa.s2R*(Kaw.R*FRorig.s2w)+FRACw.s2R+FRACs.s2R*Kp.s2R*RHOsolid/1000)</f>
        <v>7.9813586471219486E-2</v>
      </c>
      <c r="C352" s="209" t="s">
        <v>36</v>
      </c>
    </row>
    <row r="353" spans="1:3" ht="15" customHeight="1" x14ac:dyDescent="0.3">
      <c r="A353" s="210" t="s">
        <v>579</v>
      </c>
      <c r="B353" s="208">
        <f>FRACw.s3C/(FRACa.s3C*(Kaw.C*FRorig.s3w)+FRACw.s3C+FRACs.s3C*Kp.s3C*RHOsolid/1000)</f>
        <v>7.9813586471219486E-2</v>
      </c>
      <c r="C353" s="209" t="s">
        <v>36</v>
      </c>
    </row>
    <row r="354" spans="1:3" ht="15" customHeight="1" x14ac:dyDescent="0.3">
      <c r="A354" s="210" t="s">
        <v>1027</v>
      </c>
      <c r="B354" s="215">
        <f>FRACw.s3R/(FRACa.s3R*(Kaw.R*FRorig.s3w)+FRACw.s3R+FRACs.s3R*Kp.s3R*RHOsolid/1000)</f>
        <v>7.9813586471219486E-2</v>
      </c>
      <c r="C354" s="209" t="s">
        <v>36</v>
      </c>
    </row>
    <row r="355" spans="1:3" ht="15" customHeight="1" x14ac:dyDescent="0.3">
      <c r="A355" s="210" t="s">
        <v>1302</v>
      </c>
      <c r="B355" s="208">
        <f>FRACw.sA/(FRACa.sA*(Kaw.A*FRorig.s1w)+FRACw.sA+FRACs.sA*Kp.sA*RHOsolid/1000)</f>
        <v>7.9813586471671139E-2</v>
      </c>
      <c r="C355" s="209" t="s">
        <v>36</v>
      </c>
    </row>
    <row r="356" spans="1:3" ht="15" customHeight="1" x14ac:dyDescent="0.3">
      <c r="A356" s="210" t="s">
        <v>589</v>
      </c>
      <c r="B356" s="208">
        <f>FRACw.sM/(FRACa.sM*(Kaw.M*FRorig.s1w)+FRACw.sM+FRACs.sM*Kp.sM*RHOsolid/1000)</f>
        <v>7.9813586471219486E-2</v>
      </c>
      <c r="C356" s="209" t="s">
        <v>36</v>
      </c>
    </row>
    <row r="357" spans="1:3" ht="15" customHeight="1" x14ac:dyDescent="0.3">
      <c r="A357" s="210" t="s">
        <v>478</v>
      </c>
      <c r="B357" s="208">
        <f>FRACw.sT/(FRACa.sT*(Kaw.T*FRorig.s1w)+FRACw.sT+FRACs.sT*Kp.sT*RHOsolid/1000)</f>
        <v>7.9813586468818545E-2</v>
      </c>
      <c r="C357" s="209" t="s">
        <v>36</v>
      </c>
    </row>
    <row r="358" spans="1:3" ht="15" customHeight="1" x14ac:dyDescent="0.3">
      <c r="A358" s="210" t="s">
        <v>342</v>
      </c>
      <c r="B358" s="215">
        <f>1/(1+Kp.susp0C*SUSP.w0C/1000+Kp.col0C*COL.w0C/1000)</f>
        <v>0.99998335721193932</v>
      </c>
      <c r="C358" s="209" t="s">
        <v>36</v>
      </c>
    </row>
    <row r="359" spans="1:3" ht="15" customHeight="1" x14ac:dyDescent="0.3">
      <c r="A359" s="210" t="s">
        <v>292</v>
      </c>
      <c r="B359" s="215">
        <f>1/(1+Kp.susp0R*SUSP.w0R/1000+Kp.col0R*COL.w0R/1000)</f>
        <v>0.99998335721193932</v>
      </c>
      <c r="C359" s="209" t="s">
        <v>36</v>
      </c>
    </row>
    <row r="360" spans="1:3" ht="15" customHeight="1" x14ac:dyDescent="0.3">
      <c r="A360" s="210" t="s">
        <v>572</v>
      </c>
      <c r="B360" s="215">
        <f>1/(1+Kp.susp1C*SUSP.w1C/1000+Kp.col1C*COL.w1C/1000)</f>
        <v>0.99987192445401252</v>
      </c>
      <c r="C360" s="209" t="s">
        <v>36</v>
      </c>
    </row>
    <row r="361" spans="1:3" ht="15" customHeight="1" x14ac:dyDescent="0.3">
      <c r="A361" s="210" t="s">
        <v>538</v>
      </c>
      <c r="B361" s="215">
        <f>1/(1+Kp.susp1R*SUSP.w1R/1000+Kp.col1R*COL.w1R/1000)</f>
        <v>0.99987192445401252</v>
      </c>
      <c r="C361" s="209" t="s">
        <v>36</v>
      </c>
    </row>
    <row r="362" spans="1:3" ht="15" customHeight="1" x14ac:dyDescent="0.3">
      <c r="A362" s="207" t="s">
        <v>1147</v>
      </c>
      <c r="B362" s="208">
        <f>1/(1+Kp.susp2A*SUSP.w2A/1000+Kp.col2A*COL.w2A/1000)</f>
        <v>0.99994877197396703</v>
      </c>
      <c r="C362" s="209" t="s">
        <v>36</v>
      </c>
    </row>
    <row r="363" spans="1:3" ht="15" customHeight="1" x14ac:dyDescent="0.3">
      <c r="A363" s="210" t="s">
        <v>573</v>
      </c>
      <c r="B363" s="215">
        <f>1/(1+Kp.susp2C*SUSP.w2C/1000+Kp.col2C*COL.w2C/1000)</f>
        <v>0.99994877197396703</v>
      </c>
      <c r="C363" s="209" t="s">
        <v>36</v>
      </c>
    </row>
    <row r="364" spans="1:3" ht="15" customHeight="1" x14ac:dyDescent="0.3">
      <c r="A364" s="207" t="s">
        <v>134</v>
      </c>
      <c r="B364" s="208">
        <f>1/(1+Kp.susp2M*SUSP.w2M/1000+Kp.col2M*COL.w2M/1000)</f>
        <v>0.99994877197396703</v>
      </c>
      <c r="C364" s="209" t="s">
        <v>36</v>
      </c>
    </row>
    <row r="365" spans="1:3" ht="15" customHeight="1" x14ac:dyDescent="0.3">
      <c r="A365" s="210" t="s">
        <v>539</v>
      </c>
      <c r="B365" s="208">
        <f>1/(1+Kp.susp2R*SUSP.w2R/1000+Kp.col2R*COL.w2R/1000)</f>
        <v>0.99994877197396703</v>
      </c>
      <c r="C365" s="209" t="s">
        <v>36</v>
      </c>
    </row>
    <row r="366" spans="1:3" ht="15" customHeight="1" x14ac:dyDescent="0.3">
      <c r="A366" s="207" t="s">
        <v>107</v>
      </c>
      <c r="B366" s="215">
        <f>1/(1+Kp.susp2T*SUSP.w2T/1000+Kp.col2T*COL.w2T/1000)</f>
        <v>0.99994877197396703</v>
      </c>
      <c r="C366" s="209" t="s">
        <v>36</v>
      </c>
    </row>
    <row r="367" spans="1:3" ht="15" customHeight="1" x14ac:dyDescent="0.3">
      <c r="A367" s="207" t="s">
        <v>1148</v>
      </c>
      <c r="B367" s="208">
        <f>1/(1+Kp.susp3A*SUSP.w3A/1000+Kp.col3A*COL.w3A/1000)</f>
        <v>0.99994877197396703</v>
      </c>
      <c r="C367" s="209" t="s">
        <v>36</v>
      </c>
    </row>
    <row r="368" spans="1:3" ht="15" customHeight="1" x14ac:dyDescent="0.3">
      <c r="A368" s="207" t="s">
        <v>135</v>
      </c>
      <c r="B368" s="208">
        <f>1/(1+Kp.susp3M*SUSP.w3M/1000+Kp.col3M*COL.w3M/1000)</f>
        <v>0.99994877197396703</v>
      </c>
      <c r="C368" s="209" t="s">
        <v>36</v>
      </c>
    </row>
    <row r="369" spans="1:3" ht="15" customHeight="1" x14ac:dyDescent="0.3">
      <c r="A369" s="207" t="s">
        <v>1120</v>
      </c>
      <c r="B369" s="215">
        <f>1/(1+Kp.susp3T*SUSP.w3T/1000+Kp.col3T*COL.w3T/1000)</f>
        <v>0.99994877197396703</v>
      </c>
      <c r="C369" s="209" t="s">
        <v>36</v>
      </c>
    </row>
    <row r="370" spans="1:3" ht="15" customHeight="1" x14ac:dyDescent="0.3">
      <c r="A370" s="207" t="s">
        <v>1231</v>
      </c>
      <c r="B370" s="208">
        <f>FRgas.aA*(MTCas.air.aA*MTCas.soil.sA)/(MTCas.air.aA*((Kaw.A*FRorig.s1w)/Kslw.A)+MTCas.soil.sA)*SYSTEMAREA.A*AREAFRAC.sA</f>
        <v>1660214827.7572939</v>
      </c>
      <c r="C370" s="206" t="s">
        <v>2072</v>
      </c>
    </row>
    <row r="371" spans="1:3" ht="15" customHeight="1" x14ac:dyDescent="0.3">
      <c r="A371" s="207" t="s">
        <v>1162</v>
      </c>
      <c r="B371" s="208">
        <f>FRgas.aA*(MTCaw.air.aA*MTCaw.water.wA/(FRorig.w1*MTCaw.air.aA*Kaw.A+MTCaw.water.wA))*SYSTEMAREA.A*AREAFRAC.wA</f>
        <v>9206150633.051897</v>
      </c>
      <c r="C371" s="206" t="s">
        <v>2072</v>
      </c>
    </row>
    <row r="372" spans="1:3" ht="15" customHeight="1" x14ac:dyDescent="0.3">
      <c r="A372" s="207" t="s">
        <v>1384</v>
      </c>
      <c r="B372" s="208">
        <f>FRgas.aC*(MTCas.air.aC*MTCas.soil.sC)/(MTCas.air.aC*((Kaw.C*FRorig.s1w)/Ks1w.C)+MTCas.soil.sC)*(SYSTEMAREA.C*AREAFRAC.s1C)</f>
        <v>483006758.11739886</v>
      </c>
      <c r="C372" s="209" t="s">
        <v>2072</v>
      </c>
    </row>
    <row r="373" spans="1:3" ht="15" customHeight="1" x14ac:dyDescent="0.3">
      <c r="A373" s="207" t="s">
        <v>1237</v>
      </c>
      <c r="B373" s="208">
        <f>FRgas.aC*(MTCas.air.aC*MTCas.soil.sC)/(MTCas.air.aC*((Kaw.C*FRorig.s2w)/Ks2w.C)+MTCas.soil.sC)*(SYSTEMAREA.C*AREAFRAC.s2C)</f>
        <v>1073348351.3719972</v>
      </c>
      <c r="C373" s="209" t="s">
        <v>2072</v>
      </c>
    </row>
    <row r="374" spans="1:3" ht="15" customHeight="1" x14ac:dyDescent="0.3">
      <c r="A374" s="207" t="s">
        <v>1239</v>
      </c>
      <c r="B374" s="208">
        <f>FRgas.aC*(MTCas.air.aC*MTCas.soil.sC)/(MTCas.air.aC*((Kaw.C*FRorig.s3w)/Ks3w.C)+MTCas.soil.sC)*(SYSTEMAREA.C*AREAFRAC.s3C)</f>
        <v>178891391.89533284</v>
      </c>
      <c r="C374" s="209" t="s">
        <v>2072</v>
      </c>
    </row>
    <row r="375" spans="1:3" ht="15" customHeight="1" x14ac:dyDescent="0.3">
      <c r="A375" s="207" t="s">
        <v>351</v>
      </c>
      <c r="B375" s="208">
        <f>FRgas.aC*(MTCaw.air.aC*MTCaw.water.wC/(FRorig.w1*MTCaw.air.aC*Kaw.C+MTCaw.water.wC))*SYSTEMAREA.C*AREAFRAC.w0C</f>
        <v>16534636.452474471</v>
      </c>
      <c r="C375" s="209" t="s">
        <v>2072</v>
      </c>
    </row>
    <row r="376" spans="1:3" ht="15" customHeight="1" x14ac:dyDescent="0.3">
      <c r="A376" s="207" t="s">
        <v>13</v>
      </c>
      <c r="B376" s="208">
        <f>FRgas.aC*(MTCaw.air.aC*MTCaw.water.wC/(FRorig.w1*MTCaw.air.aC*Kaw.C+MTCaw.water.wC))*SYSTEMAREA.C*AREAFRAC.w1C</f>
        <v>181881000.97721913</v>
      </c>
      <c r="C376" s="209" t="s">
        <v>2072</v>
      </c>
    </row>
    <row r="377" spans="1:3" ht="15" customHeight="1" x14ac:dyDescent="0.3">
      <c r="A377" s="207" t="s">
        <v>1382</v>
      </c>
      <c r="B377" s="208">
        <f>FRgas.aC*(MTCaw.air.aC*MTCaw.water.wC/(FRorig.w2*MTCaw.air.aC*Kaw.C+MTCaw.water.wC))*SYSTEMAREA.C*AREAFRAC.w2C</f>
        <v>7045634263.0738325</v>
      </c>
      <c r="C377" s="209" t="s">
        <v>2072</v>
      </c>
    </row>
    <row r="378" spans="1:3" ht="15" customHeight="1" x14ac:dyDescent="0.3">
      <c r="A378" s="207" t="s">
        <v>1330</v>
      </c>
      <c r="B378" s="208">
        <f>FRgas.aM*(MTCas.air.aM*MTCas.soil.sM)/(MTCas.air.aM*((Kaw.M*FRorig.s1w)/Kslw.M)+MTCas.soil.sM)*SYSTEMAREA.M*AREAFRAC.sM</f>
        <v>19904551501.450737</v>
      </c>
      <c r="C378" s="206" t="s">
        <v>2072</v>
      </c>
    </row>
    <row r="379" spans="1:3" ht="15" customHeight="1" x14ac:dyDescent="0.3">
      <c r="A379" s="207" t="s">
        <v>145</v>
      </c>
      <c r="B379" s="208">
        <f>FRgas.aM*(MTCaw.air.aM*MTCaw.water.wM/(FRorig.w1*MTCaw.air.aM*Kaw.M+MTCaw.water.wM))*SYSTEMAREA.M*AREAFRAC.wM</f>
        <v>73589795314.154327</v>
      </c>
      <c r="C379" s="206" t="s">
        <v>2072</v>
      </c>
    </row>
    <row r="380" spans="1:3" ht="15" customHeight="1" x14ac:dyDescent="0.3">
      <c r="A380" s="207" t="s">
        <v>738</v>
      </c>
      <c r="B380" s="208">
        <f>FRgas.aR*(MTCas.air.aR*MTCas.soil.sR/(MTCas.air.aR*(Kaw.R*FRorig.s1)/Ks1w.R+MTCas.soil.sR))*(SYSTEMAREA.R*AREAFRAC.s1R)</f>
        <v>31671234.107960731</v>
      </c>
      <c r="C380" s="209" t="s">
        <v>2072</v>
      </c>
    </row>
    <row r="381" spans="1:3" ht="15" customHeight="1" x14ac:dyDescent="0.3">
      <c r="A381" s="207" t="s">
        <v>740</v>
      </c>
      <c r="B381" s="208">
        <f>FRgas.aR*(MTCas.air.aR*MTCas.soil.sR/(MTCas.air.aR*(Kaw.R*FRorig.s2)/Ks2w.R+MTCas.soil.sR))*(SYSTEMAREA.R*AREAFRAC.s2R)</f>
        <v>70380520.239912719</v>
      </c>
      <c r="C381" s="209" t="s">
        <v>2072</v>
      </c>
    </row>
    <row r="382" spans="1:3" ht="15" customHeight="1" x14ac:dyDescent="0.3">
      <c r="A382" s="207" t="s">
        <v>742</v>
      </c>
      <c r="B382" s="208">
        <f>FRgas.aR*(MTCas.air.aR*MTCas.soil.sR/(MTCas.air.aR*(Kaw.R*FRorig.s3)/Ks3w.R+MTCas.soil.sR))*(SYSTEMAREA.R*AREAFRAC.s3R)</f>
        <v>11730086.706652122</v>
      </c>
      <c r="C382" s="209" t="s">
        <v>2072</v>
      </c>
    </row>
    <row r="383" spans="1:3" ht="15" customHeight="1" x14ac:dyDescent="0.3">
      <c r="A383" s="207" t="s">
        <v>302</v>
      </c>
      <c r="B383" s="208">
        <f>FRgas.aR*(MTCaw.air.aR*MTCaw.water.wR/(MTCaw.air.aR*(Kaw.R*FRorig.w1)+MTCaw.water.wR))*(SYSTEMAREA.R*AREAFRAC.w0R)</f>
        <v>1084192.5773822349</v>
      </c>
      <c r="C383" s="209" t="s">
        <v>2072</v>
      </c>
    </row>
    <row r="384" spans="1:3" ht="15" customHeight="1" x14ac:dyDescent="0.3">
      <c r="A384" s="207" t="s">
        <v>1040</v>
      </c>
      <c r="B384" s="208">
        <f>FRgas.aR*(MTCaw.air.aR*MTCaw.water.wR/(MTCaw.air.aR*(Kaw.R*FRorig.w1)+MTCaw.water.wR))*(SYSTEMAREA.R*AREAFRAC.w1R)</f>
        <v>11926118.351204583</v>
      </c>
      <c r="C384" s="209" t="s">
        <v>2072</v>
      </c>
    </row>
    <row r="385" spans="1:3" ht="15" customHeight="1" x14ac:dyDescent="0.3">
      <c r="A385" s="207" t="s">
        <v>736</v>
      </c>
      <c r="B385" s="208">
        <f>FRgas.aR*(MTCaw.air.aR*MTCaw.water.wR/(MTCaw.air.aR*(Kaw.R*FRorig.w2)+MTCaw.water.wR))*(SYSTEMAREA.R*AREAFRAC.w2R)</f>
        <v>1897348.8688493434</v>
      </c>
      <c r="C385" s="209" t="s">
        <v>2072</v>
      </c>
    </row>
    <row r="386" spans="1:3" ht="15" customHeight="1" x14ac:dyDescent="0.3">
      <c r="A386" s="207" t="s">
        <v>1379</v>
      </c>
      <c r="B386" s="208">
        <f>FRgas.aT*(MTCas.air.aT*MTCas.soil.sT/(MTCas.air.aT*(Kaw.T*FRorig.s1w)/Kslw.T+MTCas.soil.sT))*SYSTEMAREA.T*AREAFRAC.sT</f>
        <v>22106496208.851734</v>
      </c>
      <c r="C386" s="206" t="s">
        <v>2072</v>
      </c>
    </row>
    <row r="387" spans="1:3" ht="15" customHeight="1" x14ac:dyDescent="0.3">
      <c r="A387" s="207" t="s">
        <v>1133</v>
      </c>
      <c r="B387" s="208">
        <f>FRgas.aT*(MTCaw.air.aT*MTCaw.water.wT/(FRorig.w1*MTCaw.air.aT*Kaw.T+MTCaw.water.wT))*SYSTEMAREA.T*AREAFRAC.wT</f>
        <v>190737548818.55286</v>
      </c>
      <c r="C387" s="206" t="s">
        <v>2072</v>
      </c>
    </row>
    <row r="388" spans="1:3" ht="15" customHeight="1" x14ac:dyDescent="0.3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3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3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3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3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3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3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3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3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3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3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3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3">
      <c r="A400" s="207" t="s">
        <v>970</v>
      </c>
      <c r="B400" s="213">
        <v>10000</v>
      </c>
      <c r="C400" s="209" t="s">
        <v>2117</v>
      </c>
    </row>
    <row r="401" spans="1:3" ht="15" customHeight="1" x14ac:dyDescent="0.3">
      <c r="A401" s="207" t="s">
        <v>697</v>
      </c>
      <c r="B401" s="213">
        <f>(-3.82*LN(IF(Tm&gt;298,Pvap25*EXP(-6.79*(1-Tm/298)),Pvap25))+70)*1000</f>
        <v>111116.82001753326</v>
      </c>
      <c r="C401" s="209" t="s">
        <v>2117</v>
      </c>
    </row>
    <row r="402" spans="1:3" ht="15" customHeight="1" x14ac:dyDescent="0.3">
      <c r="A402" s="210" t="s">
        <v>20</v>
      </c>
      <c r="B402" s="208">
        <v>1000</v>
      </c>
      <c r="C402" s="209" t="s">
        <v>719</v>
      </c>
    </row>
    <row r="403" spans="1:3" ht="15" customHeight="1" x14ac:dyDescent="0.3">
      <c r="A403" s="210" t="s">
        <v>111</v>
      </c>
      <c r="B403" s="208">
        <v>1000</v>
      </c>
      <c r="C403" s="206" t="s">
        <v>719</v>
      </c>
    </row>
    <row r="404" spans="1:3" ht="15" customHeight="1" x14ac:dyDescent="0.3">
      <c r="A404" s="210" t="s">
        <v>1189</v>
      </c>
      <c r="B404" s="208">
        <v>1000</v>
      </c>
      <c r="C404" s="209" t="s">
        <v>719</v>
      </c>
    </row>
    <row r="405" spans="1:3" ht="15" customHeight="1" x14ac:dyDescent="0.3">
      <c r="A405" s="210" t="s">
        <v>1195</v>
      </c>
      <c r="B405" s="208">
        <v>1000</v>
      </c>
      <c r="C405" s="209" t="s">
        <v>719</v>
      </c>
    </row>
    <row r="406" spans="1:3" ht="15" customHeight="1" x14ac:dyDescent="0.3">
      <c r="A406" s="210" t="s">
        <v>1412</v>
      </c>
      <c r="B406" s="213">
        <v>1000</v>
      </c>
      <c r="C406" s="209" t="s">
        <v>719</v>
      </c>
    </row>
    <row r="407" spans="1:3" ht="15" customHeight="1" x14ac:dyDescent="0.3">
      <c r="A407" s="207" t="s">
        <v>1365</v>
      </c>
      <c r="B407" s="208">
        <f>kesc.aA+FRgas.aA*kdeg.air*(C.OHrad.aA/C.OHrad)*Tempfactor.aA</f>
        <v>2.4628381466129294E-7</v>
      </c>
      <c r="C407" s="209" t="s">
        <v>2082</v>
      </c>
    </row>
    <row r="408" spans="1:3" ht="15" customHeight="1" x14ac:dyDescent="0.3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3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3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3">
      <c r="A411" s="207" t="s">
        <v>830</v>
      </c>
      <c r="B411" s="208">
        <f>kesc.aC+FRgas.aC*kdeg.air*(C.OHrad.aC/C.OHrad)*Tempfactor.aC</f>
        <v>1.5457777937268982E-6</v>
      </c>
      <c r="C411" s="209" t="s">
        <v>2082</v>
      </c>
    </row>
    <row r="412" spans="1:3" ht="15" customHeight="1" x14ac:dyDescent="0.3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3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3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3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3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3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3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3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3">
      <c r="A420" s="207" t="s">
        <v>843</v>
      </c>
      <c r="B420" s="208">
        <f>kesc.aM+FRgas.aM*kdeg.air*(C.OHrad.aM/C.OHrad)*Tempfactor.aM</f>
        <v>1.5457777937268982E-6</v>
      </c>
      <c r="C420" s="209" t="s">
        <v>2082</v>
      </c>
    </row>
    <row r="421" spans="1:3" ht="15" customHeight="1" x14ac:dyDescent="0.3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3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3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3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3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3">
      <c r="A426" s="207" t="s">
        <v>247</v>
      </c>
      <c r="B426" s="208">
        <f>kesc.aR+FRgas.aR*kdeg.air*(C.OHrad.aR/C.OHrad)*Tempfactor.aR</f>
        <v>1.5457777937268982E-6</v>
      </c>
      <c r="C426" s="209" t="s">
        <v>2082</v>
      </c>
    </row>
    <row r="427" spans="1:3" ht="15" customHeight="1" x14ac:dyDescent="0.3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3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3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3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3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3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3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3">
      <c r="A434" s="207" t="s">
        <v>1369</v>
      </c>
      <c r="B434" s="217">
        <f>kesc.aT+FRgas.aT*kdeg.air*(C.OHrad.aT/C.OHrad)*Tempfactor.aT</f>
        <v>1.9350341756746508E-6</v>
      </c>
      <c r="C434" s="209" t="s">
        <v>2082</v>
      </c>
    </row>
    <row r="435" spans="1:3" ht="15" customHeight="1" x14ac:dyDescent="0.3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3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3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3">
      <c r="A438" s="207" t="s">
        <v>835</v>
      </c>
      <c r="B438" s="208">
        <f>Tempfactor.wsdsC*kdeg.soil+FRACinf.s1C*RAINrate.C/Ks1w.C*CORRleach.s1C*SYSTEMAREA.C*AREAFRAC.s1C/VOLUME.s1C</f>
        <v>3.0534021961477695E-9</v>
      </c>
      <c r="C438" s="209" t="s">
        <v>2082</v>
      </c>
    </row>
    <row r="439" spans="1:3" ht="15" customHeight="1" x14ac:dyDescent="0.3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3">
      <c r="A440" s="207" t="s">
        <v>827</v>
      </c>
      <c r="B440" s="208">
        <f>(RAINrate.C*FRACrun.s1C/Ks1w.C+EROSION.s1C)*CORRrunoff.s1C * (SYSTEMAREA.C*AREAFRAC.s1C/VOLUME.s1C)</f>
        <v>5.630589891862921E-8</v>
      </c>
      <c r="C440" s="209" t="s">
        <v>2082</v>
      </c>
    </row>
    <row r="441" spans="1:3" ht="15" customHeight="1" x14ac:dyDescent="0.3">
      <c r="A441" s="207" t="s">
        <v>250</v>
      </c>
      <c r="B441" s="208">
        <f>Tempfactor.wsdsR*kdeg.soil+FRACinf.s1R*RAINrate.R/Ks1w.R*CORRleach.s1R*SYSTEMAREA.R*AREAFRAC.s1R/VOLUME.s1R</f>
        <v>3.0534021961477695E-9</v>
      </c>
      <c r="C441" s="209" t="s">
        <v>2082</v>
      </c>
    </row>
    <row r="442" spans="1:3" ht="15" customHeight="1" x14ac:dyDescent="0.3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3">
      <c r="A443" s="207" t="s">
        <v>244</v>
      </c>
      <c r="B443" s="208">
        <f>(RAINrate.R*FRACrun.s1R/Ks1w.R+EROSION.s1R)*CORRrunoff.s1R * (SYSTEMAREA.R*AREAFRAC.s1R/VOLUME.s1R)</f>
        <v>5.630589891862921E-8</v>
      </c>
      <c r="C443" s="209" t="s">
        <v>2082</v>
      </c>
    </row>
    <row r="444" spans="1:3" ht="15" customHeight="1" x14ac:dyDescent="0.3">
      <c r="A444" s="207" t="s">
        <v>836</v>
      </c>
      <c r="B444" s="208">
        <f>Tempfactor.wsdsC*kdeg.soil+FRACinf.s2C*RAINrate.C/Ks2w.C*CORRleach.s2C*SYSTEMAREA.C*AREAFRAC.s2C/VOLUME.s2C</f>
        <v>2.8467460868656887E-9</v>
      </c>
      <c r="C444" s="209" t="s">
        <v>2082</v>
      </c>
    </row>
    <row r="445" spans="1:3" ht="15" customHeight="1" x14ac:dyDescent="0.3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3">
      <c r="A446" s="207" t="s">
        <v>828</v>
      </c>
      <c r="B446" s="208">
        <f>(RAINrate.C*FRACrun.s2C/Ks2w.C+EROSION.s2C)*CORRrunoff.s2C * (SYSTEMAREA.C*AREAFRAC.s2C/VOLUME.s2C)</f>
        <v>2.5622237697785843E-8</v>
      </c>
      <c r="C446" s="209" t="s">
        <v>2082</v>
      </c>
    </row>
    <row r="447" spans="1:3" ht="15" customHeight="1" x14ac:dyDescent="0.3">
      <c r="A447" s="207" t="s">
        <v>251</v>
      </c>
      <c r="B447" s="208">
        <f>Tempfactor.wsdsR*kdeg.soil+FRACinf.s2R*RAINrate.R/Ks2w.R*CORRleach.s2R*SYSTEMAREA.R*AREAFRAC.s2R/VOLUME.s2R</f>
        <v>2.8467460868656887E-9</v>
      </c>
      <c r="C447" s="209" t="s">
        <v>2082</v>
      </c>
    </row>
    <row r="448" spans="1:3" ht="15" customHeight="1" x14ac:dyDescent="0.3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3">
      <c r="A449" s="207" t="s">
        <v>245</v>
      </c>
      <c r="B449" s="208">
        <f>(RAINrate.R*FRACrun.s2R/Ks2w.R+EROSION.s2R)*CORRrunoff.s2R * (SYSTEMAREA.R*AREAFRAC.s2R/VOLUME.s2R)</f>
        <v>2.562223769778584E-8</v>
      </c>
      <c r="C449" s="209" t="s">
        <v>2082</v>
      </c>
    </row>
    <row r="450" spans="1:3" ht="15" customHeight="1" x14ac:dyDescent="0.3">
      <c r="A450" s="207" t="s">
        <v>837</v>
      </c>
      <c r="B450" s="208">
        <f>Tempfactor.wsdsC*kdeg.soil+FRACinf.s3C*RAINrate.C/Ks3w.C*CORRleach.s3C*SYSTEMAREA.C*AREAFRAC.s3C/VOLUME.s3C</f>
        <v>3.0534021961477699E-9</v>
      </c>
      <c r="C450" s="209" t="s">
        <v>2082</v>
      </c>
    </row>
    <row r="451" spans="1:3" ht="15" customHeight="1" x14ac:dyDescent="0.3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3">
      <c r="A452" s="207" t="s">
        <v>829</v>
      </c>
      <c r="B452" s="208">
        <f>(RAINrate.C*FRACrun.s3C/Ks3w.C+EROSION.s3C)*CORRrunoff.s3C * (SYSTEMAREA.C*AREAFRAC.s3C/VOLUME.s3C)</f>
        <v>5.630589891862921E-8</v>
      </c>
      <c r="C452" s="209" t="s">
        <v>2082</v>
      </c>
    </row>
    <row r="453" spans="1:3" ht="15" customHeight="1" x14ac:dyDescent="0.3">
      <c r="A453" s="207" t="s">
        <v>252</v>
      </c>
      <c r="B453" s="208">
        <f>Tempfactor.wsdsR*kdeg.soil+FRACinf.s3R*RAINrate.R/Ks3w.R*CORRleach.s3R*SYSTEMAREA.R*AREAFRAC.s3R/VOLUME.s3R</f>
        <v>3.0534021961477699E-9</v>
      </c>
      <c r="C453" s="209" t="s">
        <v>2082</v>
      </c>
    </row>
    <row r="454" spans="1:3" ht="15" customHeight="1" x14ac:dyDescent="0.3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3">
      <c r="A455" s="207" t="s">
        <v>246</v>
      </c>
      <c r="B455" s="208">
        <f>(RAINrate.R*FRACrun.s3R/Ks3w.R+EROSION.s3R)*CORRrunoff.s3R * (SYSTEMAREA.R*AREAFRAC.s3R/VOLUME.s3R)</f>
        <v>5.630589891862921E-8</v>
      </c>
      <c r="C455" s="209" t="s">
        <v>2082</v>
      </c>
    </row>
    <row r="456" spans="1:3" ht="15" customHeight="1" x14ac:dyDescent="0.3">
      <c r="A456" s="207" t="s">
        <v>1366</v>
      </c>
      <c r="B456" s="208">
        <f>Tempfactor.wsdsA*kdeg.soil+FRACinf.sA*RAINrate.A/Kslw.A*CORRleach.sA*SYSTEMAREA.A*AREAFRAC.sA/VOLUME.sA</f>
        <v>7.1743887320962765E-10</v>
      </c>
      <c r="C456" s="209" t="s">
        <v>2082</v>
      </c>
    </row>
    <row r="457" spans="1:3" ht="15" customHeight="1" x14ac:dyDescent="0.3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3">
      <c r="A458" s="207" t="s">
        <v>1261</v>
      </c>
      <c r="B458" s="208">
        <f>(RAINrate.A*FRACrun.sA/Kslw.A+EROSION.sA)*CORRrunoff.sA * (SYSTEMAREA.A*AREAFRAC.sA/VOLUME.sA)</f>
        <v>2.0124792019013467E-8</v>
      </c>
      <c r="C458" s="209" t="s">
        <v>2082</v>
      </c>
    </row>
    <row r="459" spans="1:3" ht="15" customHeight="1" x14ac:dyDescent="0.3">
      <c r="A459" s="207" t="s">
        <v>833</v>
      </c>
      <c r="B459" s="208">
        <f>Tempfactor.wsdsC*kdeg.sed+NETsedrate.w1C*SYSTEMAREA.C*AREAFRAC.w1C/VOLUME.sd1C</f>
        <v>3.1416462888881059E-9</v>
      </c>
      <c r="C459" s="209" t="s">
        <v>2082</v>
      </c>
    </row>
    <row r="460" spans="1:3" ht="15" customHeight="1" x14ac:dyDescent="0.3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3">
      <c r="A461" s="207" t="s">
        <v>249</v>
      </c>
      <c r="B461" s="208">
        <f>Tempfactor.wsdsR*kdeg.sed+NETsedrate.w1R*(SYSTEMAREA.R*AREAFRAC.w1R/VOLUME.sd1R)</f>
        <v>3.1627861501187856E-9</v>
      </c>
      <c r="C461" s="209" t="s">
        <v>2082</v>
      </c>
    </row>
    <row r="462" spans="1:3" ht="15" customHeight="1" x14ac:dyDescent="0.3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3">
      <c r="A463" s="207" t="s">
        <v>834</v>
      </c>
      <c r="B463" s="208">
        <f>Tempfactor.wsdsC*kdeg.sed+NETsedrate.w2C*SYSTEMAREA.C*AREAFRAC.w2C/VOLUME.sd2C</f>
        <v>1.1817111353210501E-9</v>
      </c>
      <c r="C463" s="209" t="s">
        <v>2082</v>
      </c>
    </row>
    <row r="464" spans="1:3" ht="15" customHeight="1" x14ac:dyDescent="0.3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3">
      <c r="A465" s="207" t="s">
        <v>258</v>
      </c>
      <c r="B465" s="208">
        <f>Tempfactor.wsdsR*kdeg.sed+NETsedrate.w2R*(SYSTEMAREA.R*AREAFRAC.w2R/VOLUME.sd2R)</f>
        <v>2.3807512270678804E-9</v>
      </c>
      <c r="C465" s="209" t="s">
        <v>2082</v>
      </c>
    </row>
    <row r="466" spans="1:3" ht="15" customHeight="1" x14ac:dyDescent="0.3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3">
      <c r="A467" s="207" t="s">
        <v>1262</v>
      </c>
      <c r="B467" s="208">
        <f>Tempfactor.wsdsA*kdeg.sed+NETsedrate.wA*SYSTEMAREA.A*AREAFRAC.wA/VOLUME.sdA</f>
        <v>6.031418563876915E-11</v>
      </c>
      <c r="C467" s="209" t="s">
        <v>2082</v>
      </c>
    </row>
    <row r="468" spans="1:3" ht="15" customHeight="1" x14ac:dyDescent="0.3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3">
      <c r="A469" s="207" t="s">
        <v>1255</v>
      </c>
      <c r="B469" s="208">
        <f>Tempfactor.wsdsM*kdeg.sed+NETsedrate.wM*SYSTEMAREA.M*AREAFRAC.wM/VOLUME.sdM</f>
        <v>2.7040182804920299E-10</v>
      </c>
      <c r="C469" s="209" t="s">
        <v>2082</v>
      </c>
    </row>
    <row r="470" spans="1:3" ht="15" customHeight="1" x14ac:dyDescent="0.3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3">
      <c r="A471" s="207" t="s">
        <v>1267</v>
      </c>
      <c r="B471" s="208">
        <f>Tempfactor.wsdsT*kdeg.sed+NETsedrate.wT*SYSTEMAREA.T*AREAFRAC.wT/VOLUME.sdT</f>
        <v>6.6057407793175462E-10</v>
      </c>
      <c r="C471" s="209" t="s">
        <v>2082</v>
      </c>
    </row>
    <row r="472" spans="1:3" ht="15" customHeight="1" x14ac:dyDescent="0.3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3">
      <c r="A473" s="207" t="s">
        <v>845</v>
      </c>
      <c r="B473" s="208">
        <f>Tempfactor.wsdsM*kdeg.soil+FRACinf.sM*RAINrate.M/Kslw.M*CORRleach.sM*SYSTEMAREA.M*AREAFRAC.sM/VOLUME.sM</f>
        <v>3.0534021961477695E-9</v>
      </c>
      <c r="C473" s="209" t="s">
        <v>2082</v>
      </c>
    </row>
    <row r="474" spans="1:3" ht="15" customHeight="1" x14ac:dyDescent="0.3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3">
      <c r="A475" s="207" t="s">
        <v>1254</v>
      </c>
      <c r="B475" s="208">
        <f>(RAINrate.M*FRACrun.sM/Kslw.M+EROSION.sM)*CORRrunoff.sM * (SYSTEMAREA.M*AREAFRAC.sM/VOLUME.sM)</f>
        <v>5.630589891862921E-8</v>
      </c>
      <c r="C475" s="209" t="s">
        <v>2082</v>
      </c>
    </row>
    <row r="476" spans="1:3" ht="15" customHeight="1" x14ac:dyDescent="0.3">
      <c r="A476" s="207" t="s">
        <v>1370</v>
      </c>
      <c r="B476" s="208">
        <f>Tempfactor.wsdsT*kdeg.soil+FRACinf.sT*RAINrate.T/Kslw.T*CORRleach.sT*SYSTEMAREA.T*AREAFRAC.sT/VOLUME.sT</f>
        <v>7.2888726843209808E-9</v>
      </c>
      <c r="C476" s="209" t="s">
        <v>2082</v>
      </c>
    </row>
    <row r="477" spans="1:3" ht="15" customHeight="1" x14ac:dyDescent="0.3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3">
      <c r="A478" s="207" t="s">
        <v>1266</v>
      </c>
      <c r="B478" s="208">
        <f>(RAINrate.T*FRACrun.sT/Kslw.T+EROSION.sT)*CORRrunoff.sT * (SYSTEMAREA.T*AREAFRAC.sT/VOLUME.sT)</f>
        <v>1.0454737478179092E-7</v>
      </c>
      <c r="C478" s="209" t="s">
        <v>2082</v>
      </c>
    </row>
    <row r="479" spans="1:3" ht="15" customHeight="1" x14ac:dyDescent="0.3">
      <c r="A479" s="207" t="s">
        <v>353</v>
      </c>
      <c r="B479" s="208">
        <f>kdeg.water*Tempfactor.wsdsC*(BACT.w0C/BACT.test)*FRw.w0C</f>
        <v>2.1524330272611406E-10</v>
      </c>
      <c r="C479" s="209" t="s">
        <v>2082</v>
      </c>
    </row>
    <row r="480" spans="1:3" ht="15" customHeight="1" x14ac:dyDescent="0.3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3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3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3">
      <c r="A483" s="207" t="s">
        <v>305</v>
      </c>
      <c r="B483" s="208">
        <f>kdeg.water*Tempfactor.wsdsR*(BACT.w0R/BACT.test)*FRw.w0R</f>
        <v>2.1524330272611406E-10</v>
      </c>
      <c r="C483" s="209" t="s">
        <v>2082</v>
      </c>
    </row>
    <row r="484" spans="1:3" ht="15" customHeight="1" x14ac:dyDescent="0.3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3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3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3">
      <c r="A487" s="207" t="s">
        <v>831</v>
      </c>
      <c r="B487" s="208">
        <f>kdeg.water*Tempfactor.wsdsC*(BACT.w1C/BACT.test)*FRw.w1C</f>
        <v>2.1521931717207951E-10</v>
      </c>
      <c r="C487" s="209" t="s">
        <v>2082</v>
      </c>
    </row>
    <row r="488" spans="1:3" ht="15" customHeight="1" x14ac:dyDescent="0.3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3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3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3">
      <c r="A491" s="209" t="s">
        <v>261</v>
      </c>
      <c r="B491" s="208">
        <v>0</v>
      </c>
      <c r="C491" s="209" t="s">
        <v>2082</v>
      </c>
    </row>
    <row r="492" spans="1:3" ht="15" customHeight="1" x14ac:dyDescent="0.3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3">
      <c r="A493" s="207" t="s">
        <v>248</v>
      </c>
      <c r="B493" s="208">
        <f>kdeg.water*Tempfactor.wsdsR*(BACT.w1R/BACT.test)*FRw.w1R</f>
        <v>2.1521931717207951E-10</v>
      </c>
      <c r="C493" s="209" t="s">
        <v>2082</v>
      </c>
    </row>
    <row r="494" spans="1:3" ht="15" customHeight="1" x14ac:dyDescent="0.3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3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3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3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3">
      <c r="A498" s="207" t="s">
        <v>1046</v>
      </c>
      <c r="B498" s="208">
        <f>kdeg.water*Tempfactor.wsdsA*(BACT.w2A/BACT.test)*FRw.w2A</f>
        <v>4.6843424434504381E-11</v>
      </c>
      <c r="C498" s="209" t="s">
        <v>2082</v>
      </c>
    </row>
    <row r="499" spans="1:3" ht="15" customHeight="1" x14ac:dyDescent="0.3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3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3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3">
      <c r="A502" s="207" t="s">
        <v>832</v>
      </c>
      <c r="B502" s="208">
        <f>kdeg.water*Tempfactor.wsdsC*(BACT.w2C/BACT.test)*FRw.w2C</f>
        <v>2.1523585836137233E-10</v>
      </c>
      <c r="C502" s="209" t="s">
        <v>2082</v>
      </c>
    </row>
    <row r="503" spans="1:3" ht="15" customHeight="1" x14ac:dyDescent="0.3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3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3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3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3">
      <c r="A507" s="207" t="s">
        <v>1045</v>
      </c>
      <c r="B507" s="208">
        <f>kdeg.water*Tempfactor.wsdsM*(BACT.w2M/BACT.test)*FRw.w2M</f>
        <v>2.1523585836137233E-10</v>
      </c>
      <c r="C507" s="209" t="s">
        <v>2082</v>
      </c>
    </row>
    <row r="508" spans="1:3" ht="15" customHeight="1" x14ac:dyDescent="0.3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3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3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3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3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3">
      <c r="A513" s="207" t="s">
        <v>255</v>
      </c>
      <c r="B513" s="208">
        <f>kdeg.water*Tempfactor.wsdsR*(BACT.w2R/BACT.test)*FRw.w2R</f>
        <v>2.1523585836137233E-10</v>
      </c>
      <c r="C513" s="209" t="s">
        <v>2082</v>
      </c>
    </row>
    <row r="514" spans="1:3" ht="15" customHeight="1" x14ac:dyDescent="0.3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3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3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3">
      <c r="A517" s="207" t="s">
        <v>1047</v>
      </c>
      <c r="B517" s="208">
        <f>kdeg.water*Tempfactor.wsdsT*(BACT.w2T/BACT.test)*FRw.w2T</f>
        <v>5.2997284914620253E-10</v>
      </c>
      <c r="C517" s="209" t="s">
        <v>2082</v>
      </c>
    </row>
    <row r="518" spans="1:3" ht="15" customHeight="1" x14ac:dyDescent="0.3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3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3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3">
      <c r="A521" s="207" t="s">
        <v>1170</v>
      </c>
      <c r="B521" s="208">
        <f>kdeg.water*Tempfactor.wsdsA*(BACT.w3A/BACT.test)*FRw.w3A</f>
        <v>4.6843424434504381E-11</v>
      </c>
      <c r="C521" s="209" t="s">
        <v>2082</v>
      </c>
    </row>
    <row r="522" spans="1:3" ht="15" customHeight="1" x14ac:dyDescent="0.3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3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3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3">
      <c r="A525" s="207" t="s">
        <v>1169</v>
      </c>
      <c r="B525" s="208">
        <f>kdeg.water*Tempfactor.wsdsM*(BACT.w3M/BACT.test)*FRw.w3M</f>
        <v>2.1523585836137233E-10</v>
      </c>
      <c r="C525" s="209" t="s">
        <v>2082</v>
      </c>
    </row>
    <row r="526" spans="1:3" ht="15" customHeight="1" x14ac:dyDescent="0.3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3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3">
      <c r="A528" s="209" t="s">
        <v>132</v>
      </c>
      <c r="B528" s="208">
        <v>0</v>
      </c>
      <c r="C528" s="209" t="s">
        <v>2082</v>
      </c>
    </row>
    <row r="529" spans="1:3" ht="15" customHeight="1" x14ac:dyDescent="0.3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3">
      <c r="A530" s="207" t="s">
        <v>1171</v>
      </c>
      <c r="B530" s="208">
        <f>kdeg.water*Tempfactor.wsdsT*(BACT.w3T/BACT.test)*FRw.w3T</f>
        <v>5.2997284914620253E-10</v>
      </c>
      <c r="C530" s="209" t="s">
        <v>2082</v>
      </c>
    </row>
    <row r="531" spans="1:3" ht="15" customHeight="1" x14ac:dyDescent="0.3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3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3">
      <c r="A533" s="209" t="s">
        <v>59</v>
      </c>
      <c r="B533" s="208">
        <v>0</v>
      </c>
      <c r="C533" s="209" t="s">
        <v>2082</v>
      </c>
    </row>
    <row r="534" spans="1:3" ht="15" customHeight="1" x14ac:dyDescent="0.3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3">
      <c r="A535" s="206" t="s">
        <v>643</v>
      </c>
      <c r="B535" s="215">
        <f>0.54*(Kow/Kaw)*CORGaers*(RHOaers/1000)</f>
        <v>38396810905.829605</v>
      </c>
      <c r="C535" s="206" t="s">
        <v>1549</v>
      </c>
    </row>
    <row r="536" spans="1:3" ht="15" customHeight="1" x14ac:dyDescent="0.3">
      <c r="A536" s="206" t="s">
        <v>628</v>
      </c>
      <c r="B536" s="215">
        <f>0.54*(Kow/Kaw)*CORGaers*(RHOaers/1000)</f>
        <v>38396810905.829605</v>
      </c>
      <c r="C536" s="206" t="s">
        <v>1549</v>
      </c>
    </row>
    <row r="537" spans="1:3" ht="15" customHeight="1" x14ac:dyDescent="0.3">
      <c r="A537" s="206" t="s">
        <v>638</v>
      </c>
      <c r="B537" s="215">
        <f>0.54*(Kow/Kaw)*CORGaers*(RHOaers/1000)</f>
        <v>38396810905.829605</v>
      </c>
      <c r="C537" s="206" t="s">
        <v>1549</v>
      </c>
    </row>
    <row r="538" spans="1:3" ht="15" customHeight="1" x14ac:dyDescent="0.3">
      <c r="A538" s="206" t="s">
        <v>614</v>
      </c>
      <c r="B538" s="215">
        <f>0.54*(Kow/Kaw)*CORGaers*(RHOaers/1000)</f>
        <v>38396810905.829605</v>
      </c>
      <c r="C538" s="206" t="s">
        <v>1549</v>
      </c>
    </row>
    <row r="539" spans="1:3" ht="15" customHeight="1" x14ac:dyDescent="0.3">
      <c r="A539" s="206" t="s">
        <v>633</v>
      </c>
      <c r="B539" s="215">
        <f>0.54*(Kow/Kaw)*CORGaers*(RHOaers/1000)</f>
        <v>38396810905.829605</v>
      </c>
      <c r="C539" s="206" t="s">
        <v>1549</v>
      </c>
    </row>
    <row r="540" spans="1:3" ht="15" customHeight="1" x14ac:dyDescent="0.3">
      <c r="A540" s="206" t="s">
        <v>642</v>
      </c>
      <c r="B540" s="215">
        <f>1/(Kaw.A*FRorig.aerw)</f>
        <v>448027901279.52948</v>
      </c>
      <c r="C540" s="206" t="s">
        <v>1548</v>
      </c>
    </row>
    <row r="541" spans="1:3" ht="15" customHeight="1" x14ac:dyDescent="0.3">
      <c r="A541" s="206" t="s">
        <v>627</v>
      </c>
      <c r="B541" s="215">
        <f>1/(Kaw.C*FRorig.aerw)</f>
        <v>13673504046.092884</v>
      </c>
      <c r="C541" s="206" t="s">
        <v>1548</v>
      </c>
    </row>
    <row r="542" spans="1:3" ht="15" customHeight="1" x14ac:dyDescent="0.3">
      <c r="A542" s="206" t="s">
        <v>637</v>
      </c>
      <c r="B542" s="215">
        <f>1/(Kaw.M*FRorig.aerw)</f>
        <v>13673504046.092884</v>
      </c>
      <c r="C542" s="206" t="s">
        <v>1548</v>
      </c>
    </row>
    <row r="543" spans="1:3" ht="15" customHeight="1" x14ac:dyDescent="0.3">
      <c r="A543" s="206" t="s">
        <v>611</v>
      </c>
      <c r="B543" s="215">
        <f>1/(Kaw.R*FRorig.aerw)</f>
        <v>13673504046.092884</v>
      </c>
      <c r="C543" s="206" t="s">
        <v>1548</v>
      </c>
    </row>
    <row r="544" spans="1:3" ht="15" customHeight="1" x14ac:dyDescent="0.3">
      <c r="A544" s="206" t="s">
        <v>632</v>
      </c>
      <c r="B544" s="215">
        <f>1/(Kaw.T*FRorig.aerw)</f>
        <v>2222037668.1614351</v>
      </c>
      <c r="C544" s="206" t="s">
        <v>1548</v>
      </c>
    </row>
    <row r="545" spans="1:3" ht="15" customHeight="1" x14ac:dyDescent="0.3">
      <c r="A545" s="209" t="s">
        <v>2045</v>
      </c>
      <c r="B545" s="215">
        <f>Kaw*EXP((H0vap/8.314)*(1/298-1/TEMP.A))*EXP(-(H0sol/8.314)*(1/298-1/TEMP.A))*(298/TEMP.A)</f>
        <v>2.2320038487426459E-12</v>
      </c>
      <c r="C545" s="209" t="s">
        <v>36</v>
      </c>
    </row>
    <row r="546" spans="1:3" ht="15" customHeight="1" x14ac:dyDescent="0.3">
      <c r="A546" s="209" t="s">
        <v>2020</v>
      </c>
      <c r="B546" s="215">
        <f>Kaw*EXP((H0vap/8.314)*(1/298-1/TEMP.C))*EXP(-(H0sol/8.314)*(1/298-1/TEMP.C))*(298/TEMP.C)</f>
        <v>7.3134142984054159E-11</v>
      </c>
      <c r="C546" s="209" t="s">
        <v>36</v>
      </c>
    </row>
    <row r="547" spans="1:3" ht="15" customHeight="1" x14ac:dyDescent="0.3">
      <c r="A547" s="209" t="s">
        <v>2037</v>
      </c>
      <c r="B547" s="208">
        <f>Kaw*EXP((H0vap/8.314)*(1/298-1/TEMP.M))*EXP(-(H0sol/8.314)*(1/298-1/TEMP.M))*(298/TEMP.M)</f>
        <v>7.3134142984054159E-11</v>
      </c>
      <c r="C547" s="209" t="s">
        <v>36</v>
      </c>
    </row>
    <row r="548" spans="1:3" ht="15" customHeight="1" x14ac:dyDescent="0.3">
      <c r="A548" s="206" t="s">
        <v>2019</v>
      </c>
      <c r="B548" s="215">
        <f>Kaw*EXP((H0vap/8.314)*(1/298-1/TEMP.R))*EXP(-(H0sol/8.314)*(1/298-1/TEMP.R))*(298/TEMP.R)</f>
        <v>7.3134142984054159E-11</v>
      </c>
      <c r="C548" s="206" t="s">
        <v>2084</v>
      </c>
    </row>
    <row r="549" spans="1:3" ht="15" customHeight="1" x14ac:dyDescent="0.3">
      <c r="A549" s="209" t="s">
        <v>2049</v>
      </c>
      <c r="B549" s="215">
        <f>Kaw*EXP((H0vap/8.314)*(1/298-1/TEMP.T))*EXP(-(H0sol/8.314)*(1/298-1/TEMP.T))*(298/TEMP.T)</f>
        <v>4.5003737530130299E-10</v>
      </c>
      <c r="C549" s="209" t="s">
        <v>36</v>
      </c>
    </row>
    <row r="550" spans="1:3" ht="15" customHeight="1" x14ac:dyDescent="0.3">
      <c r="A550" s="207" t="s">
        <v>671</v>
      </c>
      <c r="B550" s="208">
        <f>FRgas.aA*kdeg.air*(C.OHrad.aA/C.OHrad)*Tempfactor.aA</f>
        <v>2.4591748877946477E-7</v>
      </c>
      <c r="C550" s="209" t="s">
        <v>2082</v>
      </c>
    </row>
    <row r="551" spans="1:3" ht="15" customHeight="1" x14ac:dyDescent="0.3">
      <c r="A551" s="207" t="s">
        <v>1203</v>
      </c>
      <c r="B551" s="208">
        <f>FRgas.aC*kdeg.air*(C.OHrad.aC/C.OHrad)*Tempfactor.aC</f>
        <v>1.54541146784507E-6</v>
      </c>
      <c r="C551" s="209" t="s">
        <v>2082</v>
      </c>
    </row>
    <row r="552" spans="1:3" ht="15" customHeight="1" x14ac:dyDescent="0.3">
      <c r="A552" s="207" t="s">
        <v>192</v>
      </c>
      <c r="B552" s="208">
        <f>FRgas.aM*kdeg.air*(C.OHrad.aM/C.OHrad)*Tempfactor.aM</f>
        <v>1.54541146784507E-6</v>
      </c>
      <c r="C552" s="209" t="s">
        <v>2082</v>
      </c>
    </row>
    <row r="553" spans="1:3" ht="15" customHeight="1" x14ac:dyDescent="0.3">
      <c r="A553" s="207" t="s">
        <v>464</v>
      </c>
      <c r="B553" s="208">
        <f>FRgas.aR*kdeg.air*(C.OHrad.aR/C.OHrad)*Tempfactor.aR</f>
        <v>1.54541146784507E-6</v>
      </c>
      <c r="C553" s="209" t="s">
        <v>2082</v>
      </c>
    </row>
    <row r="554" spans="1:3" ht="15" customHeight="1" x14ac:dyDescent="0.3">
      <c r="A554" s="207" t="s">
        <v>52</v>
      </c>
      <c r="B554" s="208">
        <f>FRgas.aT*kdeg.air*(C.OHrad.aT/C.OHrad)*Tempfactor.aT</f>
        <v>1.9346678497928229E-6</v>
      </c>
      <c r="C554" s="209" t="s">
        <v>2082</v>
      </c>
    </row>
    <row r="555" spans="1:3" ht="15" customHeight="1" x14ac:dyDescent="0.3">
      <c r="A555" s="207" t="s">
        <v>1293</v>
      </c>
      <c r="B555" s="215">
        <f>Tempfactor.wsdsC*kdeg.soil</f>
        <v>2.6741789373454676E-9</v>
      </c>
      <c r="C555" s="209" t="s">
        <v>2082</v>
      </c>
    </row>
    <row r="556" spans="1:3" ht="15" customHeight="1" x14ac:dyDescent="0.3">
      <c r="A556" s="207" t="s">
        <v>1335</v>
      </c>
      <c r="B556" s="208">
        <f>Tempfactor.wsdsR*kdeg.soil</f>
        <v>2.6741789373454676E-9</v>
      </c>
      <c r="C556" s="209" t="s">
        <v>2082</v>
      </c>
    </row>
    <row r="557" spans="1:3" ht="15" customHeight="1" x14ac:dyDescent="0.3">
      <c r="A557" s="207" t="s">
        <v>1294</v>
      </c>
      <c r="B557" s="215">
        <f>Tempfactor.wsdsC*kdeg.soil</f>
        <v>2.6741789373454676E-9</v>
      </c>
      <c r="C557" s="209" t="s">
        <v>2082</v>
      </c>
    </row>
    <row r="558" spans="1:3" ht="15" customHeight="1" x14ac:dyDescent="0.3">
      <c r="A558" s="207" t="s">
        <v>1336</v>
      </c>
      <c r="B558" s="208">
        <f>Tempfactor.wsdsR*kdeg.soil</f>
        <v>2.6741789373454676E-9</v>
      </c>
      <c r="C558" s="209" t="s">
        <v>2082</v>
      </c>
    </row>
    <row r="559" spans="1:3" ht="15" customHeight="1" x14ac:dyDescent="0.3">
      <c r="A559" s="207" t="s">
        <v>1202</v>
      </c>
      <c r="B559" s="215">
        <f>Tempfactor.wsdsC*kdeg.soil</f>
        <v>2.6741789373454676E-9</v>
      </c>
      <c r="C559" s="209" t="s">
        <v>2082</v>
      </c>
    </row>
    <row r="560" spans="1:3" ht="15" customHeight="1" x14ac:dyDescent="0.3">
      <c r="A560" s="207" t="s">
        <v>1337</v>
      </c>
      <c r="B560" s="208">
        <f>Tempfactor.wsdsR*kdeg.soil</f>
        <v>2.6741789373454676E-9</v>
      </c>
      <c r="C560" s="209" t="s">
        <v>2082</v>
      </c>
    </row>
    <row r="561" spans="1:3" ht="15" customHeight="1" x14ac:dyDescent="0.3">
      <c r="A561" s="207" t="s">
        <v>673</v>
      </c>
      <c r="B561" s="215">
        <f>Tempfactor.wsdsA*kdeg.soil</f>
        <v>5.8200199506518189E-10</v>
      </c>
      <c r="C561" s="209" t="s">
        <v>2082</v>
      </c>
    </row>
    <row r="562" spans="1:3" ht="15" customHeight="1" x14ac:dyDescent="0.3">
      <c r="A562" s="207" t="s">
        <v>1014</v>
      </c>
      <c r="B562" s="215">
        <f>Tempfactor.wsdsC*kdeg.sed</f>
        <v>2.6741789373454681E-10</v>
      </c>
      <c r="C562" s="209" t="s">
        <v>2082</v>
      </c>
    </row>
    <row r="563" spans="1:3" ht="15" customHeight="1" x14ac:dyDescent="0.3">
      <c r="A563" s="207" t="s">
        <v>1333</v>
      </c>
      <c r="B563" s="208">
        <f>Tempfactor.wsdsR*kdeg.sed</f>
        <v>2.6741789373454681E-10</v>
      </c>
      <c r="C563" s="209" t="s">
        <v>2082</v>
      </c>
    </row>
    <row r="564" spans="1:3" ht="15" customHeight="1" x14ac:dyDescent="0.3">
      <c r="A564" s="207" t="s">
        <v>1292</v>
      </c>
      <c r="B564" s="215">
        <f>Tempfactor.wsdsC*kdeg.sed</f>
        <v>2.6741789373454681E-10</v>
      </c>
      <c r="C564" s="209" t="s">
        <v>2082</v>
      </c>
    </row>
    <row r="565" spans="1:3" ht="15" customHeight="1" x14ac:dyDescent="0.3">
      <c r="A565" s="207" t="s">
        <v>1334</v>
      </c>
      <c r="B565" s="208">
        <f>Tempfactor.wsdsR*kdeg.sed</f>
        <v>2.6741789373454681E-10</v>
      </c>
      <c r="C565" s="209" t="s">
        <v>2082</v>
      </c>
    </row>
    <row r="566" spans="1:3" ht="15" customHeight="1" x14ac:dyDescent="0.3">
      <c r="A566" s="207" t="s">
        <v>672</v>
      </c>
      <c r="B566" s="215">
        <f>Tempfactor.wsdsA*kdeg.sed</f>
        <v>5.8200199506518201E-11</v>
      </c>
      <c r="C566" s="209" t="s">
        <v>2082</v>
      </c>
    </row>
    <row r="567" spans="1:3" ht="15" customHeight="1" x14ac:dyDescent="0.3">
      <c r="A567" s="207" t="s">
        <v>193</v>
      </c>
      <c r="B567" s="208">
        <f>Tempfactor.wsdsM*kdeg.sed</f>
        <v>2.6741789373454681E-10</v>
      </c>
      <c r="C567" s="209" t="s">
        <v>2082</v>
      </c>
    </row>
    <row r="568" spans="1:3" ht="15" customHeight="1" x14ac:dyDescent="0.3">
      <c r="A568" s="207" t="s">
        <v>53</v>
      </c>
      <c r="B568" s="208">
        <f>Tempfactor.wsdsT*kdeg.sed</f>
        <v>6.5846009179950362E-10</v>
      </c>
      <c r="C568" s="209" t="s">
        <v>2082</v>
      </c>
    </row>
    <row r="569" spans="1:3" ht="15" customHeight="1" x14ac:dyDescent="0.3">
      <c r="A569" s="207" t="s">
        <v>194</v>
      </c>
      <c r="B569" s="208">
        <f>Tempfactor.wsdsM*kdeg.soil</f>
        <v>2.6741789373454676E-9</v>
      </c>
      <c r="C569" s="209" t="s">
        <v>2082</v>
      </c>
    </row>
    <row r="570" spans="1:3" ht="15" customHeight="1" x14ac:dyDescent="0.3">
      <c r="A570" s="207" t="s">
        <v>54</v>
      </c>
      <c r="B570" s="208">
        <f>Tempfactor.wsdsT*kdeg.soil</f>
        <v>6.5846009179950347E-9</v>
      </c>
      <c r="C570" s="209" t="s">
        <v>2082</v>
      </c>
    </row>
    <row r="571" spans="1:3" ht="15" customHeight="1" x14ac:dyDescent="0.3">
      <c r="A571" s="207" t="s">
        <v>354</v>
      </c>
      <c r="B571" s="208">
        <f>kdeg.water*Tempfactor.wsdsC*(BACT.w0C/BACT.test)*FRw.w0C</f>
        <v>2.1524330272611406E-10</v>
      </c>
      <c r="C571" s="209" t="s">
        <v>2082</v>
      </c>
    </row>
    <row r="572" spans="1:3" ht="15" customHeight="1" x14ac:dyDescent="0.3">
      <c r="A572" s="207" t="s">
        <v>306</v>
      </c>
      <c r="B572" s="208">
        <f>kdeg.water*Tempfactor.wsdsR*(BACT.w0R/BACT.test)*FRw.w0R</f>
        <v>2.1524330272611406E-10</v>
      </c>
      <c r="C572" s="209" t="s">
        <v>2082</v>
      </c>
    </row>
    <row r="573" spans="1:3" ht="15" customHeight="1" x14ac:dyDescent="0.3">
      <c r="A573" s="207" t="s">
        <v>1012</v>
      </c>
      <c r="B573" s="208">
        <f>kdeg.water*Tempfactor.wsdsC*(BACT.w1C/BACT.test)*FRw.w1C</f>
        <v>2.1521931717207951E-10</v>
      </c>
      <c r="C573" s="209" t="s">
        <v>2082</v>
      </c>
    </row>
    <row r="574" spans="1:3" ht="15" customHeight="1" x14ac:dyDescent="0.3">
      <c r="A574" s="207" t="s">
        <v>851</v>
      </c>
      <c r="B574" s="208">
        <f>kdeg.water*Tempfactor.wsdsR*(BACT.w1R/BACT.test)*FRw.w1R</f>
        <v>2.1521931717207951E-10</v>
      </c>
      <c r="C574" s="209" t="s">
        <v>2082</v>
      </c>
    </row>
    <row r="575" spans="1:3" ht="15" customHeight="1" x14ac:dyDescent="0.3">
      <c r="A575" s="207" t="s">
        <v>1158</v>
      </c>
      <c r="B575" s="215">
        <f>kdeg.water*Tempfactor.wsdsA*(BACT.w2A/BACT.test)*FRw.w2A</f>
        <v>4.6843424434504381E-11</v>
      </c>
      <c r="C575" s="209" t="s">
        <v>2082</v>
      </c>
    </row>
    <row r="576" spans="1:3" ht="15" customHeight="1" x14ac:dyDescent="0.3">
      <c r="A576" s="207" t="s">
        <v>1013</v>
      </c>
      <c r="B576" s="208">
        <f>kdeg.water*Tempfactor.wsdsC*(BACT.w2C/BACT.test)*FRw.w2C</f>
        <v>2.1523585836137233E-10</v>
      </c>
      <c r="C576" s="209" t="s">
        <v>2082</v>
      </c>
    </row>
    <row r="577" spans="1:3" ht="15" customHeight="1" x14ac:dyDescent="0.3">
      <c r="A577" s="207" t="s">
        <v>149</v>
      </c>
      <c r="B577" s="208">
        <f>kdeg.water*Tempfactor.wsdsM*(BACT.w2M/BACT.test)*FRw.w2M</f>
        <v>2.1523585836137233E-10</v>
      </c>
      <c r="C577" s="209" t="s">
        <v>2082</v>
      </c>
    </row>
    <row r="578" spans="1:3" ht="15" customHeight="1" x14ac:dyDescent="0.3">
      <c r="A578" s="207" t="s">
        <v>852</v>
      </c>
      <c r="B578" s="208">
        <f>kdeg.water*Tempfactor.wsdsR*(BACT.w2R/BACT.test)*FRw.w2R</f>
        <v>2.1523585836137233E-10</v>
      </c>
      <c r="C578" s="209" t="s">
        <v>2082</v>
      </c>
    </row>
    <row r="579" spans="1:3" ht="15" customHeight="1" x14ac:dyDescent="0.3">
      <c r="A579" s="207" t="s">
        <v>1137</v>
      </c>
      <c r="B579" s="208">
        <f>kdeg.water*Tempfactor.wsdsT*(BACT.w2T/BACT.test)*FRw.w2T</f>
        <v>5.2997284914620253E-10</v>
      </c>
      <c r="C579" s="209" t="s">
        <v>2082</v>
      </c>
    </row>
    <row r="580" spans="1:3" ht="15" customHeight="1" x14ac:dyDescent="0.3">
      <c r="A580" s="207" t="s">
        <v>1159</v>
      </c>
      <c r="B580" s="215">
        <f>kdeg.water*Tempfactor.wsdsA*(BACT.w3A/BACT.test)*FRw.w3A</f>
        <v>4.6843424434504381E-11</v>
      </c>
      <c r="C580" s="209" t="s">
        <v>2082</v>
      </c>
    </row>
    <row r="581" spans="1:3" ht="15" customHeight="1" x14ac:dyDescent="0.3">
      <c r="A581" s="207" t="s">
        <v>150</v>
      </c>
      <c r="B581" s="208">
        <f>kdeg.water*Tempfactor.wsdsM*(BACT.w3M/BACT.test)*FRw.w3M</f>
        <v>2.1523585836137233E-10</v>
      </c>
      <c r="C581" s="209" t="s">
        <v>2082</v>
      </c>
    </row>
    <row r="582" spans="1:3" ht="15" customHeight="1" x14ac:dyDescent="0.3">
      <c r="A582" s="207" t="s">
        <v>1139</v>
      </c>
      <c r="B582" s="208">
        <f>kdeg.water*Tempfactor.wsdsT*(BACT.w3T/BACT.test)*FRw.w3T</f>
        <v>5.2997284914620253E-10</v>
      </c>
      <c r="C582" s="209" t="s">
        <v>2082</v>
      </c>
    </row>
    <row r="583" spans="1:3" ht="15" customHeight="1" x14ac:dyDescent="0.3">
      <c r="A583" s="207" t="s">
        <v>758</v>
      </c>
      <c r="B583" s="216" t="s">
        <v>2090</v>
      </c>
      <c r="C583" s="209" t="s">
        <v>2082</v>
      </c>
    </row>
    <row r="584" spans="1:3" ht="15" customHeight="1" x14ac:dyDescent="0.3">
      <c r="A584" s="207" t="s">
        <v>997</v>
      </c>
      <c r="B584" s="216" t="s">
        <v>2091</v>
      </c>
      <c r="C584" s="209" t="s">
        <v>2082</v>
      </c>
    </row>
    <row r="585" spans="1:3" ht="15" customHeight="1" x14ac:dyDescent="0.3">
      <c r="A585" s="207" t="s">
        <v>750</v>
      </c>
      <c r="B585" s="216" t="s">
        <v>2092</v>
      </c>
      <c r="C585" s="209" t="s">
        <v>2082</v>
      </c>
    </row>
    <row r="586" spans="1:3" ht="15" customHeight="1" x14ac:dyDescent="0.3">
      <c r="A586" s="207" t="s">
        <v>926</v>
      </c>
      <c r="B586" s="216" t="s">
        <v>2093</v>
      </c>
      <c r="C586" s="209" t="s">
        <v>2082</v>
      </c>
    </row>
    <row r="587" spans="1:3" ht="15" customHeight="1" x14ac:dyDescent="0.3">
      <c r="A587" s="207" t="s">
        <v>427</v>
      </c>
      <c r="B587" s="216" t="s">
        <v>2094</v>
      </c>
      <c r="C587" s="209" t="s">
        <v>2082</v>
      </c>
    </row>
    <row r="588" spans="1:3" ht="15" customHeight="1" x14ac:dyDescent="0.3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3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3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3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3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3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3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3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3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3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3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3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3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3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3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3">
      <c r="A603" s="210" t="s">
        <v>346</v>
      </c>
      <c r="B603" s="208">
        <f>0.08*D</f>
        <v>12.8</v>
      </c>
      <c r="C603" s="209" t="s">
        <v>1039</v>
      </c>
    </row>
    <row r="604" spans="1:3" ht="15" customHeight="1" x14ac:dyDescent="0.3">
      <c r="A604" s="210" t="s">
        <v>296</v>
      </c>
      <c r="B604" s="208">
        <f>0.08*D</f>
        <v>12.8</v>
      </c>
      <c r="C604" s="209" t="s">
        <v>1039</v>
      </c>
    </row>
    <row r="605" spans="1:3" ht="15" customHeight="1" x14ac:dyDescent="0.3">
      <c r="A605" s="210" t="s">
        <v>555</v>
      </c>
      <c r="B605" s="208">
        <f>0.08*D</f>
        <v>12.8</v>
      </c>
      <c r="C605" s="209" t="s">
        <v>1039</v>
      </c>
    </row>
    <row r="606" spans="1:3" ht="15" customHeight="1" x14ac:dyDescent="0.3">
      <c r="A606" s="210" t="s">
        <v>550</v>
      </c>
      <c r="B606" s="208">
        <f>0.08*D</f>
        <v>12.8</v>
      </c>
      <c r="C606" s="209" t="s">
        <v>1039</v>
      </c>
    </row>
    <row r="607" spans="1:3" ht="15" customHeight="1" x14ac:dyDescent="0.3">
      <c r="A607" s="210" t="s">
        <v>1153</v>
      </c>
      <c r="B607" s="208">
        <v>220</v>
      </c>
      <c r="C607" s="209" t="s">
        <v>1039</v>
      </c>
    </row>
    <row r="608" spans="1:3" ht="15" customHeight="1" x14ac:dyDescent="0.3">
      <c r="A608" s="210" t="s">
        <v>557</v>
      </c>
      <c r="B608" s="208">
        <f>0.08*D</f>
        <v>12.8</v>
      </c>
      <c r="C608" s="209" t="s">
        <v>1039</v>
      </c>
    </row>
    <row r="609" spans="1:3" ht="15" customHeight="1" x14ac:dyDescent="0.3">
      <c r="A609" s="210" t="s">
        <v>140</v>
      </c>
      <c r="B609" s="208">
        <v>220</v>
      </c>
      <c r="C609" s="209" t="s">
        <v>1039</v>
      </c>
    </row>
    <row r="610" spans="1:3" ht="15" customHeight="1" x14ac:dyDescent="0.3">
      <c r="A610" s="210" t="s">
        <v>553</v>
      </c>
      <c r="B610" s="208">
        <f>0.08*D</f>
        <v>12.8</v>
      </c>
      <c r="C610" s="209" t="s">
        <v>1039</v>
      </c>
    </row>
    <row r="611" spans="1:3" ht="15" customHeight="1" x14ac:dyDescent="0.3">
      <c r="A611" s="210" t="s">
        <v>1128</v>
      </c>
      <c r="B611" s="208">
        <v>220</v>
      </c>
      <c r="C611" s="209" t="s">
        <v>1039</v>
      </c>
    </row>
    <row r="612" spans="1:3" ht="15" customHeight="1" x14ac:dyDescent="0.3">
      <c r="A612" s="210" t="s">
        <v>1154</v>
      </c>
      <c r="B612" s="208">
        <v>220</v>
      </c>
      <c r="C612" s="209" t="s">
        <v>1039</v>
      </c>
    </row>
    <row r="613" spans="1:3" ht="15" customHeight="1" x14ac:dyDescent="0.3">
      <c r="A613" s="210" t="s">
        <v>141</v>
      </c>
      <c r="B613" s="208">
        <v>220</v>
      </c>
      <c r="C613" s="209" t="s">
        <v>1039</v>
      </c>
    </row>
    <row r="614" spans="1:3" ht="15" customHeight="1" x14ac:dyDescent="0.3">
      <c r="A614" s="210" t="s">
        <v>1129</v>
      </c>
      <c r="B614" s="208">
        <v>220</v>
      </c>
      <c r="C614" s="209" t="s">
        <v>1039</v>
      </c>
    </row>
    <row r="615" spans="1:3" ht="15" customHeight="1" x14ac:dyDescent="0.3">
      <c r="A615" s="210" t="s">
        <v>125</v>
      </c>
      <c r="B615" s="208">
        <f>(FRorig.s1*Ksw+(1-FRorig.s1)*Ksw.alt)*(1000/RHOsolid/CORG)*CORG.s1C</f>
        <v>1.5372260191227125</v>
      </c>
      <c r="C615" s="209" t="s">
        <v>1039</v>
      </c>
    </row>
    <row r="616" spans="1:3" ht="15" customHeight="1" x14ac:dyDescent="0.3">
      <c r="A616" s="210" t="s">
        <v>126</v>
      </c>
      <c r="B616" s="208">
        <f>(FRorig.s1*Ksw+(1-FRorig.s1)*Ksw.alt)*(1000/RHOsolid/CORG)*CORG.s1R</f>
        <v>1.5372260191227125</v>
      </c>
      <c r="C616" s="209" t="s">
        <v>2085</v>
      </c>
    </row>
    <row r="617" spans="1:3" ht="15" customHeight="1" x14ac:dyDescent="0.3">
      <c r="A617" s="210" t="s">
        <v>167</v>
      </c>
      <c r="B617" s="208">
        <f>(FRorig.s2*Ksw+(1-FRorig.s2)*Ksw.alt)*(1000/RHOsolid/CORG)*CORG.s2C</f>
        <v>1.5372260191227125</v>
      </c>
      <c r="C617" s="209" t="s">
        <v>1039</v>
      </c>
    </row>
    <row r="618" spans="1:3" ht="15" customHeight="1" x14ac:dyDescent="0.3">
      <c r="A618" s="210" t="s">
        <v>168</v>
      </c>
      <c r="B618" s="208">
        <f>(FRorig.s2*Ksw+(1-FRorig.s2)*Ksw.alt)*(1000/RHOsolid/CORG)*CORG.s2R</f>
        <v>1.5372260191227125</v>
      </c>
      <c r="C618" s="209" t="s">
        <v>2085</v>
      </c>
    </row>
    <row r="619" spans="1:3" ht="15" customHeight="1" x14ac:dyDescent="0.3">
      <c r="A619" s="210" t="s">
        <v>169</v>
      </c>
      <c r="B619" s="208">
        <f>(FRorig.s2*Ksw+(1-FRorig.s2)*Ksw.alt)*(1000/RHOsolid/CORG)*CORG.s3C</f>
        <v>1.5372260191227125</v>
      </c>
      <c r="C619" s="209" t="s">
        <v>1039</v>
      </c>
    </row>
    <row r="620" spans="1:3" ht="15" customHeight="1" x14ac:dyDescent="0.3">
      <c r="A620" s="210" t="s">
        <v>170</v>
      </c>
      <c r="B620" s="208">
        <f>(FRorig.s3*Ksw+(1-FRorig.s3)*Ksw.alt)*(1000/RHOsolid/CORG)*CORG.s3R</f>
        <v>1.5372260191227125</v>
      </c>
      <c r="C620" s="209" t="s">
        <v>2085</v>
      </c>
    </row>
    <row r="621" spans="1:3" ht="15" customHeight="1" x14ac:dyDescent="0.3">
      <c r="A621" s="210" t="s">
        <v>171</v>
      </c>
      <c r="B621" s="208">
        <f>(FRorig.s1*Ksw+(1-FRorig.s1)*Ksw.alt)*(1000/RHOsolid/CORG)*CORG.sA</f>
        <v>1.5372260191227125</v>
      </c>
      <c r="C621" s="209" t="s">
        <v>2085</v>
      </c>
    </row>
    <row r="622" spans="1:3" ht="15" customHeight="1" x14ac:dyDescent="0.3">
      <c r="A622" s="210" t="s">
        <v>172</v>
      </c>
      <c r="B622" s="208">
        <f>(FRorig.sd1*Ksw+(1-FRorig.sd1)*Ksw.alt)*(1000/RHOsolid/CORG)*CORG.sd1C</f>
        <v>3.8430650478067814</v>
      </c>
      <c r="C622" s="209" t="s">
        <v>1039</v>
      </c>
    </row>
    <row r="623" spans="1:3" ht="15" customHeight="1" x14ac:dyDescent="0.3">
      <c r="A623" s="210" t="s">
        <v>173</v>
      </c>
      <c r="B623" s="208">
        <f>(FRorig.sd1*Ksw+(1-FRorig.sd1)*Ksw.alt)*(1000/RHOsolid/CORG)*CORG.sd1R</f>
        <v>3.8430650478067814</v>
      </c>
      <c r="C623" s="209" t="s">
        <v>2085</v>
      </c>
    </row>
    <row r="624" spans="1:3" ht="15" customHeight="1" x14ac:dyDescent="0.3">
      <c r="A624" s="210" t="s">
        <v>174</v>
      </c>
      <c r="B624" s="208">
        <f>(FRorig.sd2*Ksw+(1-FRorig.sd2)*Ksw.alt)*(1000/RHOsolid/CORG)*CORG.sd2C</f>
        <v>3.8430650478067814</v>
      </c>
      <c r="C624" s="209" t="s">
        <v>1039</v>
      </c>
    </row>
    <row r="625" spans="1:3" ht="15" customHeight="1" x14ac:dyDescent="0.3">
      <c r="A625" s="210" t="s">
        <v>175</v>
      </c>
      <c r="B625" s="208">
        <f>(FRorig.sd2*Ksw+(1-FRorig.sd2)*Ksw.alt)*(1000/RHOsolid/CORG)*CORG.sd2R</f>
        <v>3.8430650478067814</v>
      </c>
      <c r="C625" s="209" t="s">
        <v>2085</v>
      </c>
    </row>
    <row r="626" spans="1:3" ht="15" customHeight="1" x14ac:dyDescent="0.3">
      <c r="A626" s="210" t="s">
        <v>176</v>
      </c>
      <c r="B626" s="208">
        <f>(FRorig.sd2*Ksw+(1-FRorig.sd2)*Ksw.alt)*(1000/RHOsolid/CORG)*CORG.sdA</f>
        <v>3.8430650478067814</v>
      </c>
      <c r="C626" s="209" t="s">
        <v>2085</v>
      </c>
    </row>
    <row r="627" spans="1:3" ht="15" customHeight="1" x14ac:dyDescent="0.3">
      <c r="A627" s="210" t="s">
        <v>177</v>
      </c>
      <c r="B627" s="208">
        <f>(FRorig.sd2*Ksw+(1-FRorig.sd2)*Ksw.alt)*(1000/RHOsolid/CORG)*CORG.sdM</f>
        <v>3.8430650478067814</v>
      </c>
      <c r="C627" s="209" t="s">
        <v>2085</v>
      </c>
    </row>
    <row r="628" spans="1:3" ht="15" customHeight="1" x14ac:dyDescent="0.3">
      <c r="A628" s="210" t="s">
        <v>178</v>
      </c>
      <c r="B628" s="208">
        <f>(FRorig.sd2*Ksw+(1-FRorig.sd2)*Ksw.alt)*(1000/RHOsolid/CORG)*CORG.sdT</f>
        <v>3.8430650478067814</v>
      </c>
      <c r="C628" s="209" t="s">
        <v>2085</v>
      </c>
    </row>
    <row r="629" spans="1:3" ht="15" customHeight="1" x14ac:dyDescent="0.3">
      <c r="A629" s="210" t="s">
        <v>179</v>
      </c>
      <c r="B629" s="208">
        <f>(FRorig.s1*Ksw+(1-FRorig.s1)*Ksw.alt)*(1000/RHOsolid/CORG)*CORG.sM</f>
        <v>1.5372260191227125</v>
      </c>
      <c r="C629" s="209" t="s">
        <v>2085</v>
      </c>
    </row>
    <row r="630" spans="1:3" ht="15" customHeight="1" x14ac:dyDescent="0.3">
      <c r="A630" s="210" t="s">
        <v>180</v>
      </c>
      <c r="B630" s="208">
        <f>(FRorig.s1*Ksw+(1-FRorig.s1)*Ksw.alt)*(1000/RHOsolid/CORG)*CORG.sT</f>
        <v>1.5372260191227125</v>
      </c>
      <c r="C630" s="209" t="s">
        <v>2085</v>
      </c>
    </row>
    <row r="631" spans="1:3" ht="15" customHeight="1" x14ac:dyDescent="0.3">
      <c r="A631" s="210" t="s">
        <v>343</v>
      </c>
      <c r="B631" s="208">
        <f>(FRorig.w1*Ksw+(1-FRorig.w1)*Ksw.alt)*(1000/RHOsolid/CORG)*CORG.susp0C</f>
        <v>7.6861300956135628</v>
      </c>
      <c r="C631" s="209" t="s">
        <v>2085</v>
      </c>
    </row>
    <row r="632" spans="1:3" ht="15" customHeight="1" x14ac:dyDescent="0.3">
      <c r="A632" s="210" t="s">
        <v>293</v>
      </c>
      <c r="B632" s="208">
        <f>(FRorig.w1*Ksw+(1-FRorig.w1)*Ksw.alt)*(1000/RHOsolid/CORG)*CORG.susp0R</f>
        <v>7.6861300956135628</v>
      </c>
      <c r="C632" s="209" t="s">
        <v>2085</v>
      </c>
    </row>
    <row r="633" spans="1:3" ht="15" customHeight="1" x14ac:dyDescent="0.3">
      <c r="A633" s="210" t="s">
        <v>181</v>
      </c>
      <c r="B633" s="208">
        <f>(FRorig.w1*Ksw+(1-FRorig.w1)*Ksw.alt)*(1000/RHOsolid/CORG)*CORG.susp1C</f>
        <v>7.6861300956135628</v>
      </c>
      <c r="C633" s="209" t="s">
        <v>1039</v>
      </c>
    </row>
    <row r="634" spans="1:3" ht="15" customHeight="1" x14ac:dyDescent="0.3">
      <c r="A634" s="210" t="s">
        <v>182</v>
      </c>
      <c r="B634" s="208">
        <f>(FRorig.w1*Ksw+(1-FRorig.w1)*Ksw.alt)*(1000/RHOsolid/CORG)*CORG.susp1R</f>
        <v>7.6861300956135628</v>
      </c>
      <c r="C634" s="209" t="s">
        <v>2085</v>
      </c>
    </row>
    <row r="635" spans="1:3" ht="15" customHeight="1" x14ac:dyDescent="0.3">
      <c r="A635" s="210" t="s">
        <v>1149</v>
      </c>
      <c r="B635" s="208">
        <f>(FRorig.w2*Ksw+(1-FRorig.w2)*Ksw.alt)*(1000/RHOsolid/CORG)*CORG.susp2A</f>
        <v>7.6861300956135628</v>
      </c>
      <c r="C635" s="209" t="s">
        <v>2085</v>
      </c>
    </row>
    <row r="636" spans="1:3" ht="15" customHeight="1" x14ac:dyDescent="0.3">
      <c r="A636" s="210" t="s">
        <v>183</v>
      </c>
      <c r="B636" s="208">
        <f>(FRorig.w2*Ksw+(1-FRorig.w2)*Ksw.alt)*(1000/RHOsolid/CORG)*CORG.susp2C</f>
        <v>7.6861300956135628</v>
      </c>
      <c r="C636" s="209" t="s">
        <v>1039</v>
      </c>
    </row>
    <row r="637" spans="1:3" ht="15" customHeight="1" x14ac:dyDescent="0.3">
      <c r="A637" s="210" t="s">
        <v>136</v>
      </c>
      <c r="B637" s="208">
        <f>(FRorig.w2*Ksw+(1-FRorig.w2)*Ksw.alt)*(1000/RHOsolid/CORG)*CORG.susp2M</f>
        <v>7.6861300956135628</v>
      </c>
      <c r="C637" s="209" t="s">
        <v>2085</v>
      </c>
    </row>
    <row r="638" spans="1:3" ht="15" customHeight="1" x14ac:dyDescent="0.3">
      <c r="A638" s="210" t="s">
        <v>184</v>
      </c>
      <c r="B638" s="208">
        <f>(FRorig.w2*Ksw+(1-FRorig.w2)*Ksw.alt)*(1000/RHOsolid/CORG)*CORG.susp2R</f>
        <v>7.6861300956135628</v>
      </c>
      <c r="C638" s="209" t="s">
        <v>2085</v>
      </c>
    </row>
    <row r="639" spans="1:3" ht="15" customHeight="1" x14ac:dyDescent="0.3">
      <c r="A639" s="210" t="s">
        <v>1121</v>
      </c>
      <c r="B639" s="208">
        <f>(FRorig.w2*Ksw+(1-FRorig.w2)*Ksw.alt)*(1000/RHOsolid/CORG)*CORG.susp2T</f>
        <v>7.6861300956135628</v>
      </c>
      <c r="C639" s="209" t="s">
        <v>2085</v>
      </c>
    </row>
    <row r="640" spans="1:3" ht="15" customHeight="1" x14ac:dyDescent="0.3">
      <c r="A640" s="210" t="s">
        <v>1150</v>
      </c>
      <c r="B640" s="208">
        <f>(FRorig.w2*Ksw+(1-FRorig.w2)*Ksw.alt)*(1000/RHOsolid/CORG)*CORG.susp3A</f>
        <v>7.6861300956135628</v>
      </c>
      <c r="C640" s="209" t="s">
        <v>2085</v>
      </c>
    </row>
    <row r="641" spans="1:3" ht="15" customHeight="1" x14ac:dyDescent="0.3">
      <c r="A641" s="210" t="s">
        <v>137</v>
      </c>
      <c r="B641" s="208">
        <f>(FRorig.w2*Ksw+(1-FRorig.w2)*Ksw.alt)*(1000/RHOsolid/CORG)*CORG.susp3M</f>
        <v>7.6861300956135628</v>
      </c>
      <c r="C641" s="209" t="s">
        <v>1498</v>
      </c>
    </row>
    <row r="642" spans="1:3" ht="15" customHeight="1" x14ac:dyDescent="0.3">
      <c r="A642" s="210" t="s">
        <v>1123</v>
      </c>
      <c r="B642" s="208">
        <f>(FRorig.w2*Ksw+(1-FRorig.w2)*Ksw.alt)*(1000/RHOsolid/CORG)*CORG.susp3T</f>
        <v>7.6861300956135628</v>
      </c>
      <c r="C642" s="209" t="s">
        <v>2085</v>
      </c>
    </row>
    <row r="643" spans="1:3" ht="15" customHeight="1" x14ac:dyDescent="0.3">
      <c r="A643" s="210" t="s">
        <v>479</v>
      </c>
      <c r="B643" s="208">
        <f>FRACa.s1C*(Kaw.C*FRorig.s1w)+FRACw.s1C+FRACs.s1C*Kp.s1C*RHOsolid/1000</f>
        <v>2.5058390286986958</v>
      </c>
      <c r="C643" s="209" t="s">
        <v>36</v>
      </c>
    </row>
    <row r="644" spans="1:3" ht="15" customHeight="1" x14ac:dyDescent="0.3">
      <c r="A644" s="210" t="s">
        <v>1069</v>
      </c>
      <c r="B644" s="208">
        <f>FRACa.s1R*(Kaw.R*FRorig.s1w)+FRACw.s1R+FRACs.s1R*Kp.s1R*RHOsolid/1000</f>
        <v>2.5058390286986958</v>
      </c>
      <c r="C644" s="209" t="s">
        <v>36</v>
      </c>
    </row>
    <row r="645" spans="1:3" ht="15" customHeight="1" x14ac:dyDescent="0.3">
      <c r="A645" s="210" t="s">
        <v>481</v>
      </c>
      <c r="B645" s="208">
        <f>FRACa.s2C*(Kaw.C*FRorig.s2w)+FRACw.s2C+FRACs.s2C*Kp.s2C*RHOsolid/1000</f>
        <v>2.5058390286986958</v>
      </c>
      <c r="C645" s="209" t="s">
        <v>36</v>
      </c>
    </row>
    <row r="646" spans="1:3" ht="15" customHeight="1" x14ac:dyDescent="0.3">
      <c r="A646" s="210" t="s">
        <v>1071</v>
      </c>
      <c r="B646" s="208">
        <f>FRACa.s2R*(Kaw.R*FRorig.s2w)+FRACw.s2R+FRACs.s2R*Kp.s2R*RHOsolid/1000</f>
        <v>2.5058390286986958</v>
      </c>
      <c r="C646" s="209" t="s">
        <v>36</v>
      </c>
    </row>
    <row r="647" spans="1:3" ht="15" customHeight="1" x14ac:dyDescent="0.3">
      <c r="A647" s="210" t="s">
        <v>483</v>
      </c>
      <c r="B647" s="208">
        <f>FRACa.s3C*(Kaw.C*FRorig.s3w)+FRACw.s3C+FRACs.s3C*Kp.s3C*RHOsolid/1000</f>
        <v>2.5058390286986958</v>
      </c>
      <c r="C647" s="209" t="s">
        <v>36</v>
      </c>
    </row>
    <row r="648" spans="1:3" ht="15" customHeight="1" x14ac:dyDescent="0.3">
      <c r="A648" s="210" t="s">
        <v>1073</v>
      </c>
      <c r="B648" s="208">
        <f>FRACa.s3R*(Kaw.R*FRorig.s3w)+FRACw.s3R+FRACs.s3R*Kp.s3R*RHOsolid/1000</f>
        <v>2.5058390286986958</v>
      </c>
      <c r="C648" s="209" t="s">
        <v>36</v>
      </c>
    </row>
    <row r="649" spans="1:3" ht="15" customHeight="1" x14ac:dyDescent="0.3">
      <c r="A649" s="210" t="s">
        <v>411</v>
      </c>
      <c r="B649" s="208">
        <f>FRACw.sdA+FRACs.sdA*Kp.sdA*RHOsolid/1000</f>
        <v>2.7215325239033903</v>
      </c>
      <c r="C649" s="209" t="s">
        <v>36</v>
      </c>
    </row>
    <row r="650" spans="1:3" ht="15" customHeight="1" x14ac:dyDescent="0.3">
      <c r="A650" s="210" t="s">
        <v>438</v>
      </c>
      <c r="B650" s="208">
        <f>FRACw.sdM+FRACs.sdM*Kp.sdM*RHOsolid/1000</f>
        <v>2.7215325239033903</v>
      </c>
      <c r="C650" s="209" t="s">
        <v>36</v>
      </c>
    </row>
    <row r="651" spans="1:3" ht="15" customHeight="1" x14ac:dyDescent="0.3">
      <c r="A651" s="210" t="s">
        <v>113</v>
      </c>
      <c r="B651" s="208">
        <f>FRACw.sdT+FRACs.sdT*Kp.sdT*RHOsolid/1000</f>
        <v>2.7215325239033903</v>
      </c>
      <c r="C651" s="209" t="s">
        <v>36</v>
      </c>
    </row>
    <row r="652" spans="1:3" ht="15" customHeight="1" x14ac:dyDescent="0.3">
      <c r="A652" s="210" t="s">
        <v>1111</v>
      </c>
      <c r="B652" s="208">
        <f>FRACw.sdC+FRACs.sdC*Kp.sd1C*RHOsolid/1000</f>
        <v>2.7215325239033903</v>
      </c>
      <c r="C652" s="209" t="s">
        <v>36</v>
      </c>
    </row>
    <row r="653" spans="1:3" ht="15" customHeight="1" x14ac:dyDescent="0.3">
      <c r="A653" s="210" t="s">
        <v>466</v>
      </c>
      <c r="B653" s="217">
        <f>FRACw.sdR+FRACs.sdR*Kp.sd1R*RHOsolid/1000</f>
        <v>2.7215325239033903</v>
      </c>
      <c r="C653" s="209" t="s">
        <v>36</v>
      </c>
    </row>
    <row r="654" spans="1:3" ht="15" customHeight="1" x14ac:dyDescent="0.3">
      <c r="A654" s="210" t="s">
        <v>1299</v>
      </c>
      <c r="B654" s="208">
        <f>FRACw.sdC+FRACs.sdC*Kp.sd2C*RHOsolid/1000</f>
        <v>2.7215325239033903</v>
      </c>
      <c r="C654" s="209" t="s">
        <v>36</v>
      </c>
    </row>
    <row r="655" spans="1:3" ht="15" customHeight="1" x14ac:dyDescent="0.3">
      <c r="A655" s="210" t="s">
        <v>1067</v>
      </c>
      <c r="B655" s="208">
        <f>FRACw.sdR+FRACs.sdR*Kp.sd2R*RHOsolid/1000</f>
        <v>2.7215325239033903</v>
      </c>
      <c r="C655" s="209" t="s">
        <v>36</v>
      </c>
    </row>
    <row r="656" spans="1:3" ht="15" customHeight="1" x14ac:dyDescent="0.3">
      <c r="A656" s="210" t="s">
        <v>2057</v>
      </c>
      <c r="B656" s="208">
        <f>FRACa.sA*(Kaw.A*FRorig.s1w)+FRACw.sA+FRACs.sA*Kp.sA*RHOsolid/1000</f>
        <v>2.5058390286845156</v>
      </c>
      <c r="C656" s="209" t="s">
        <v>36</v>
      </c>
    </row>
    <row r="657" spans="1:3" ht="15" customHeight="1" x14ac:dyDescent="0.3">
      <c r="A657" s="210" t="s">
        <v>2056</v>
      </c>
      <c r="B657" s="208">
        <f>FRACa.sM*(Kaw.M*FRorig.s1w)+FRACw.sM+FRACs.sM*Kp.sM*RHOsolid/1000</f>
        <v>2.5058390286986958</v>
      </c>
      <c r="C657" s="209" t="s">
        <v>36</v>
      </c>
    </row>
    <row r="658" spans="1:3" ht="15" customHeight="1" x14ac:dyDescent="0.3">
      <c r="A658" s="210" t="s">
        <v>2050</v>
      </c>
      <c r="B658" s="208">
        <f>FRACa.sT*(Kaw.T*FRorig.s1w)+FRACw.sT+FRACs.sT*Kp.sT*RHOsolid/1000</f>
        <v>2.5058390287740764</v>
      </c>
      <c r="C658" s="209" t="s">
        <v>36</v>
      </c>
    </row>
    <row r="659" spans="1:3" ht="15" customHeight="1" x14ac:dyDescent="0.3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3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3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3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3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3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3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3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3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3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3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3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3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3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3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3">
      <c r="A674" s="207" t="s">
        <v>420</v>
      </c>
      <c r="B674" s="208">
        <f>FRACinf.s1C*RAINrate.C/Ks1w.C*SYSTEMAREA.C*AREAFRAC.s1C*CORRleach.s1C</f>
        <v>17.845806660256134</v>
      </c>
      <c r="C674" s="209" t="s">
        <v>2072</v>
      </c>
    </row>
    <row r="675" spans="1:3" ht="15" customHeight="1" x14ac:dyDescent="0.3">
      <c r="A675" s="207" t="s">
        <v>1220</v>
      </c>
      <c r="B675" s="208">
        <f>FRACinf.s1R*RAINrate.R/Ks1w.R*SYSTEMAREA.R*AREAFRAC.s1R*CORRleach.s1R</f>
        <v>1.1701673135699697</v>
      </c>
      <c r="C675" s="209" t="s">
        <v>2072</v>
      </c>
    </row>
    <row r="676" spans="1:3" ht="15" customHeight="1" x14ac:dyDescent="0.3">
      <c r="A676" s="207" t="s">
        <v>421</v>
      </c>
      <c r="B676" s="208">
        <f>FRACinf.s2C*RAINrate.C/Ks2w.C*SYSTEMAREA.C*AREAFRAC.s2C*CORRleach.s2C</f>
        <v>72.184976698028123</v>
      </c>
      <c r="C676" s="209" t="s">
        <v>2072</v>
      </c>
    </row>
    <row r="677" spans="1:3" ht="15" customHeight="1" x14ac:dyDescent="0.3">
      <c r="A677" s="207" t="s">
        <v>1221</v>
      </c>
      <c r="B677" s="208">
        <f>FRACinf.s2R*RAINrate.R/Ks2w.R*SYSTEMAREA.R*AREAFRAC.s2R*CORRleach.s2R</f>
        <v>4.7332408039004328</v>
      </c>
      <c r="C677" s="209" t="s">
        <v>2072</v>
      </c>
    </row>
    <row r="678" spans="1:3" ht="15" customHeight="1" x14ac:dyDescent="0.3">
      <c r="A678" s="207" t="s">
        <v>422</v>
      </c>
      <c r="B678" s="208">
        <f>FRACinf.s3C*RAINrate.C/Ks3w.C*SYSTEMAREA.C*AREAFRAC.s3C*CORRleach.s3C</f>
        <v>6.609558022317084</v>
      </c>
      <c r="C678" s="209" t="s">
        <v>2072</v>
      </c>
    </row>
    <row r="679" spans="1:3" ht="15" customHeight="1" x14ac:dyDescent="0.3">
      <c r="A679" s="207" t="s">
        <v>1222</v>
      </c>
      <c r="B679" s="208">
        <f>FRACinf.s3R*RAINrate.R/Ks3w.R*SYSTEMAREA.R*AREAFRAC.s3R*CORRleach.s3R</f>
        <v>0.43339530132221105</v>
      </c>
      <c r="C679" s="209" t="s">
        <v>2072</v>
      </c>
    </row>
    <row r="680" spans="1:3" ht="15" customHeight="1" x14ac:dyDescent="0.3">
      <c r="A680" s="207" t="s">
        <v>876</v>
      </c>
      <c r="B680" s="208">
        <f>FRACinf.sA*RAINrate.A/Kslw.A*SYSTEMAREA.A*AREAFRAC.sA*CORRleach.sA</f>
        <v>115.1213464227789</v>
      </c>
      <c r="C680" s="209" t="s">
        <v>2072</v>
      </c>
    </row>
    <row r="681" spans="1:3" ht="15" customHeight="1" x14ac:dyDescent="0.3">
      <c r="A681" s="207" t="s">
        <v>783</v>
      </c>
      <c r="B681" s="217">
        <f>FRACinf.sM*RAINrate.M/Kslw.M*SYSTEMAREA.M*AREAFRAC.sM*CORRleach.sM</f>
        <v>735.41989171849912</v>
      </c>
      <c r="C681" s="209" t="s">
        <v>2072</v>
      </c>
    </row>
    <row r="682" spans="1:3" ht="15" customHeight="1" x14ac:dyDescent="0.3">
      <c r="A682" s="207" t="s">
        <v>1392</v>
      </c>
      <c r="B682" s="208">
        <f>FRACinf.sT*RAINrate.T/Kslw.T*SYSTEMAREA.T*AREAFRAC.sT*CORRleach.sT</f>
        <v>1346.9197530983733</v>
      </c>
      <c r="C682" s="209" t="s">
        <v>2072</v>
      </c>
    </row>
    <row r="683" spans="1:3" ht="15" customHeight="1" x14ac:dyDescent="0.3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3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3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3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3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3">
      <c r="A688" s="206" t="s">
        <v>2025</v>
      </c>
      <c r="B688" s="208">
        <f>0.1*KDEG.sA</f>
        <v>5.8200199506518189E-11</v>
      </c>
      <c r="C688" s="212" t="s">
        <v>2073</v>
      </c>
    </row>
    <row r="689" spans="1:3" ht="15" customHeight="1" x14ac:dyDescent="0.3">
      <c r="A689" s="206" t="s">
        <v>2033</v>
      </c>
      <c r="B689" s="215">
        <f>0.1*KDEG.s1C</f>
        <v>2.6741789373454676E-10</v>
      </c>
      <c r="C689" s="212" t="s">
        <v>2073</v>
      </c>
    </row>
    <row r="690" spans="1:3" ht="15" customHeight="1" x14ac:dyDescent="0.3">
      <c r="A690" s="206" t="s">
        <v>2041</v>
      </c>
      <c r="B690" s="208">
        <f>0.1*KDEG.sM</f>
        <v>2.6741789373454676E-10</v>
      </c>
      <c r="C690" s="212" t="s">
        <v>2073</v>
      </c>
    </row>
    <row r="691" spans="1:3" ht="15" customHeight="1" x14ac:dyDescent="0.3">
      <c r="A691" s="206" t="s">
        <v>2029</v>
      </c>
      <c r="B691" s="208">
        <f>0.1*KDEG.s1R</f>
        <v>2.6741789373454676E-10</v>
      </c>
      <c r="C691" s="212" t="s">
        <v>2073</v>
      </c>
    </row>
    <row r="692" spans="1:3" ht="15" customHeight="1" x14ac:dyDescent="0.3">
      <c r="A692" s="206" t="s">
        <v>2054</v>
      </c>
      <c r="B692" s="208">
        <f>0.1*KDEG.sT</f>
        <v>6.5846009179950351E-10</v>
      </c>
      <c r="C692" s="212" t="s">
        <v>2073</v>
      </c>
    </row>
    <row r="693" spans="1:3" ht="15" customHeight="1" x14ac:dyDescent="0.3">
      <c r="A693" s="206" t="s">
        <v>2022</v>
      </c>
      <c r="B693" s="208">
        <f>0.01*(0.3+0.2*WINDspeed.A)*((0.018/Molweight)^(0.67*0.5))</f>
        <v>3.8732601668996416E-3</v>
      </c>
      <c r="C693" s="211" t="s">
        <v>2073</v>
      </c>
    </row>
    <row r="694" spans="1:3" ht="15" customHeight="1" x14ac:dyDescent="0.3">
      <c r="A694" s="206" t="s">
        <v>2030</v>
      </c>
      <c r="B694" s="208">
        <f>0.01*(0.3+0.2*WINDspeed.C)*((0.018/Molweight)^(0.67*0.5))</f>
        <v>3.8732601668996416E-3</v>
      </c>
      <c r="C694" s="212" t="s">
        <v>2073</v>
      </c>
    </row>
    <row r="695" spans="1:3" ht="15" customHeight="1" x14ac:dyDescent="0.3">
      <c r="A695" s="206" t="s">
        <v>2038</v>
      </c>
      <c r="B695" s="208">
        <f>0.01*(0.3+0.2*WINDspeed.M)*((0.018/Molweight)^(0.67*0.5))</f>
        <v>3.8732601668996416E-3</v>
      </c>
      <c r="C695" s="211" t="s">
        <v>2073</v>
      </c>
    </row>
    <row r="696" spans="1:3" ht="15" customHeight="1" x14ac:dyDescent="0.3">
      <c r="A696" s="206" t="s">
        <v>2026</v>
      </c>
      <c r="B696" s="208">
        <f>0.01*(0.3+0.2*WINDspeed.R)*((0.018/Molweight)^(0.67*0.5))</f>
        <v>3.8732601668996416E-3</v>
      </c>
      <c r="C696" s="212" t="s">
        <v>2073</v>
      </c>
    </row>
    <row r="697" spans="1:3" ht="15" customHeight="1" x14ac:dyDescent="0.3">
      <c r="A697" s="206" t="s">
        <v>2051</v>
      </c>
      <c r="B697" s="208">
        <f>0.01*(0.3+0.2*WINDspeed.T)*((0.018/Molweight)^(0.67*0.5))</f>
        <v>3.8732601668996416E-3</v>
      </c>
      <c r="C697" s="211" t="s">
        <v>2073</v>
      </c>
    </row>
    <row r="698" spans="1:3" ht="15" customHeight="1" x14ac:dyDescent="0.3">
      <c r="A698" s="206" t="s">
        <v>2023</v>
      </c>
      <c r="B698" s="208">
        <f>0.01*(0.0004+0.00004*WINDspeed.A^2)*((0.032/Molweight)^(0.5*0.5))</f>
        <v>4.6776192822663505E-6</v>
      </c>
      <c r="C698" s="211" t="s">
        <v>2073</v>
      </c>
    </row>
    <row r="699" spans="1:3" ht="15" customHeight="1" x14ac:dyDescent="0.3">
      <c r="A699" s="206" t="s">
        <v>2031</v>
      </c>
      <c r="B699" s="208">
        <f>0.01*(0.0004+0.00004*WINDspeed.C^2)*((0.032/Molweight)^(0.5*0.5))</f>
        <v>4.6776192822663505E-6</v>
      </c>
      <c r="C699" s="212" t="s">
        <v>2073</v>
      </c>
    </row>
    <row r="700" spans="1:3" ht="15" customHeight="1" x14ac:dyDescent="0.3">
      <c r="A700" s="206" t="s">
        <v>2039</v>
      </c>
      <c r="B700" s="208">
        <f>0.01*(0.0004+0.00004*WINDspeed.M^2)*((0.032/Molweight)^(0.5*0.5))</f>
        <v>4.6776192822663505E-6</v>
      </c>
      <c r="C700" s="211" t="s">
        <v>2073</v>
      </c>
    </row>
    <row r="701" spans="1:3" ht="15" customHeight="1" x14ac:dyDescent="0.3">
      <c r="A701" s="206" t="s">
        <v>2027</v>
      </c>
      <c r="B701" s="208">
        <f>0.01*(0.0004+0.00004*WINDspeed.R^2)*((0.032/Molweight)^(0.5*0.5))</f>
        <v>4.6776192822663505E-6</v>
      </c>
      <c r="C701" s="212" t="s">
        <v>2073</v>
      </c>
    </row>
    <row r="702" spans="1:3" ht="15" customHeight="1" x14ac:dyDescent="0.3">
      <c r="A702" s="206" t="s">
        <v>2052</v>
      </c>
      <c r="B702" s="208">
        <f>0.01*(0.0004+0.00004*WINDspeed.T^2)*((0.032/Molweight)^(0.5*0.5))</f>
        <v>4.6776192822663505E-6</v>
      </c>
      <c r="C702" s="211" t="s">
        <v>2073</v>
      </c>
    </row>
    <row r="703" spans="1:3" ht="15" customHeight="1" x14ac:dyDescent="0.3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3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3">
      <c r="A705" s="210" t="s">
        <v>660</v>
      </c>
      <c r="B705" s="208">
        <v>0</v>
      </c>
      <c r="C705" s="212" t="s">
        <v>2073</v>
      </c>
    </row>
    <row r="706" spans="1:3" ht="15" customHeight="1" x14ac:dyDescent="0.3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3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3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3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3">
      <c r="A710" s="207" t="s">
        <v>1277</v>
      </c>
      <c r="B710" s="208">
        <v>150000000</v>
      </c>
      <c r="C710" s="206" t="s">
        <v>2072</v>
      </c>
    </row>
    <row r="711" spans="1:3" ht="15" customHeight="1" x14ac:dyDescent="0.3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3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3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3">
      <c r="A714" s="209" t="s">
        <v>644</v>
      </c>
      <c r="B714" s="208">
        <v>3</v>
      </c>
      <c r="C714" s="209" t="s">
        <v>36</v>
      </c>
    </row>
    <row r="715" spans="1:3" ht="15" customHeight="1" x14ac:dyDescent="0.3">
      <c r="A715" s="209" t="s">
        <v>219</v>
      </c>
      <c r="B715" s="208">
        <v>5</v>
      </c>
      <c r="C715" s="209" t="s">
        <v>36</v>
      </c>
    </row>
    <row r="716" spans="1:3" ht="15" customHeight="1" x14ac:dyDescent="0.3">
      <c r="A716" s="209" t="s">
        <v>220</v>
      </c>
      <c r="B716" s="208">
        <v>7</v>
      </c>
      <c r="C716" s="209" t="s">
        <v>36</v>
      </c>
    </row>
    <row r="717" spans="1:3" ht="15" customHeight="1" x14ac:dyDescent="0.3">
      <c r="A717" s="209" t="s">
        <v>221</v>
      </c>
      <c r="B717" s="208">
        <v>7</v>
      </c>
      <c r="C717" s="209" t="s">
        <v>36</v>
      </c>
    </row>
    <row r="718" spans="1:3" ht="15" customHeight="1" x14ac:dyDescent="0.3">
      <c r="A718" s="209" t="s">
        <v>218</v>
      </c>
      <c r="B718" s="208">
        <v>7</v>
      </c>
      <c r="C718" s="209" t="s">
        <v>36</v>
      </c>
    </row>
    <row r="719" spans="1:3" ht="15" customHeight="1" x14ac:dyDescent="0.3">
      <c r="A719" s="209" t="s">
        <v>222</v>
      </c>
      <c r="B719" s="208">
        <v>8</v>
      </c>
      <c r="C719" s="209" t="s">
        <v>36</v>
      </c>
    </row>
    <row r="720" spans="1:3" ht="15" customHeight="1" x14ac:dyDescent="0.3">
      <c r="A720" s="209" t="s">
        <v>1339</v>
      </c>
      <c r="B720" s="213">
        <v>7</v>
      </c>
      <c r="C720" s="209"/>
    </row>
    <row r="721" spans="1:3" ht="15" customHeight="1" x14ac:dyDescent="0.3">
      <c r="A721" s="206" t="s">
        <v>1348</v>
      </c>
      <c r="B721" s="215">
        <f>IF(Tm&gt;298,EXP(-6.79*(1-Tm/298))*Pvap25*EXP((H0vap/8.314)*(1/298-1/TEMP.A)),Pvap25*EXP((H0vap/8.314)*(1/298-1/TEMP.A)))</f>
        <v>5.411935583937301E-8</v>
      </c>
      <c r="C721" s="206" t="s">
        <v>487</v>
      </c>
    </row>
    <row r="722" spans="1:3" ht="15" customHeight="1" x14ac:dyDescent="0.3">
      <c r="A722" s="209" t="s">
        <v>1346</v>
      </c>
      <c r="B722" s="215">
        <f>IF(Tm&gt;298,EXP(-6.79*(1-Tm/298))*Pvap25*EXP((H0vap/8.314)*(1/298-1/TEMP.C)),Pvap25*EXP((H0vap/8.314)*(1/298-1/TEMP.C)))</f>
        <v>2.735181206242361E-6</v>
      </c>
      <c r="C722" s="209" t="s">
        <v>487</v>
      </c>
    </row>
    <row r="723" spans="1:3" ht="15" customHeight="1" x14ac:dyDescent="0.3">
      <c r="A723" s="209" t="s">
        <v>1347</v>
      </c>
      <c r="B723" s="208">
        <f>IF(Tm&gt;298,EXP(-6.79*(1-Tm/298))*Pvap25*EXP((H0vap/8.314)*(1/298-1/TEMP.M)),Pvap25*EXP((H0vap/8.314)*(1/298-1/TEMP.M)))</f>
        <v>2.735181206242361E-6</v>
      </c>
      <c r="C723" s="209" t="s">
        <v>487</v>
      </c>
    </row>
    <row r="724" spans="1:3" ht="15" customHeight="1" x14ac:dyDescent="0.3">
      <c r="A724" s="206" t="s">
        <v>1363</v>
      </c>
      <c r="B724" s="215">
        <f>IF(Tm&gt;298,EXP(-6.79*(1-Tm/298))*Pvap25*EXP((H0vap/8.314)*(1/298-1/TEMP.R)),Pvap25*EXP((H0vap/8.314)*(1/298-1/TEMP.R)))</f>
        <v>2.735181206242361E-6</v>
      </c>
      <c r="C724" s="206" t="s">
        <v>487</v>
      </c>
    </row>
    <row r="725" spans="1:3" ht="15" customHeight="1" x14ac:dyDescent="0.3">
      <c r="A725" s="209" t="s">
        <v>1349</v>
      </c>
      <c r="B725" s="215">
        <f>IF(Tm&gt;298,EXP(-6.79*(1-Tm/298))*Pvap25*EXP((H0vap/8.314)*(1/298-1/TEMP.T)),Pvap25*EXP((H0vap/8.314)*(1/298-1/TEMP.T)))</f>
        <v>2.115645602555191E-5</v>
      </c>
      <c r="C725" s="209" t="s">
        <v>487</v>
      </c>
    </row>
    <row r="726" spans="1:3" ht="15" customHeight="1" x14ac:dyDescent="0.3">
      <c r="A726" s="209" t="s">
        <v>267</v>
      </c>
      <c r="B726" s="213">
        <v>2</v>
      </c>
      <c r="C726" s="209" t="s">
        <v>36</v>
      </c>
    </row>
    <row r="727" spans="1:3" ht="15" customHeight="1" x14ac:dyDescent="0.3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3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3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3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3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3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3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3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3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3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3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3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3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3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3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3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3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3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3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3">
      <c r="A746" s="206" t="s">
        <v>1544</v>
      </c>
      <c r="B746" s="208">
        <v>2000</v>
      </c>
      <c r="C746" s="209" t="s">
        <v>2086</v>
      </c>
    </row>
    <row r="747" spans="1:3" ht="15" customHeight="1" x14ac:dyDescent="0.3">
      <c r="A747" s="210" t="s">
        <v>985</v>
      </c>
      <c r="B747" s="213">
        <v>2500</v>
      </c>
      <c r="C747" s="209" t="s">
        <v>2086</v>
      </c>
    </row>
    <row r="748" spans="1:3" ht="15" customHeight="1" x14ac:dyDescent="0.3">
      <c r="A748" s="207" t="s">
        <v>568</v>
      </c>
      <c r="B748" s="208">
        <f>(RAINrate.C*FRACrun.s1C/Ks1w.C+EROSION.s1C)*SYSTEMAREA.C*AREAFRAC.s1C*CORRrunoff.s1C</f>
        <v>2649.690288267946</v>
      </c>
      <c r="C748" s="209" t="s">
        <v>2072</v>
      </c>
    </row>
    <row r="749" spans="1:3" ht="15" customHeight="1" x14ac:dyDescent="0.3">
      <c r="A749" s="207" t="s">
        <v>977</v>
      </c>
      <c r="B749" s="208">
        <f>(RAINrate.R*FRACrun.s1R/Ks1w.R+EROSION.s1R)*SYSTEMAREA.R*AREAFRAC.s1R*CORRrunoff.s1R</f>
        <v>173.74283076371958</v>
      </c>
      <c r="C749" s="209" t="s">
        <v>2072</v>
      </c>
    </row>
    <row r="750" spans="1:3" ht="15" customHeight="1" x14ac:dyDescent="0.3">
      <c r="A750" s="207" t="s">
        <v>569</v>
      </c>
      <c r="B750" s="208">
        <f>(RAINrate.C*FRACrun.s2C/Ks2w.C+EROSION.s2C)*SYSTEMAREA.C*AREAFRAC.s2C*CORRrunoff.s2C</f>
        <v>10717.802526773978</v>
      </c>
      <c r="C750" s="209" t="s">
        <v>2072</v>
      </c>
    </row>
    <row r="751" spans="1:3" ht="15" customHeight="1" x14ac:dyDescent="0.3">
      <c r="A751" s="207" t="s">
        <v>978</v>
      </c>
      <c r="B751" s="208">
        <f>(RAINrate.R*FRACrun.s2R/Ks2w.R+EROSION.s2R)*SYSTEMAREA.R*AREAFRAC.s2R*CORRrunoff.s2R</f>
        <v>702.7769844699493</v>
      </c>
      <c r="C751" s="209" t="s">
        <v>2072</v>
      </c>
    </row>
    <row r="752" spans="1:3" ht="15" customHeight="1" x14ac:dyDescent="0.3">
      <c r="A752" s="207" t="s">
        <v>1096</v>
      </c>
      <c r="B752" s="208">
        <f>(RAINrate.C*FRACrun.s3C/Ks3w.C+EROSION.s3C)*SYSTEMAREA.C*AREAFRAC.s3C*CORRrunoff.s3C</f>
        <v>981.36677343257213</v>
      </c>
      <c r="C752" s="209" t="s">
        <v>2072</v>
      </c>
    </row>
    <row r="753" spans="1:3" ht="15" customHeight="1" x14ac:dyDescent="0.3">
      <c r="A753" s="207" t="s">
        <v>1095</v>
      </c>
      <c r="B753" s="208">
        <f>(RAINrate.R*FRACrun.s3R/Ks3w.R+EROSION.s3R)*SYSTEMAREA.R*AREAFRAC.s3R*CORRrunoff.s3R</f>
        <v>64.349196579155389</v>
      </c>
      <c r="C753" s="209" t="s">
        <v>2072</v>
      </c>
    </row>
    <row r="754" spans="1:3" ht="15" customHeight="1" x14ac:dyDescent="0.3">
      <c r="A754" s="207" t="s">
        <v>921</v>
      </c>
      <c r="B754" s="208">
        <f>(RAINrate.A*FRACrun.sA/Kslw.A+EROSION.sA)*SYSTEMAREA.A*AREAFRAC.sA*CORRrunoff.sA</f>
        <v>17106.073216161451</v>
      </c>
      <c r="C754" s="206" t="s">
        <v>2072</v>
      </c>
    </row>
    <row r="755" spans="1:3" ht="15" customHeight="1" x14ac:dyDescent="0.3">
      <c r="A755" s="207" t="s">
        <v>920</v>
      </c>
      <c r="B755" s="208">
        <f>(RAINrate.M*FRACrun.sM/Kslw.M+EROSION.sM)*SYSTEMAREA.M*AREAFRAC.sM*CORRrunoff.sM</f>
        <v>109192.8755019698</v>
      </c>
      <c r="C755" s="206" t="s">
        <v>2072</v>
      </c>
    </row>
    <row r="756" spans="1:3" ht="15" customHeight="1" x14ac:dyDescent="0.3">
      <c r="A756" s="207" t="s">
        <v>922</v>
      </c>
      <c r="B756" s="208">
        <f>(RAINrate.T*FRACrun.sT/Kslw.T+EROSION.sT)*SYSTEMAREA.T*AREAFRAC.sT*CORRrunoff.sT</f>
        <v>199946.85427017516</v>
      </c>
      <c r="C756" s="206" t="s">
        <v>2072</v>
      </c>
    </row>
    <row r="757" spans="1:3" ht="15" customHeight="1" x14ac:dyDescent="0.3">
      <c r="A757" s="207" t="s">
        <v>14</v>
      </c>
      <c r="B757" s="208">
        <f>(GROSSSEDrate.w1C*FRACs.sdC*RHOsolid/SUSP.w1C)*((Kp.susp1C*SUSP.w1C/1000)*FRw.w1C)*(SYSTEMAREA.C*AREAFRAC.w1C)</f>
        <v>319.74942576391277</v>
      </c>
      <c r="C757" s="209" t="s">
        <v>2072</v>
      </c>
    </row>
    <row r="758" spans="1:3" ht="15" customHeight="1" x14ac:dyDescent="0.3">
      <c r="A758" s="207" t="s">
        <v>884</v>
      </c>
      <c r="B758" s="208">
        <f>(GROSSSEDrate.w1R*FRACs.sdR*RHOsolid/SUSP.w1R)*((Kp.susp1R*SUSP.w1R/1000)*FRw.w1R)*(SYSTEMAREA.R*AREAFRAC.w1R)</f>
        <v>20.966288253866367</v>
      </c>
      <c r="C758" s="209" t="s">
        <v>2072</v>
      </c>
    </row>
    <row r="759" spans="1:3" ht="15" customHeight="1" x14ac:dyDescent="0.3">
      <c r="A759" s="207" t="s">
        <v>1060</v>
      </c>
      <c r="B759" s="208">
        <f>(GROSSSEDrate.w2C*FRACs.sdC*RHOsolid/SUSP.w2C)*((Kp.susp2C*SUSP.w2C/1000)*FRw.w2C)*(SYSTEMAREA.C*AREAFRAC.w2C)</f>
        <v>4129.0929138772444</v>
      </c>
      <c r="C759" s="209" t="s">
        <v>2072</v>
      </c>
    </row>
    <row r="760" spans="1:3" ht="15" customHeight="1" x14ac:dyDescent="0.3">
      <c r="A760" s="207" t="s">
        <v>505</v>
      </c>
      <c r="B760" s="208">
        <f>(GROSSSEDrate.w2R*FRACs.sdR*RHOsolid/SUSP.w2R)*((Kp.susp2R*SUSP.w2R/1000)*FRw.w2R)*(SYSTEMAREA.R*AREAFRAC.w2R)</f>
        <v>1.1119410229081219</v>
      </c>
      <c r="C760" s="209" t="s">
        <v>2072</v>
      </c>
    </row>
    <row r="761" spans="1:3" ht="15" customHeight="1" x14ac:dyDescent="0.3">
      <c r="A761" s="207" t="s">
        <v>160</v>
      </c>
      <c r="B761" s="208">
        <f>(GROSSSEDrate.w3A*FRACs.sdA*RHOsolid/SUSP.w3A)*((Kp.susp3A*SUSP.w3A/1000)*FRw.w3A)*(SYSTEMAREA.A*AREAFRAC.wA)</f>
        <v>28354.496084157079</v>
      </c>
      <c r="C761" s="206" t="s">
        <v>2072</v>
      </c>
    </row>
    <row r="762" spans="1:3" ht="15" customHeight="1" x14ac:dyDescent="0.3">
      <c r="A762" s="207" t="s">
        <v>152</v>
      </c>
      <c r="B762" s="208">
        <f>(GROSSSEDrate.w3M*FRACs.sdM*RHOsolid/SUSP.w3M)*((Kp.susp3M*SUSP.w3M/1000)*FRw.w3M)*(SYSTEMAREA.M*AREAFRAC.wM)</f>
        <v>43127.288618694976</v>
      </c>
      <c r="C762" s="206" t="s">
        <v>2072</v>
      </c>
    </row>
    <row r="763" spans="1:3" ht="15" customHeight="1" x14ac:dyDescent="0.3">
      <c r="A763" s="207" t="s">
        <v>155</v>
      </c>
      <c r="B763" s="208">
        <f>(GROSSSEDrate.w3T*FRACs.sdT*RHOsolid/SUSP.w3T)*((Kp.susp3T*SUSP.w3T/1000)*FRw.w3T)*(SYSTEMAREA.T*AREAFRAC.wT)</f>
        <v>99240.736294549773</v>
      </c>
      <c r="C763" s="206" t="s">
        <v>2072</v>
      </c>
    </row>
    <row r="764" spans="1:3" ht="15" customHeight="1" x14ac:dyDescent="0.3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3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3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3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3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3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3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3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3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3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3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3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3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3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3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3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3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3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3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3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3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3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3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3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3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3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3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3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3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3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3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3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3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3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3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3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3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3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3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3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3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3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3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3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3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3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3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3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3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3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3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3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3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3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3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3">
      <c r="A819" s="207" t="s">
        <v>1385</v>
      </c>
      <c r="B819" s="208">
        <f>(MTCas.air.aC*MTCas.soil.sC)/(MTCas.air.aC+MTCas.soil.sC/((Kaw.C*FRorig.s1w)/Ks1w.C))*SYSTEMAREA.C*AREAFRAC.s1C*CORRvolat.s1C</f>
        <v>3.656863691349959E-2</v>
      </c>
      <c r="C819" s="209" t="s">
        <v>2072</v>
      </c>
    </row>
    <row r="820" spans="1:3" ht="15" customHeight="1" x14ac:dyDescent="0.3">
      <c r="A820" s="207" t="s">
        <v>739</v>
      </c>
      <c r="B820" s="208">
        <f>(MTCas.air.aR*MTCas.soil.sR)/(MTCas.air.aR+MTCas.soil.sR/((Kaw.R*FRorig.s1w)/Ks1w.R))*SYSTEMAREA.R*AREAFRAC.s1R*CORRvolat.s1R</f>
        <v>2.3978419374723454E-3</v>
      </c>
      <c r="C820" s="209" t="s">
        <v>2072</v>
      </c>
    </row>
    <row r="821" spans="1:3" ht="15" customHeight="1" x14ac:dyDescent="0.3">
      <c r="A821" s="207" t="s">
        <v>1238</v>
      </c>
      <c r="B821" s="208">
        <f>(MTCas.air.aC*MTCas.soil.sC)/(MTCas.air.aC+MTCas.soil.sC/((Kaw.C*FRorig.s2w)/Ks2w.C))*SYSTEMAREA.C*AREAFRAC.s2C*CORRvolat.s2C</f>
        <v>0.14791744938929716</v>
      </c>
      <c r="C821" s="209" t="s">
        <v>2072</v>
      </c>
    </row>
    <row r="822" spans="1:3" ht="15" customHeight="1" x14ac:dyDescent="0.3">
      <c r="A822" s="207" t="s">
        <v>741</v>
      </c>
      <c r="B822" s="208">
        <f>(MTCas.air.aR*MTCas.soil.sR)/(MTCas.air.aR+MTCas.soil.sR/((Kaw.R*FRorig.s2w)/Ks2w.R))*SYSTEMAREA.R*AREAFRAC.s2R*CORRvolat.s2R</f>
        <v>9.699094452674719E-3</v>
      </c>
      <c r="C822" s="209" t="s">
        <v>2072</v>
      </c>
    </row>
    <row r="823" spans="1:3" ht="15" customHeight="1" x14ac:dyDescent="0.3">
      <c r="A823" s="207" t="s">
        <v>473</v>
      </c>
      <c r="B823" s="208">
        <f>(MTCas.air.aC*MTCas.soil.sC)/(MTCas.air.aC+MTCas.soil.sC/((Kaw.C*FRorig.s3w)/Ks3w.C))*SYSTEMAREA.C*AREAFRAC.s3C*CORRvolat.s3C</f>
        <v>1.3543939597592435E-2</v>
      </c>
      <c r="C823" s="209" t="s">
        <v>2072</v>
      </c>
    </row>
    <row r="824" spans="1:3" ht="15" customHeight="1" x14ac:dyDescent="0.3">
      <c r="A824" s="207" t="s">
        <v>1172</v>
      </c>
      <c r="B824" s="208">
        <f>(MTCas.air.aR*MTCas.soil.sR)/(MTCas.air.aR+MTCas.soil.sR/((Kaw.R*FRorig.s3w)/Ks3w.R))*SYSTEMAREA.R*AREAFRAC.s3R*CORRvolat.s3R</f>
        <v>8.880896064712389E-4</v>
      </c>
      <c r="C824" s="209" t="s">
        <v>2072</v>
      </c>
    </row>
    <row r="825" spans="1:3" ht="15" customHeight="1" x14ac:dyDescent="0.3">
      <c r="A825" s="207" t="s">
        <v>1232</v>
      </c>
      <c r="B825" s="208">
        <f>((MTCas.air.aA*MTCas.soil.sA)/(MTCas.air.aA+MTCas.soil.sA/((Kaw.A*FRorig.s1w)/Kslw.A))*(SYSTEMAREA.A*AREAFRAC.sA*CORRvolat.sA))</f>
        <v>2.0160622515919567E-2</v>
      </c>
      <c r="C825" s="206" t="s">
        <v>2072</v>
      </c>
    </row>
    <row r="826" spans="1:3" ht="15" customHeight="1" x14ac:dyDescent="0.3">
      <c r="A826" s="207" t="s">
        <v>1331</v>
      </c>
      <c r="B826" s="208">
        <f>((MTCas.air.aM*MTCas.soil.sM/(MTCas.air.aM+MTCas.soil.sM/((Kaw.M*FRorig.s1w)/Kslw.M))*(SYSTEMAREA.M*AREAFRAC.sM*CORRvolat.sM)))</f>
        <v>1.5069816406289023</v>
      </c>
      <c r="C826" s="206" t="s">
        <v>2072</v>
      </c>
    </row>
    <row r="827" spans="1:3" ht="15" customHeight="1" x14ac:dyDescent="0.3">
      <c r="A827" s="207" t="s">
        <v>1380</v>
      </c>
      <c r="B827" s="208">
        <f>((MTCas.air.aT*MTCas.soil.sT/(MTCas.air.aT+MTCas.soil.sT/((Kaw.T*FRorig.s1w)/Kslw.T))*(SYSTEMAREA.T*AREAFRAC.sT*CORRvolat.sT)))</f>
        <v>9.1437210945222809</v>
      </c>
      <c r="C827" s="206" t="s">
        <v>2072</v>
      </c>
    </row>
    <row r="828" spans="1:3" ht="15" customHeight="1" x14ac:dyDescent="0.3">
      <c r="A828" s="207" t="s">
        <v>352</v>
      </c>
      <c r="B828" s="208">
        <f>(MTCaw.air.aC*MTCaw.water.wC/(FRorig.w1*MTCaw.air.aC*Kaw.C+MTCaw.water.wC))*Kaw.C*(FRw.w0C*FRorig.w1)*(SYSTEMAREA.C*AREAFRAC.w0C)</f>
        <v>2.4685222700358105E-3</v>
      </c>
      <c r="C828" s="209" t="s">
        <v>2072</v>
      </c>
    </row>
    <row r="829" spans="1:3" ht="15" customHeight="1" x14ac:dyDescent="0.3">
      <c r="A829" s="207" t="s">
        <v>303</v>
      </c>
      <c r="B829" s="208">
        <f>(MTCaw.air.aR*MTCaw.water.wR/(MTCaw.air.aR*(Kaw.R*FRorig.w1)+MTCaw.water.wR))*(Kaw.R*FRorig.w1)*FRw.w0R*(SYSTEMAREA.R*AREAFRAC.w0R)</f>
        <v>1.6186346340109852E-4</v>
      </c>
      <c r="C829" s="209" t="s">
        <v>2072</v>
      </c>
    </row>
    <row r="830" spans="1:3" ht="15" customHeight="1" x14ac:dyDescent="0.3">
      <c r="A830" s="207" t="s">
        <v>1381</v>
      </c>
      <c r="B830" s="208">
        <f>(MTCaw.air.aC*MTCaw.water.wC/(FRorig.w1*MTCaw.air.aC*Kaw.C+MTCaw.water.wC))*Kaw.C*(FRw.w1C*FRorig.w1)*(SYSTEMAREA.C*AREAFRAC.w1C)</f>
        <v>2.7150719103344961E-2</v>
      </c>
      <c r="C830" s="209" t="s">
        <v>2072</v>
      </c>
    </row>
    <row r="831" spans="1:3" ht="15" customHeight="1" x14ac:dyDescent="0.3">
      <c r="A831" s="207" t="s">
        <v>771</v>
      </c>
      <c r="B831" s="208">
        <f>(MTCaw.air.aR*MTCaw.water.wR/(MTCaw.air.aR*(Kaw.R*FRorig.w1)+MTCaw.water.wR))*(Kaw.R*FRorig.w1)*FRw.w1R*(SYSTEMAREA.R*AREAFRAC.w1R)</f>
        <v>1.7802996882965248E-3</v>
      </c>
      <c r="C831" s="209" t="s">
        <v>2072</v>
      </c>
    </row>
    <row r="832" spans="1:3" ht="15" customHeight="1" x14ac:dyDescent="0.3">
      <c r="A832" s="207" t="s">
        <v>1163</v>
      </c>
      <c r="B832" s="208">
        <f>(MTCaw.air.aA*MTCaw.water.wA/(FRorig.w1*MTCaw.air.aA*Kaw.A+MTCaw.water.wA))*Kaw.A*(FRw.w2A*FRorig.w1)*(SYSTEMAREA.A*AREAFRAC.wA)</f>
        <v>0.2204395621227965</v>
      </c>
      <c r="C832" s="206" t="s">
        <v>2072</v>
      </c>
    </row>
    <row r="833" spans="1:3" ht="15" customHeight="1" x14ac:dyDescent="0.3">
      <c r="A833" s="207" t="s">
        <v>1383</v>
      </c>
      <c r="B833" s="208">
        <f>(MTCaw.air.aC*MTCaw.water.wC/(FRorig.w2*MTCaw.air.aC*Kaw.C+MTCaw.water.wC))*Kaw.C*(FRw.w2C*FRorig.w2)*(SYSTEMAREA.C*AREAFRAC.w2C)</f>
        <v>1.05183465072805</v>
      </c>
      <c r="C833" s="209" t="s">
        <v>2072</v>
      </c>
    </row>
    <row r="834" spans="1:3" ht="15" customHeight="1" x14ac:dyDescent="0.3">
      <c r="A834" s="207" t="s">
        <v>146</v>
      </c>
      <c r="B834" s="208">
        <f>(MTCaw.air.aM*MTCaw.water.wM/(FRorig.w1*MTCaw.air.aM*Kaw.M+MTCaw.water.wM))*Kaw.M*(FRw.w2M*FRorig.w1)*(SYSTEMAREA.M*AREAFRAC.wM)</f>
        <v>10.986136061175941</v>
      </c>
      <c r="C834" s="206" t="s">
        <v>2072</v>
      </c>
    </row>
    <row r="835" spans="1:3" ht="15" customHeight="1" x14ac:dyDescent="0.3">
      <c r="A835" s="207" t="s">
        <v>737</v>
      </c>
      <c r="B835" s="208">
        <f>(MTCaw.air.aR*MTCaw.water.wR/(MTCaw.air.aR*(Kaw.R*FRorig.w2)+MTCaw.water.wR))*(Kaw.R*FRorig.w2)*FRw.w2R*(SYSTEMAREA.R*AREAFRAC.w2R)</f>
        <v>2.8325303446914051E-4</v>
      </c>
      <c r="C835" s="209" t="s">
        <v>2072</v>
      </c>
    </row>
    <row r="836" spans="1:3" ht="15" customHeight="1" x14ac:dyDescent="0.3">
      <c r="A836" s="207" t="s">
        <v>1134</v>
      </c>
      <c r="B836" s="208">
        <f>(MTCaw.air.aT*MTCaw.water.wT/(FRorig.w1*MTCaw.air.aT*Kaw.T+MTCaw.water.wT))*Kaw.T*(FRw.w2T*FRorig.w1)*(SYSTEMAREA.T*AREAFRAC.wT)</f>
        <v>155.56470400879081</v>
      </c>
      <c r="C836" s="206" t="s">
        <v>2072</v>
      </c>
    </row>
    <row r="837" spans="1:3" ht="15" customHeight="1" x14ac:dyDescent="0.3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3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3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3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3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3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3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3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3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3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3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3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3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3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3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3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3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3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3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3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3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3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3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3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3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3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3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3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3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3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3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3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3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3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3">
      <c r="A871" s="210" t="s">
        <v>334</v>
      </c>
      <c r="B871" s="208">
        <v>0</v>
      </c>
      <c r="C871" s="209" t="s">
        <v>2072</v>
      </c>
    </row>
    <row r="872" spans="1:3" ht="15" customHeight="1" x14ac:dyDescent="0.3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3">
      <c r="A873" s="210" t="s">
        <v>315</v>
      </c>
      <c r="B873" s="208">
        <v>0</v>
      </c>
      <c r="C873" s="209" t="s">
        <v>2072</v>
      </c>
    </row>
    <row r="874" spans="1:3" ht="15" customHeight="1" x14ac:dyDescent="0.3">
      <c r="A874" s="210" t="s">
        <v>335</v>
      </c>
      <c r="B874" s="208">
        <v>0</v>
      </c>
      <c r="C874" s="209" t="s">
        <v>2072</v>
      </c>
    </row>
    <row r="875" spans="1:3" ht="15" customHeight="1" x14ac:dyDescent="0.3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3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3">
      <c r="A877" s="210" t="s">
        <v>322</v>
      </c>
      <c r="B877" s="208">
        <v>0</v>
      </c>
      <c r="C877" s="209" t="s">
        <v>2072</v>
      </c>
    </row>
    <row r="878" spans="1:3" ht="15" customHeight="1" x14ac:dyDescent="0.3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3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3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3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3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3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3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3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3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3">
      <c r="A887" s="207" t="s">
        <v>407</v>
      </c>
      <c r="B887" s="208">
        <v>3</v>
      </c>
      <c r="C887" s="211" t="s">
        <v>2073</v>
      </c>
    </row>
    <row r="888" spans="1:3" ht="15" customHeight="1" x14ac:dyDescent="0.3">
      <c r="A888" s="206" t="s">
        <v>787</v>
      </c>
      <c r="B888" s="213">
        <v>3</v>
      </c>
      <c r="C888" s="206" t="s">
        <v>1490</v>
      </c>
    </row>
    <row r="889" spans="1:3" ht="15" customHeight="1" x14ac:dyDescent="0.3">
      <c r="A889" s="207" t="s">
        <v>567</v>
      </c>
      <c r="B889" s="208">
        <v>3</v>
      </c>
      <c r="C889" s="211" t="s">
        <v>2073</v>
      </c>
    </row>
    <row r="890" spans="1:3" ht="15" customHeight="1" x14ac:dyDescent="0.3">
      <c r="A890" s="206" t="s">
        <v>109</v>
      </c>
      <c r="B890" s="213">
        <v>3</v>
      </c>
      <c r="C890" s="206" t="s">
        <v>1490</v>
      </c>
    </row>
    <row r="891" spans="1:3" ht="15" customHeight="1" x14ac:dyDescent="0.3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2025-03-27T15:42:12Z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