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GitProjects\SBooScripts\vignettes\Development\Quality control\SBExcel\"/>
    </mc:Choice>
  </mc:AlternateContent>
  <xr:revisionPtr revIDLastSave="0" documentId="13_ncr:1_{170D2536-D94D-457D-BE37-95DFFD1EC0C9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cases!$J$3:$S$1017</definedName>
    <definedName name="CaseName">input!$L$10</definedName>
    <definedName name="CaseNames">cases!$J$3:$S$3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253" i="8" l="1"/>
  <c r="L146" i="3"/>
  <c r="C3" i="1"/>
  <c r="B3" i="1"/>
  <c r="I332" i="18"/>
  <c r="I333" i="18"/>
  <c r="I334" i="18"/>
  <c r="I557" i="18"/>
  <c r="I558" i="18"/>
  <c r="I559" i="18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103" i="7" l="1"/>
  <c r="J178" i="7"/>
  <c r="J178" i="6"/>
  <c r="J177" i="6"/>
  <c r="J176" i="6"/>
  <c r="J175" i="6"/>
  <c r="J171" i="6"/>
  <c r="J181" i="6"/>
  <c r="J170" i="6"/>
  <c r="J169" i="6"/>
  <c r="J179" i="6"/>
  <c r="J179" i="7"/>
  <c r="J180" i="7"/>
  <c r="J183" i="6"/>
  <c r="J182" i="6"/>
  <c r="J180" i="6"/>
  <c r="J397" i="8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L181" i="6" l="1"/>
  <c r="L183" i="6"/>
  <c r="F6" i="20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L253" i="8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497" i="22" s="1"/>
  <c r="K52" i="6"/>
  <c r="L203" i="8"/>
  <c r="B881" i="22" l="1"/>
  <c r="K50" i="6"/>
  <c r="L50" i="6" s="1"/>
  <c r="F12" i="11" s="1"/>
  <c r="K60" i="7"/>
  <c r="L60" i="7" s="1"/>
  <c r="B885" i="22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8" i="7" l="1"/>
  <c r="L58" i="7" s="1"/>
  <c r="P12" i="11" s="1"/>
  <c r="K56" i="6"/>
  <c r="L56" i="6" s="1"/>
  <c r="K51" i="6" s="1"/>
  <c r="L51" i="6" s="1"/>
  <c r="B506" i="22"/>
  <c r="L52" i="6"/>
  <c r="L306" i="8"/>
  <c r="K169" i="8"/>
  <c r="B408" i="22"/>
  <c r="B880" i="22" l="1"/>
  <c r="K61" i="7"/>
  <c r="L61" i="7" s="1"/>
  <c r="B883" i="22" s="1"/>
  <c r="B516" i="22"/>
  <c r="B872" i="22"/>
  <c r="G21" i="11"/>
  <c r="K47" i="6"/>
  <c r="L47" i="6" s="1"/>
  <c r="B485" i="22"/>
  <c r="B435" i="22"/>
  <c r="K305" i="8"/>
  <c r="K59" i="7" l="1"/>
  <c r="L59" i="7" s="1"/>
  <c r="P28" i="11" s="1"/>
  <c r="B505" i="22"/>
  <c r="K35" i="8"/>
  <c r="L35" i="8" s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5" i="3"/>
  <c r="L15" i="3" s="1"/>
  <c r="J19" i="3"/>
  <c r="J14" i="3"/>
  <c r="L14" i="3" s="1"/>
  <c r="J35" i="3"/>
  <c r="L35" i="3" s="1"/>
  <c r="J37" i="3"/>
  <c r="J39" i="3"/>
  <c r="L39" i="3" s="1"/>
  <c r="J22" i="3"/>
  <c r="L22" i="3" s="1"/>
  <c r="J66" i="6"/>
  <c r="J17" i="3"/>
  <c r="J20" i="3"/>
  <c r="L20" i="3" s="1"/>
  <c r="J60" i="6"/>
  <c r="J66" i="3"/>
  <c r="L66" i="3" s="1"/>
  <c r="J108" i="6"/>
  <c r="J126" i="6"/>
  <c r="J62" i="6"/>
  <c r="J75" i="3"/>
  <c r="L75" i="3"/>
  <c r="K209" i="6" s="1"/>
  <c r="L209" i="6" s="1"/>
  <c r="J127" i="6"/>
  <c r="J128" i="6"/>
  <c r="J109" i="6"/>
  <c r="J110" i="6"/>
  <c r="J111" i="6"/>
  <c r="J112" i="6"/>
  <c r="J113" i="6"/>
  <c r="J72" i="6"/>
  <c r="J78" i="6"/>
  <c r="J70" i="3"/>
  <c r="L70" i="3" s="1"/>
  <c r="J74" i="3"/>
  <c r="L74" i="3" s="1"/>
  <c r="K214" i="7" s="1"/>
  <c r="L214" i="7" s="1"/>
  <c r="K198" i="7" s="1"/>
  <c r="L198" i="7" s="1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K138" i="8"/>
  <c r="L138" i="8" s="1"/>
  <c r="B690" i="22" s="1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K410" i="8"/>
  <c r="L410" i="8" s="1"/>
  <c r="B692" i="22" s="1"/>
  <c r="J359" i="8"/>
  <c r="J360" i="8"/>
  <c r="J349" i="8"/>
  <c r="J325" i="8"/>
  <c r="J326" i="8"/>
  <c r="B567" i="22"/>
  <c r="B465" i="22"/>
  <c r="B557" i="22"/>
  <c r="B569" i="22"/>
  <c r="B570" i="22"/>
  <c r="B556" i="22"/>
  <c r="B558" i="22"/>
  <c r="B555" i="22"/>
  <c r="B561" i="22"/>
  <c r="B560" i="22"/>
  <c r="B559" i="22"/>
  <c r="A6" i="2"/>
  <c r="L6" i="2"/>
  <c r="I6" i="2"/>
  <c r="J6" i="2"/>
  <c r="E6" i="2"/>
  <c r="BQ12" i="23"/>
  <c r="Y6" i="2"/>
  <c r="Z6" i="2"/>
  <c r="O6" i="2"/>
  <c r="B6" i="2"/>
  <c r="V6" i="2"/>
  <c r="H6" i="2"/>
  <c r="F6" i="2"/>
  <c r="R6" i="2"/>
  <c r="K6" i="2"/>
  <c r="X6" i="2"/>
  <c r="N6" i="2"/>
  <c r="G6" i="2"/>
  <c r="D6" i="2"/>
  <c r="BP12" i="23"/>
  <c r="Q6" i="2"/>
  <c r="C6" i="2"/>
  <c r="W6" i="2"/>
  <c r="T6" i="2"/>
  <c r="U6" i="2"/>
  <c r="S6" i="2"/>
  <c r="P6" i="2"/>
  <c r="M6" i="2"/>
  <c r="I58" i="3"/>
  <c r="J63" i="3"/>
  <c r="I51" i="3"/>
  <c r="J52" i="3"/>
  <c r="I64" i="3"/>
  <c r="I48" i="3"/>
  <c r="I46" i="3"/>
  <c r="I53" i="3"/>
  <c r="J57" i="3"/>
  <c r="J51" i="3"/>
  <c r="I60" i="3"/>
  <c r="J42" i="3"/>
  <c r="I55" i="3"/>
  <c r="J47" i="3"/>
  <c r="J61" i="3"/>
  <c r="J64" i="3"/>
  <c r="J62" i="3"/>
  <c r="I47" i="3"/>
  <c r="I57" i="3"/>
  <c r="J59" i="3"/>
  <c r="J58" i="3"/>
  <c r="J50" i="3"/>
  <c r="J48" i="3"/>
  <c r="I56" i="3"/>
  <c r="J55" i="3"/>
  <c r="I44" i="3"/>
  <c r="J46" i="3"/>
  <c r="I63" i="3"/>
  <c r="I42" i="3"/>
  <c r="J53" i="3"/>
  <c r="I49" i="3"/>
  <c r="I52" i="3"/>
  <c r="I59" i="3"/>
  <c r="J54" i="3"/>
  <c r="I54" i="3"/>
  <c r="I61" i="3"/>
  <c r="J60" i="3"/>
  <c r="I50" i="3"/>
  <c r="J49" i="3"/>
  <c r="J56" i="3"/>
  <c r="I62" i="3"/>
  <c r="C5" i="23"/>
  <c r="BO12" i="23"/>
  <c r="K6" i="3"/>
  <c r="AY132" i="23"/>
  <c r="AY67" i="23"/>
  <c r="F5" i="20"/>
  <c r="I17" i="18"/>
  <c r="AB5" i="23"/>
  <c r="P17" i="3"/>
  <c r="BO5" i="23"/>
  <c r="AY3" i="23"/>
  <c r="BN12" i="23"/>
  <c r="B331" i="22" l="1"/>
  <c r="K142" i="6"/>
  <c r="L142" i="6" s="1"/>
  <c r="B691" i="22"/>
  <c r="K213" i="7"/>
  <c r="L213" i="7" s="1"/>
  <c r="K197" i="7" s="1"/>
  <c r="L197" i="7" s="1"/>
  <c r="B333" i="22"/>
  <c r="J44" i="3"/>
  <c r="B566" i="22"/>
  <c r="B564" i="22"/>
  <c r="K34" i="3"/>
  <c r="L34" i="3" s="1"/>
  <c r="B332" i="22"/>
  <c r="B334" i="22"/>
  <c r="B471" i="22"/>
  <c r="B568" i="22"/>
  <c r="K409" i="8"/>
  <c r="L409" i="8" s="1"/>
  <c r="K398" i="8" s="1"/>
  <c r="L398" i="8" s="1"/>
  <c r="B339" i="22"/>
  <c r="B335" i="22"/>
  <c r="B329" i="22"/>
  <c r="B459" i="22"/>
  <c r="K273" i="8"/>
  <c r="L273" i="8" s="1"/>
  <c r="K262" i="8" s="1"/>
  <c r="L262" i="8" s="1"/>
  <c r="B328" i="22"/>
  <c r="B463" i="22"/>
  <c r="B461" i="22"/>
  <c r="B337" i="22"/>
  <c r="B336" i="22"/>
  <c r="B469" i="22"/>
  <c r="B565" i="22"/>
  <c r="B467" i="22"/>
  <c r="B330" i="22"/>
  <c r="B338" i="22"/>
  <c r="B563" i="22"/>
  <c r="B562" i="22"/>
  <c r="K137" i="8"/>
  <c r="L137" i="8" s="1"/>
  <c r="K126" i="8" s="1"/>
  <c r="L126" i="8" s="1"/>
  <c r="B701" i="22"/>
  <c r="B693" i="22"/>
  <c r="B702" i="22"/>
  <c r="B209" i="22"/>
  <c r="B696" i="22"/>
  <c r="B208" i="22"/>
  <c r="K36" i="3"/>
  <c r="L36" i="3" s="1"/>
  <c r="P650" i="18" s="1"/>
  <c r="B401" i="22"/>
  <c r="L80" i="3"/>
  <c r="L91" i="3"/>
  <c r="L101" i="3"/>
  <c r="K136" i="6"/>
  <c r="L136" i="6" s="1"/>
  <c r="K142" i="7"/>
  <c r="L142" i="7" s="1"/>
  <c r="L84" i="3"/>
  <c r="L94" i="3"/>
  <c r="L105" i="3"/>
  <c r="L88" i="3"/>
  <c r="L98" i="3"/>
  <c r="K137" i="6"/>
  <c r="L137" i="6" s="1"/>
  <c r="L82" i="3"/>
  <c r="L92" i="3"/>
  <c r="L102" i="3"/>
  <c r="L83" i="3"/>
  <c r="L93" i="3"/>
  <c r="L104" i="3"/>
  <c r="L100" i="3"/>
  <c r="K233" i="8"/>
  <c r="L233" i="8" s="1"/>
  <c r="K96" i="8"/>
  <c r="L96" i="8" s="1"/>
  <c r="L85" i="3"/>
  <c r="L86" i="3"/>
  <c r="L106" i="3"/>
  <c r="K97" i="8"/>
  <c r="L97" i="8" s="1"/>
  <c r="L90" i="3"/>
  <c r="K143" i="7"/>
  <c r="L143" i="7" s="1"/>
  <c r="L96" i="3"/>
  <c r="L97" i="3"/>
  <c r="K368" i="8"/>
  <c r="L368" i="8" s="1"/>
  <c r="K232" i="8"/>
  <c r="L232" i="8" s="1"/>
  <c r="K369" i="8"/>
  <c r="L369" i="8" s="1"/>
  <c r="L89" i="3"/>
  <c r="AC23" i="23" s="1"/>
  <c r="B697" i="22"/>
  <c r="B700" i="22"/>
  <c r="K37" i="3"/>
  <c r="B694" i="22"/>
  <c r="K155" i="3"/>
  <c r="L155" i="3" s="1"/>
  <c r="B698" i="22"/>
  <c r="B695" i="22"/>
  <c r="B699" i="22"/>
  <c r="K156" i="3"/>
  <c r="L156" i="3" s="1"/>
  <c r="L81" i="3"/>
  <c r="K372" i="8"/>
  <c r="L372" i="8" s="1"/>
  <c r="K210" i="6"/>
  <c r="L210" i="6" s="1"/>
  <c r="K215" i="7"/>
  <c r="L215" i="7" s="1"/>
  <c r="K217" i="7"/>
  <c r="L217" i="7" s="1"/>
  <c r="K211" i="6"/>
  <c r="L211" i="6" s="1"/>
  <c r="K274" i="8"/>
  <c r="L274" i="8" s="1"/>
  <c r="K216" i="7"/>
  <c r="L216" i="7" s="1"/>
  <c r="J43" i="3"/>
  <c r="K21" i="3"/>
  <c r="L21" i="3" s="1"/>
  <c r="K23" i="3" s="1"/>
  <c r="L23" i="3" s="1"/>
  <c r="I43" i="3"/>
  <c r="K17" i="3" s="1"/>
  <c r="L17" i="3" s="1"/>
  <c r="K100" i="8"/>
  <c r="L100" i="8" s="1"/>
  <c r="K27" i="3"/>
  <c r="L27" i="3" s="1"/>
  <c r="K33" i="3"/>
  <c r="L33" i="3" s="1"/>
  <c r="L37" i="3"/>
  <c r="K43" i="3" s="1"/>
  <c r="K19" i="3" s="1"/>
  <c r="L19" i="3" s="1"/>
  <c r="K208" i="6"/>
  <c r="L208" i="6" s="1"/>
  <c r="K207" i="6"/>
  <c r="L207" i="6" s="1"/>
  <c r="K18" i="3"/>
  <c r="L18" i="3" s="1"/>
  <c r="K32" i="3"/>
  <c r="L32" i="3" s="1"/>
  <c r="K30" i="3"/>
  <c r="L30" i="3" s="1"/>
  <c r="K24" i="3"/>
  <c r="L24" i="3" s="1"/>
  <c r="K31" i="3"/>
  <c r="L31" i="3" s="1"/>
  <c r="K29" i="3"/>
  <c r="L29" i="3" s="1"/>
  <c r="K25" i="3"/>
  <c r="L25" i="3" s="1"/>
  <c r="K26" i="3"/>
  <c r="L26" i="3" s="1"/>
  <c r="K28" i="3"/>
  <c r="L28" i="3" s="1"/>
  <c r="B725" i="22" l="1"/>
  <c r="N222" i="18"/>
  <c r="P788" i="18"/>
  <c r="P445" i="18"/>
  <c r="K65" i="6"/>
  <c r="L65" i="6" s="1"/>
  <c r="K188" i="8"/>
  <c r="L188" i="8" s="1"/>
  <c r="N924" i="18"/>
  <c r="N650" i="18"/>
  <c r="Q222" i="18"/>
  <c r="N447" i="18"/>
  <c r="P222" i="18"/>
  <c r="O922" i="18"/>
  <c r="P220" i="18"/>
  <c r="Q650" i="18"/>
  <c r="Q220" i="18"/>
  <c r="O447" i="18"/>
  <c r="B724" i="22"/>
  <c r="P922" i="18"/>
  <c r="R220" i="18"/>
  <c r="N652" i="18"/>
  <c r="O222" i="18"/>
  <c r="Q922" i="18"/>
  <c r="O650" i="18"/>
  <c r="O924" i="18"/>
  <c r="O220" i="18"/>
  <c r="Q445" i="18"/>
  <c r="P652" i="18"/>
  <c r="P447" i="18"/>
  <c r="N788" i="18"/>
  <c r="N922" i="18"/>
  <c r="R445" i="18"/>
  <c r="R922" i="18"/>
  <c r="P924" i="18"/>
  <c r="O786" i="18"/>
  <c r="Q786" i="18"/>
  <c r="Q652" i="18"/>
  <c r="Q447" i="18"/>
  <c r="N445" i="18"/>
  <c r="P786" i="18"/>
  <c r="R650" i="18"/>
  <c r="B721" i="22"/>
  <c r="R652" i="18"/>
  <c r="O445" i="18"/>
  <c r="N220" i="18"/>
  <c r="N786" i="18"/>
  <c r="R788" i="18"/>
  <c r="R924" i="18"/>
  <c r="R222" i="18"/>
  <c r="O788" i="18"/>
  <c r="B722" i="22"/>
  <c r="R447" i="18"/>
  <c r="Q788" i="18"/>
  <c r="B723" i="22"/>
  <c r="R786" i="18"/>
  <c r="O652" i="18"/>
  <c r="Q924" i="18"/>
  <c r="K236" i="8"/>
  <c r="L236" i="8" s="1"/>
  <c r="B688" i="22"/>
  <c r="K74" i="3"/>
  <c r="K75" i="3"/>
  <c r="AE5" i="11"/>
  <c r="AC42" i="23"/>
  <c r="I29" i="16"/>
  <c r="K71" i="7"/>
  <c r="L71" i="7" s="1"/>
  <c r="K148" i="7"/>
  <c r="L148" i="7" s="1"/>
  <c r="B689" i="22"/>
  <c r="K5" i="11"/>
  <c r="AC19" i="23"/>
  <c r="I12" i="16"/>
  <c r="S5" i="11"/>
  <c r="AC28" i="23"/>
  <c r="I19" i="16"/>
  <c r="K109" i="7"/>
  <c r="L109" i="7" s="1"/>
  <c r="K103" i="6"/>
  <c r="L103" i="6" s="1"/>
  <c r="B620" i="22"/>
  <c r="K98" i="6"/>
  <c r="L98" i="6" s="1"/>
  <c r="K104" i="7"/>
  <c r="L104" i="7" s="1"/>
  <c r="B619" i="22"/>
  <c r="B617" i="22"/>
  <c r="B618" i="22"/>
  <c r="K52" i="8"/>
  <c r="L52" i="8" s="1"/>
  <c r="L5" i="11"/>
  <c r="I13" i="16"/>
  <c r="AC20" i="23"/>
  <c r="J5" i="11"/>
  <c r="AC18" i="23"/>
  <c r="I11" i="16"/>
  <c r="W5" i="11"/>
  <c r="AC33" i="23"/>
  <c r="I24" i="16"/>
  <c r="F5" i="11"/>
  <c r="AC14" i="23"/>
  <c r="I9" i="16"/>
  <c r="K192" i="6"/>
  <c r="L192" i="6" s="1"/>
  <c r="AC13" i="23"/>
  <c r="I8" i="16"/>
  <c r="V5" i="11"/>
  <c r="AC32" i="23"/>
  <c r="I23" i="16"/>
  <c r="AB5" i="11"/>
  <c r="AC39" i="23"/>
  <c r="I28" i="16"/>
  <c r="K207" i="8"/>
  <c r="L207" i="8" s="1"/>
  <c r="K93" i="6"/>
  <c r="L93" i="6" s="1"/>
  <c r="K71" i="8"/>
  <c r="L71" i="8" s="1"/>
  <c r="K343" i="8"/>
  <c r="L343" i="8" s="1"/>
  <c r="K99" i="7"/>
  <c r="L99" i="7" s="1"/>
  <c r="B615" i="22"/>
  <c r="B630" i="22"/>
  <c r="B629" i="22"/>
  <c r="B621" i="22"/>
  <c r="B616" i="22"/>
  <c r="AS92" i="23"/>
  <c r="T5" i="11"/>
  <c r="AC29" i="23"/>
  <c r="I20" i="16"/>
  <c r="K79" i="6"/>
  <c r="L79" i="6" s="1"/>
  <c r="K56" i="8"/>
  <c r="L56" i="8" s="1"/>
  <c r="K85" i="7"/>
  <c r="L85" i="7" s="1"/>
  <c r="K327" i="8"/>
  <c r="L327" i="8" s="1"/>
  <c r="K55" i="8"/>
  <c r="L55" i="8" s="1"/>
  <c r="K191" i="8"/>
  <c r="L191" i="8" s="1"/>
  <c r="K328" i="8"/>
  <c r="L328" i="8" s="1"/>
  <c r="K192" i="8"/>
  <c r="L192" i="8" s="1"/>
  <c r="B636" i="22"/>
  <c r="B639" i="22"/>
  <c r="B635" i="22"/>
  <c r="B637" i="22"/>
  <c r="B640" i="22"/>
  <c r="B638" i="22"/>
  <c r="B641" i="22"/>
  <c r="B642" i="22"/>
  <c r="AJ5" i="11"/>
  <c r="AC48" i="23"/>
  <c r="I33" i="16"/>
  <c r="G5" i="11"/>
  <c r="AC15" i="23"/>
  <c r="I10" i="16"/>
  <c r="U5" i="11"/>
  <c r="AC30" i="23"/>
  <c r="I21" i="16"/>
  <c r="K85" i="6"/>
  <c r="L85" i="6" s="1"/>
  <c r="K91" i="7"/>
  <c r="L91" i="7" s="1"/>
  <c r="B622" i="22"/>
  <c r="B623" i="22"/>
  <c r="K70" i="6"/>
  <c r="L70" i="6" s="1"/>
  <c r="K82" i="6"/>
  <c r="L82" i="6" s="1"/>
  <c r="K198" i="8"/>
  <c r="L198" i="8" s="1"/>
  <c r="K333" i="8"/>
  <c r="L333" i="8" s="1"/>
  <c r="K76" i="7"/>
  <c r="L76" i="7" s="1"/>
  <c r="K82" i="7"/>
  <c r="L82" i="7" s="1"/>
  <c r="K197" i="8"/>
  <c r="L197" i="8" s="1"/>
  <c r="K62" i="8"/>
  <c r="L62" i="8" s="1"/>
  <c r="K88" i="7"/>
  <c r="L88" i="7" s="1"/>
  <c r="K61" i="8"/>
  <c r="L61" i="8" s="1"/>
  <c r="K76" i="6"/>
  <c r="L76" i="6" s="1"/>
  <c r="K334" i="8"/>
  <c r="L334" i="8" s="1"/>
  <c r="B608" i="22"/>
  <c r="B606" i="22"/>
  <c r="B603" i="22"/>
  <c r="B604" i="22"/>
  <c r="B610" i="22"/>
  <c r="B605" i="22"/>
  <c r="AA5" i="11"/>
  <c r="AC38" i="23"/>
  <c r="I27" i="16"/>
  <c r="Z5" i="11"/>
  <c r="AC36" i="23"/>
  <c r="I25" i="16"/>
  <c r="P5" i="11"/>
  <c r="AC25" i="23"/>
  <c r="I18" i="16"/>
  <c r="AG5" i="11"/>
  <c r="AC45" i="23"/>
  <c r="I32" i="16"/>
  <c r="K63" i="6"/>
  <c r="L63" i="6" s="1"/>
  <c r="K69" i="7"/>
  <c r="L69" i="7" s="1"/>
  <c r="K185" i="8"/>
  <c r="L185" i="8" s="1"/>
  <c r="K49" i="8"/>
  <c r="L49" i="8" s="1"/>
  <c r="K321" i="8"/>
  <c r="L321" i="8" s="1"/>
  <c r="K324" i="8"/>
  <c r="L324" i="8" s="1"/>
  <c r="B545" i="22"/>
  <c r="B548" i="22"/>
  <c r="B539" i="22"/>
  <c r="B537" i="22"/>
  <c r="B547" i="22"/>
  <c r="B536" i="22"/>
  <c r="B549" i="22"/>
  <c r="B538" i="22"/>
  <c r="B535" i="22"/>
  <c r="B546" i="22"/>
  <c r="K88" i="6"/>
  <c r="L88" i="6" s="1"/>
  <c r="K202" i="8"/>
  <c r="L202" i="8" s="1"/>
  <c r="K66" i="8"/>
  <c r="L66" i="8" s="1"/>
  <c r="K94" i="7"/>
  <c r="L94" i="7" s="1"/>
  <c r="K338" i="8"/>
  <c r="L338" i="8" s="1"/>
  <c r="B624" i="22"/>
  <c r="B625" i="22"/>
  <c r="B627" i="22"/>
  <c r="B626" i="22"/>
  <c r="B628" i="22"/>
  <c r="K67" i="6"/>
  <c r="L67" i="6" s="1"/>
  <c r="K73" i="6"/>
  <c r="L73" i="6" s="1"/>
  <c r="K79" i="7"/>
  <c r="L79" i="7" s="1"/>
  <c r="K73" i="7"/>
  <c r="L73" i="7" s="1"/>
  <c r="B631" i="22"/>
  <c r="B633" i="22"/>
  <c r="B632" i="22"/>
  <c r="B634" i="22"/>
  <c r="K191" i="6"/>
  <c r="L191" i="6" s="1"/>
  <c r="L51" i="3"/>
  <c r="K52" i="3"/>
  <c r="K47" i="3"/>
  <c r="K42" i="3"/>
  <c r="K60" i="3"/>
  <c r="K44" i="3"/>
  <c r="K46" i="3"/>
  <c r="L58" i="3"/>
  <c r="L46" i="3"/>
  <c r="L54" i="3"/>
  <c r="L57" i="3"/>
  <c r="K62" i="3"/>
  <c r="K63" i="3"/>
  <c r="L59" i="3"/>
  <c r="K58" i="3"/>
  <c r="L62" i="3"/>
  <c r="L55" i="3"/>
  <c r="L49" i="3"/>
  <c r="L60" i="3"/>
  <c r="L47" i="3"/>
  <c r="L64" i="3"/>
  <c r="L50" i="3"/>
  <c r="L48" i="3"/>
  <c r="K53" i="3"/>
  <c r="K57" i="3"/>
  <c r="K61" i="3"/>
  <c r="L42" i="3"/>
  <c r="K64" i="3"/>
  <c r="L56" i="3"/>
  <c r="K55" i="3"/>
  <c r="L53" i="3"/>
  <c r="K59" i="3"/>
  <c r="K48" i="3"/>
  <c r="K54" i="3"/>
  <c r="L63" i="3"/>
  <c r="K51" i="3"/>
  <c r="K49" i="3"/>
  <c r="K50" i="3"/>
  <c r="L61" i="3"/>
  <c r="K56" i="3"/>
  <c r="L52" i="3"/>
  <c r="O5" i="11"/>
  <c r="AC24" i="23"/>
  <c r="I17" i="16"/>
  <c r="AF5" i="11"/>
  <c r="AC44" i="23"/>
  <c r="I31" i="16"/>
  <c r="M5" i="11"/>
  <c r="AC22" i="23"/>
  <c r="I15" i="16"/>
  <c r="I16" i="16"/>
  <c r="D5" i="11"/>
  <c r="AC12" i="23"/>
  <c r="I7" i="16"/>
  <c r="AE91" i="11" l="1"/>
  <c r="AH15" i="20"/>
  <c r="K189" i="8"/>
  <c r="L189" i="8" s="1"/>
  <c r="B832" i="22" s="1"/>
  <c r="R793" i="18"/>
  <c r="B362" i="22"/>
  <c r="N793" i="18"/>
  <c r="O793" i="18"/>
  <c r="Q793" i="18"/>
  <c r="P793" i="18"/>
  <c r="BJ36" i="23"/>
  <c r="K78" i="7"/>
  <c r="L78" i="7" s="1"/>
  <c r="B830" i="22" s="1"/>
  <c r="Q457" i="18"/>
  <c r="R457" i="18"/>
  <c r="P457" i="18"/>
  <c r="N457" i="18"/>
  <c r="B360" i="22"/>
  <c r="O457" i="18"/>
  <c r="BF149" i="23"/>
  <c r="K72" i="6"/>
  <c r="L72" i="6" s="1"/>
  <c r="B831" i="22" s="1"/>
  <c r="R232" i="18"/>
  <c r="Q232" i="18"/>
  <c r="O232" i="18"/>
  <c r="N232" i="18"/>
  <c r="B361" i="22"/>
  <c r="P232" i="18"/>
  <c r="AG91" i="11"/>
  <c r="AJ15" i="20"/>
  <c r="K84" i="6"/>
  <c r="L84" i="6" s="1"/>
  <c r="B653" i="22"/>
  <c r="BJ161" i="23"/>
  <c r="K325" i="8"/>
  <c r="L325" i="8" s="1"/>
  <c r="B836" i="22" s="1"/>
  <c r="O929" i="18"/>
  <c r="R929" i="18"/>
  <c r="N929" i="18"/>
  <c r="P929" i="18"/>
  <c r="B366" i="22"/>
  <c r="Q929" i="18"/>
  <c r="V91" i="11"/>
  <c r="Y15" i="20"/>
  <c r="BJ34" i="23"/>
  <c r="S91" i="11"/>
  <c r="V15" i="20"/>
  <c r="K72" i="7"/>
  <c r="L72" i="7" s="1"/>
  <c r="K139" i="7" s="1"/>
  <c r="L139" i="7" s="1"/>
  <c r="K120" i="7" s="1"/>
  <c r="L120" i="7" s="1"/>
  <c r="N451" i="18"/>
  <c r="B358" i="22"/>
  <c r="P451" i="18"/>
  <c r="Q451" i="18"/>
  <c r="R451" i="18"/>
  <c r="O451" i="18"/>
  <c r="K93" i="7"/>
  <c r="L93" i="7" s="1"/>
  <c r="B654" i="22"/>
  <c r="AS93" i="23"/>
  <c r="K66" i="6"/>
  <c r="L66" i="6" s="1"/>
  <c r="B829" i="22" s="1"/>
  <c r="P226" i="18"/>
  <c r="B359" i="22"/>
  <c r="N226" i="18"/>
  <c r="R226" i="18"/>
  <c r="Q226" i="18"/>
  <c r="O226" i="18"/>
  <c r="K65" i="8"/>
  <c r="L65" i="8" s="1"/>
  <c r="B650" i="22"/>
  <c r="K340" i="8"/>
  <c r="L340" i="8" s="1"/>
  <c r="K367" i="8" s="1"/>
  <c r="L367" i="8" s="1"/>
  <c r="K351" i="8" s="1"/>
  <c r="L351" i="8" s="1"/>
  <c r="K323" i="8"/>
  <c r="L323" i="8" s="1"/>
  <c r="K320" i="8" s="1"/>
  <c r="L320" i="8" s="1"/>
  <c r="K342" i="8"/>
  <c r="L342" i="8" s="1"/>
  <c r="B348" i="22"/>
  <c r="B357" i="22"/>
  <c r="B658" i="22"/>
  <c r="K341" i="8"/>
  <c r="L341" i="8" s="1"/>
  <c r="B544" i="22"/>
  <c r="AZ138" i="23"/>
  <c r="AJ91" i="11"/>
  <c r="AM15" i="20"/>
  <c r="K84" i="7"/>
  <c r="L84" i="7" s="1"/>
  <c r="O463" i="18"/>
  <c r="B363" i="22"/>
  <c r="R463" i="18"/>
  <c r="P463" i="18"/>
  <c r="B759" i="22"/>
  <c r="N463" i="18"/>
  <c r="Q463" i="18"/>
  <c r="AT149" i="23"/>
  <c r="K326" i="8"/>
  <c r="L326" i="8" s="1"/>
  <c r="B763" i="22" s="1"/>
  <c r="N930" i="18"/>
  <c r="Q930" i="18"/>
  <c r="O930" i="18"/>
  <c r="P930" i="18"/>
  <c r="R930" i="18"/>
  <c r="B369" i="22"/>
  <c r="T91" i="11"/>
  <c r="W15" i="20"/>
  <c r="AF91" i="11"/>
  <c r="AI15" i="20"/>
  <c r="K90" i="7"/>
  <c r="L90" i="7" s="1"/>
  <c r="B652" i="22"/>
  <c r="O91" i="11"/>
  <c r="R15" i="20"/>
  <c r="K201" i="8"/>
  <c r="L201" i="8" s="1"/>
  <c r="B649" i="22"/>
  <c r="K68" i="8"/>
  <c r="L68" i="8" s="1"/>
  <c r="K51" i="8"/>
  <c r="L51" i="8" s="1"/>
  <c r="K70" i="8"/>
  <c r="L70" i="8" s="1"/>
  <c r="B347" i="22"/>
  <c r="B542" i="22"/>
  <c r="B657" i="22"/>
  <c r="B356" i="22"/>
  <c r="K69" i="8"/>
  <c r="L69" i="8" s="1"/>
  <c r="AA91" i="11"/>
  <c r="AD15" i="20"/>
  <c r="BJ99" i="23"/>
  <c r="K54" i="8"/>
  <c r="L54" i="8" s="1"/>
  <c r="B762" i="22" s="1"/>
  <c r="N658" i="18"/>
  <c r="O658" i="18"/>
  <c r="B368" i="22"/>
  <c r="R658" i="18"/>
  <c r="Q658" i="18"/>
  <c r="P658" i="18"/>
  <c r="AS28" i="23"/>
  <c r="W91" i="11"/>
  <c r="Z15" i="20"/>
  <c r="L91" i="11"/>
  <c r="O15" i="20"/>
  <c r="B833" i="22"/>
  <c r="BJ35" i="23"/>
  <c r="BF138" i="23"/>
  <c r="AX161" i="23"/>
  <c r="G91" i="11"/>
  <c r="J15" i="20"/>
  <c r="J91" i="11"/>
  <c r="M15" i="20"/>
  <c r="BJ100" i="23"/>
  <c r="D91" i="11"/>
  <c r="G15" i="20"/>
  <c r="AS75" i="23"/>
  <c r="K87" i="6"/>
  <c r="L87" i="6" s="1"/>
  <c r="B655" i="22"/>
  <c r="K204" i="8"/>
  <c r="L204" i="8" s="1"/>
  <c r="K231" i="8" s="1"/>
  <c r="L231" i="8" s="1"/>
  <c r="K215" i="8" s="1"/>
  <c r="L215" i="8" s="1"/>
  <c r="K187" i="8"/>
  <c r="L187" i="8" s="1"/>
  <c r="K205" i="8"/>
  <c r="L205" i="8" s="1"/>
  <c r="B355" i="22"/>
  <c r="B540" i="22"/>
  <c r="K206" i="8"/>
  <c r="L206" i="8" s="1"/>
  <c r="B656" i="22"/>
  <c r="B346" i="22"/>
  <c r="AS94" i="23"/>
  <c r="U91" i="11"/>
  <c r="X15" i="20"/>
  <c r="K78" i="6"/>
  <c r="L78" i="6" s="1"/>
  <c r="B760" i="22" s="1"/>
  <c r="N238" i="18"/>
  <c r="P238" i="18"/>
  <c r="Q238" i="18"/>
  <c r="R238" i="18"/>
  <c r="O238" i="18"/>
  <c r="B365" i="22"/>
  <c r="K91" i="11"/>
  <c r="N15" i="20"/>
  <c r="K100" i="6"/>
  <c r="L100" i="6" s="1"/>
  <c r="K140" i="6" s="1"/>
  <c r="L140" i="6" s="1"/>
  <c r="K119" i="6" s="1"/>
  <c r="L119" i="6" s="1"/>
  <c r="K95" i="6"/>
  <c r="L95" i="6" s="1"/>
  <c r="K139" i="6" s="1"/>
  <c r="L139" i="6" s="1"/>
  <c r="K118" i="6" s="1"/>
  <c r="L118" i="6" s="1"/>
  <c r="K64" i="6"/>
  <c r="L64" i="6" s="1"/>
  <c r="K90" i="6"/>
  <c r="L90" i="6" s="1"/>
  <c r="B820" i="22" s="1"/>
  <c r="K101" i="6"/>
  <c r="L101" i="6" s="1"/>
  <c r="K97" i="6"/>
  <c r="L97" i="6" s="1"/>
  <c r="B543" i="22"/>
  <c r="B345" i="22"/>
  <c r="K92" i="6"/>
  <c r="L92" i="6" s="1"/>
  <c r="B341" i="22"/>
  <c r="B646" i="22"/>
  <c r="B648" i="22"/>
  <c r="B354" i="22"/>
  <c r="K102" i="6"/>
  <c r="L102" i="6" s="1"/>
  <c r="B352" i="22"/>
  <c r="K91" i="6"/>
  <c r="L91" i="6" s="1"/>
  <c r="B644" i="22"/>
  <c r="K96" i="6"/>
  <c r="L96" i="6" s="1"/>
  <c r="B343" i="22"/>
  <c r="B350" i="22"/>
  <c r="AS30" i="23"/>
  <c r="BJ98" i="23"/>
  <c r="AB91" i="11"/>
  <c r="AE15" i="20"/>
  <c r="F91" i="11"/>
  <c r="I15" i="20"/>
  <c r="AC49" i="23"/>
  <c r="AS11" i="23"/>
  <c r="K337" i="8"/>
  <c r="L337" i="8" s="1"/>
  <c r="B651" i="22"/>
  <c r="Z91" i="11"/>
  <c r="AC15" i="20"/>
  <c r="K53" i="8"/>
  <c r="L53" i="8" s="1"/>
  <c r="N657" i="18"/>
  <c r="Q657" i="18"/>
  <c r="P657" i="18"/>
  <c r="B364" i="22"/>
  <c r="R657" i="18"/>
  <c r="O657" i="18"/>
  <c r="AT138" i="23"/>
  <c r="M91" i="11"/>
  <c r="P15" i="20"/>
  <c r="K101" i="7"/>
  <c r="L101" i="7" s="1"/>
  <c r="K145" i="7" s="1"/>
  <c r="K70" i="7"/>
  <c r="L70" i="7" s="1"/>
  <c r="K68" i="7" s="1"/>
  <c r="L68" i="7" s="1"/>
  <c r="K106" i="7"/>
  <c r="L106" i="7" s="1"/>
  <c r="K146" i="7" s="1"/>
  <c r="K96" i="7"/>
  <c r="L96" i="7" s="1"/>
  <c r="B819" i="22" s="1"/>
  <c r="K98" i="7"/>
  <c r="L98" i="7" s="1"/>
  <c r="K102" i="7"/>
  <c r="L102" i="7" s="1"/>
  <c r="K108" i="7"/>
  <c r="L108" i="7" s="1"/>
  <c r="K97" i="7"/>
  <c r="L97" i="7" s="1"/>
  <c r="K103" i="7"/>
  <c r="L103" i="7" s="1"/>
  <c r="B342" i="22"/>
  <c r="B351" i="22"/>
  <c r="B353" i="22"/>
  <c r="B643" i="22"/>
  <c r="B645" i="22"/>
  <c r="B647" i="22"/>
  <c r="B541" i="22"/>
  <c r="B344" i="22"/>
  <c r="K107" i="7"/>
  <c r="L107" i="7" s="1"/>
  <c r="B349" i="22"/>
  <c r="B340" i="22"/>
  <c r="P91" i="11"/>
  <c r="S15" i="20"/>
  <c r="K190" i="8"/>
  <c r="L190" i="8" s="1"/>
  <c r="B761" i="22" s="1"/>
  <c r="Q794" i="18"/>
  <c r="O794" i="18"/>
  <c r="R794" i="18"/>
  <c r="B367" i="22"/>
  <c r="N794" i="18"/>
  <c r="P794" i="18"/>
  <c r="AZ149" i="23"/>
  <c r="AS29" i="23"/>
  <c r="BD161" i="23"/>
  <c r="B824" i="22" l="1"/>
  <c r="B822" i="22"/>
  <c r="B825" i="22"/>
  <c r="K134" i="6"/>
  <c r="L134" i="6" s="1"/>
  <c r="K115" i="6" s="1"/>
  <c r="L115" i="6" s="1"/>
  <c r="B758" i="22"/>
  <c r="K138" i="6"/>
  <c r="L138" i="6" s="1"/>
  <c r="K117" i="6" s="1"/>
  <c r="L117" i="6" s="1"/>
  <c r="J9" i="11" s="1"/>
  <c r="AJ37" i="11"/>
  <c r="N18" i="11"/>
  <c r="K133" i="7"/>
  <c r="L133" i="7" s="1"/>
  <c r="P511" i="18"/>
  <c r="N511" i="18"/>
  <c r="Q511" i="18"/>
  <c r="R511" i="18"/>
  <c r="O511" i="18"/>
  <c r="K359" i="8"/>
  <c r="L359" i="8" s="1"/>
  <c r="Q962" i="18"/>
  <c r="N962" i="18"/>
  <c r="P962" i="18"/>
  <c r="R962" i="18"/>
  <c r="O962" i="18"/>
  <c r="K171" i="7"/>
  <c r="L171" i="7" s="1"/>
  <c r="K156" i="7" s="1"/>
  <c r="L156" i="7" s="1"/>
  <c r="B203" i="22"/>
  <c r="L146" i="7"/>
  <c r="K125" i="7" s="1"/>
  <c r="L125" i="7" s="1"/>
  <c r="B828" i="22"/>
  <c r="K200" i="6"/>
  <c r="L200" i="6" s="1"/>
  <c r="B483" i="22"/>
  <c r="B572" i="22"/>
  <c r="K172" i="6"/>
  <c r="L172" i="6" s="1"/>
  <c r="J10" i="11" s="1"/>
  <c r="K169" i="6"/>
  <c r="L169" i="6" s="1"/>
  <c r="B443" i="22"/>
  <c r="B749" i="22"/>
  <c r="B441" i="22"/>
  <c r="B675" i="22"/>
  <c r="K193" i="6"/>
  <c r="L193" i="6" s="1"/>
  <c r="K164" i="6"/>
  <c r="L164" i="6" s="1"/>
  <c r="K153" i="6"/>
  <c r="L153" i="6" s="1"/>
  <c r="B5" i="22"/>
  <c r="B578" i="22"/>
  <c r="B513" i="22"/>
  <c r="K202" i="6"/>
  <c r="L202" i="6" s="1"/>
  <c r="K248" i="8"/>
  <c r="L248" i="8" s="1"/>
  <c r="K240" i="8" s="1"/>
  <c r="L240" i="8" s="1"/>
  <c r="B205" i="22"/>
  <c r="K405" i="8"/>
  <c r="L405" i="8" s="1"/>
  <c r="K377" i="8"/>
  <c r="L377" i="8" s="1"/>
  <c r="B530" i="22"/>
  <c r="B582" i="22"/>
  <c r="B8" i="22"/>
  <c r="K112" i="8"/>
  <c r="L112" i="8" s="1"/>
  <c r="K104" i="8" s="1"/>
  <c r="L104" i="8" s="1"/>
  <c r="B206" i="22"/>
  <c r="K157" i="7"/>
  <c r="L157" i="7" s="1"/>
  <c r="K168" i="7"/>
  <c r="L168" i="7" s="1"/>
  <c r="K207" i="7"/>
  <c r="L207" i="7" s="1"/>
  <c r="B2" i="22"/>
  <c r="B573" i="22"/>
  <c r="B487" i="22"/>
  <c r="K140" i="7"/>
  <c r="L140" i="7" s="1"/>
  <c r="K121" i="7" s="1"/>
  <c r="L121" i="7" s="1"/>
  <c r="K252" i="8"/>
  <c r="L252" i="8" s="1"/>
  <c r="B680" i="22"/>
  <c r="B754" i="22"/>
  <c r="B458" i="22"/>
  <c r="B456" i="22"/>
  <c r="K263" i="8"/>
  <c r="L263" i="8" s="1"/>
  <c r="K46" i="8"/>
  <c r="L46" i="8" s="1"/>
  <c r="K47" i="8"/>
  <c r="L47" i="8" s="1"/>
  <c r="B320" i="22"/>
  <c r="B315" i="22"/>
  <c r="K384" i="8"/>
  <c r="L384" i="8" s="1"/>
  <c r="K376" i="8" s="1"/>
  <c r="L376" i="8" s="1"/>
  <c r="B207" i="22"/>
  <c r="K116" i="8"/>
  <c r="L116" i="8" s="1"/>
  <c r="B475" i="22"/>
  <c r="B755" i="22"/>
  <c r="B473" i="22"/>
  <c r="B681" i="22"/>
  <c r="K127" i="8"/>
  <c r="L127" i="8" s="1"/>
  <c r="K95" i="8"/>
  <c r="L95" i="8" s="1"/>
  <c r="K79" i="8" s="1"/>
  <c r="L79" i="8" s="1"/>
  <c r="B826" i="22"/>
  <c r="K176" i="7"/>
  <c r="L176" i="7" s="1"/>
  <c r="K179" i="7"/>
  <c r="L179" i="7" s="1"/>
  <c r="T19" i="11" s="1"/>
  <c r="B446" i="22"/>
  <c r="B676" i="22"/>
  <c r="B444" i="22"/>
  <c r="B750" i="22"/>
  <c r="K200" i="7"/>
  <c r="L200" i="7" s="1"/>
  <c r="K165" i="6"/>
  <c r="L165" i="6" s="1"/>
  <c r="K150" i="6" s="1"/>
  <c r="L150" i="6" s="1"/>
  <c r="B204" i="22"/>
  <c r="K163" i="6"/>
  <c r="L163" i="6" s="1"/>
  <c r="K149" i="6" s="1"/>
  <c r="L149" i="6" s="1"/>
  <c r="B202" i="22"/>
  <c r="K241" i="8"/>
  <c r="L241" i="8" s="1"/>
  <c r="K247" i="8"/>
  <c r="L247" i="8" s="1"/>
  <c r="K269" i="8"/>
  <c r="L269" i="8" s="1"/>
  <c r="B6" i="22"/>
  <c r="B521" i="22"/>
  <c r="B580" i="22"/>
  <c r="K60" i="6"/>
  <c r="L60" i="6" s="1"/>
  <c r="K61" i="6"/>
  <c r="L61" i="6" s="1"/>
  <c r="B316" i="22"/>
  <c r="B321" i="22"/>
  <c r="K62" i="6"/>
  <c r="L62" i="6" s="1"/>
  <c r="K105" i="8"/>
  <c r="L105" i="8" s="1"/>
  <c r="K133" i="8"/>
  <c r="L133" i="8" s="1"/>
  <c r="B581" i="22"/>
  <c r="B525" i="22"/>
  <c r="B7" i="22"/>
  <c r="B821" i="22"/>
  <c r="K48" i="8"/>
  <c r="L48" i="8" s="1"/>
  <c r="L145" i="7"/>
  <c r="K124" i="7" s="1"/>
  <c r="L124" i="7" s="1"/>
  <c r="K177" i="7"/>
  <c r="L177" i="7" s="1"/>
  <c r="K180" i="7"/>
  <c r="L180" i="7" s="1"/>
  <c r="U19" i="11" s="1"/>
  <c r="B450" i="22"/>
  <c r="B678" i="22"/>
  <c r="B752" i="22"/>
  <c r="B452" i="22"/>
  <c r="K201" i="7"/>
  <c r="L201" i="7" s="1"/>
  <c r="K67" i="7"/>
  <c r="L67" i="7" s="1"/>
  <c r="K66" i="7"/>
  <c r="L66" i="7" s="1"/>
  <c r="B314" i="22"/>
  <c r="B319" i="22"/>
  <c r="K388" i="8"/>
  <c r="L388" i="8" s="1"/>
  <c r="B682" i="22"/>
  <c r="B756" i="22"/>
  <c r="K399" i="8"/>
  <c r="L399" i="8" s="1"/>
  <c r="B478" i="22"/>
  <c r="B476" i="22"/>
  <c r="K268" i="8"/>
  <c r="L268" i="8" s="1"/>
  <c r="B575" i="22"/>
  <c r="B498" i="22"/>
  <c r="F9" i="11"/>
  <c r="K111" i="8"/>
  <c r="L111" i="8" s="1"/>
  <c r="K132" i="8"/>
  <c r="L132" i="8" s="1"/>
  <c r="B577" i="22"/>
  <c r="B507" i="22"/>
  <c r="B834" i="22"/>
  <c r="K94" i="8"/>
  <c r="L94" i="8" s="1"/>
  <c r="K78" i="8" s="1"/>
  <c r="L78" i="8" s="1"/>
  <c r="K9" i="11"/>
  <c r="K170" i="6"/>
  <c r="L170" i="6" s="1"/>
  <c r="K173" i="6"/>
  <c r="L173" i="6" s="1"/>
  <c r="K10" i="11" s="1"/>
  <c r="B751" i="22"/>
  <c r="B449" i="22"/>
  <c r="B677" i="22"/>
  <c r="B447" i="22"/>
  <c r="K194" i="6"/>
  <c r="L194" i="6" s="1"/>
  <c r="B827" i="22"/>
  <c r="K135" i="6"/>
  <c r="L135" i="6" s="1"/>
  <c r="K116" i="6" s="1"/>
  <c r="L116" i="6" s="1"/>
  <c r="K170" i="7"/>
  <c r="L170" i="7" s="1"/>
  <c r="K208" i="7"/>
  <c r="L208" i="7" s="1"/>
  <c r="K159" i="7"/>
  <c r="L159" i="7" s="1"/>
  <c r="B4" i="22"/>
  <c r="B502" i="22"/>
  <c r="B576" i="22"/>
  <c r="K133" i="6"/>
  <c r="L133" i="6" s="1"/>
  <c r="K114" i="6" s="1"/>
  <c r="L114" i="6" s="1"/>
  <c r="K162" i="6"/>
  <c r="L162" i="6" s="1"/>
  <c r="K151" i="6"/>
  <c r="L151" i="6" s="1"/>
  <c r="B3" i="22"/>
  <c r="B493" i="22"/>
  <c r="B574" i="22"/>
  <c r="K201" i="6"/>
  <c r="L201" i="6" s="1"/>
  <c r="K141" i="7"/>
  <c r="L141" i="7" s="1"/>
  <c r="K122" i="7" s="1"/>
  <c r="L122" i="7" s="1"/>
  <c r="K175" i="7"/>
  <c r="L175" i="7" s="1"/>
  <c r="K178" i="7"/>
  <c r="L178" i="7" s="1"/>
  <c r="S19" i="11" s="1"/>
  <c r="B440" i="22"/>
  <c r="B674" i="22"/>
  <c r="B748" i="22"/>
  <c r="B438" i="22"/>
  <c r="K199" i="7"/>
  <c r="L199" i="7" s="1"/>
  <c r="K183" i="8"/>
  <c r="L183" i="8" s="1"/>
  <c r="K182" i="8"/>
  <c r="L182" i="8" s="1"/>
  <c r="B318" i="22"/>
  <c r="B313" i="22"/>
  <c r="K184" i="8"/>
  <c r="L184" i="8" s="1"/>
  <c r="K169" i="7"/>
  <c r="L169" i="7" s="1"/>
  <c r="K155" i="7" s="1"/>
  <c r="L155" i="7" s="1"/>
  <c r="B201" i="22"/>
  <c r="K206" i="7"/>
  <c r="L206" i="7" s="1"/>
  <c r="B479" i="22"/>
  <c r="B571" i="22"/>
  <c r="AE32" i="11"/>
  <c r="K144" i="7"/>
  <c r="L144" i="7" s="1"/>
  <c r="K123" i="7" s="1"/>
  <c r="L123" i="7" s="1"/>
  <c r="K318" i="8"/>
  <c r="L318" i="8" s="1"/>
  <c r="K319" i="8"/>
  <c r="L319" i="8" s="1"/>
  <c r="B317" i="22"/>
  <c r="B322" i="22"/>
  <c r="B757" i="22"/>
  <c r="K230" i="8"/>
  <c r="L230" i="8" s="1"/>
  <c r="K214" i="8" s="1"/>
  <c r="L214" i="8" s="1"/>
  <c r="L9" i="11"/>
  <c r="K174" i="6"/>
  <c r="L174" i="6" s="1"/>
  <c r="L10" i="11" s="1"/>
  <c r="K171" i="6"/>
  <c r="L171" i="6" s="1"/>
  <c r="B679" i="22"/>
  <c r="B455" i="22"/>
  <c r="B453" i="22"/>
  <c r="B753" i="22"/>
  <c r="K195" i="6"/>
  <c r="L195" i="6" s="1"/>
  <c r="C91" i="11"/>
  <c r="B823" i="22"/>
  <c r="K383" i="8"/>
  <c r="L383" i="8" s="1"/>
  <c r="K404" i="8"/>
  <c r="L404" i="8" s="1"/>
  <c r="B517" i="22"/>
  <c r="B579" i="22"/>
  <c r="K366" i="8"/>
  <c r="L366" i="8" s="1"/>
  <c r="K350" i="8" s="1"/>
  <c r="L350" i="8" s="1"/>
  <c r="B835" i="22"/>
  <c r="K148" i="6" l="1"/>
  <c r="L148" i="6" s="1"/>
  <c r="K239" i="8"/>
  <c r="L239" i="8" s="1"/>
  <c r="K153" i="7"/>
  <c r="L153" i="7" s="1"/>
  <c r="K103" i="8"/>
  <c r="L103" i="8" s="1"/>
  <c r="AB32" i="11"/>
  <c r="K196" i="7"/>
  <c r="L196" i="7" s="1"/>
  <c r="Y29" i="11"/>
  <c r="G14" i="11"/>
  <c r="Q20" i="11"/>
  <c r="K127" i="6"/>
  <c r="L127" i="6" s="1"/>
  <c r="P286" i="18"/>
  <c r="Q286" i="18"/>
  <c r="R286" i="18"/>
  <c r="O286" i="18"/>
  <c r="N286" i="18"/>
  <c r="AD34" i="11"/>
  <c r="K223" i="8"/>
  <c r="L223" i="8" s="1"/>
  <c r="O826" i="18"/>
  <c r="P826" i="18"/>
  <c r="Q826" i="18"/>
  <c r="R826" i="18"/>
  <c r="N826" i="18"/>
  <c r="U20" i="11"/>
  <c r="K86" i="8"/>
  <c r="L86" i="8" s="1"/>
  <c r="B16" i="22"/>
  <c r="B325" i="22"/>
  <c r="B212" i="22"/>
  <c r="AE33" i="11"/>
  <c r="K190" i="6"/>
  <c r="L190" i="6" s="1"/>
  <c r="R21" i="11"/>
  <c r="P18" i="11"/>
  <c r="K189" i="6"/>
  <c r="L189" i="6" s="1"/>
  <c r="T20" i="11"/>
  <c r="K92" i="8"/>
  <c r="L92" i="8" s="1"/>
  <c r="K93" i="8"/>
  <c r="L93" i="8" s="1"/>
  <c r="K129" i="8"/>
  <c r="L129" i="8" s="1"/>
  <c r="K88" i="8"/>
  <c r="L88" i="8" s="1"/>
  <c r="P692" i="18"/>
  <c r="O692" i="18"/>
  <c r="O691" i="18"/>
  <c r="B379" i="22"/>
  <c r="B390" i="22"/>
  <c r="N692" i="18"/>
  <c r="Q692" i="18"/>
  <c r="B420" i="22"/>
  <c r="N691" i="18"/>
  <c r="R692" i="18"/>
  <c r="B552" i="22"/>
  <c r="R691" i="18"/>
  <c r="B378" i="22"/>
  <c r="P691" i="18"/>
  <c r="Q691" i="18"/>
  <c r="O22" i="11"/>
  <c r="K124" i="8"/>
  <c r="L124" i="8" s="1"/>
  <c r="K260" i="8"/>
  <c r="L260" i="8" s="1"/>
  <c r="K126" i="6"/>
  <c r="L126" i="6" s="1"/>
  <c r="B17" i="22"/>
  <c r="B326" i="22"/>
  <c r="B213" i="22"/>
  <c r="K261" i="8"/>
  <c r="L261" i="8" s="1"/>
  <c r="S18" i="11"/>
  <c r="X30" i="11"/>
  <c r="K203" i="7"/>
  <c r="L203" i="7" s="1"/>
  <c r="K138" i="7"/>
  <c r="L138" i="7" s="1"/>
  <c r="K134" i="7"/>
  <c r="L134" i="7" s="1"/>
  <c r="K137" i="7"/>
  <c r="L137" i="7" s="1"/>
  <c r="B376" i="22"/>
  <c r="R513" i="18"/>
  <c r="B375" i="22"/>
  <c r="R512" i="18"/>
  <c r="O512" i="18"/>
  <c r="Q513" i="18"/>
  <c r="B411" i="22"/>
  <c r="B373" i="22"/>
  <c r="B551" i="22"/>
  <c r="B374" i="22"/>
  <c r="Q512" i="18"/>
  <c r="N512" i="18"/>
  <c r="P513" i="18"/>
  <c r="B372" i="22"/>
  <c r="N513" i="18"/>
  <c r="O513" i="18"/>
  <c r="B389" i="22"/>
  <c r="P512" i="18"/>
  <c r="B377" i="22"/>
  <c r="J11" i="11"/>
  <c r="L11" i="11"/>
  <c r="G9" i="11"/>
  <c r="K132" i="7"/>
  <c r="L132" i="7" s="1"/>
  <c r="B211" i="22"/>
  <c r="B324" i="22"/>
  <c r="B15" i="22"/>
  <c r="K195" i="7"/>
  <c r="L195" i="7" s="1"/>
  <c r="K11" i="11"/>
  <c r="T18" i="11"/>
  <c r="I12" i="11"/>
  <c r="O18" i="11"/>
  <c r="K396" i="8"/>
  <c r="L396" i="8" s="1"/>
  <c r="K358" i="8"/>
  <c r="L358" i="8" s="1"/>
  <c r="B18" i="22"/>
  <c r="B327" i="22"/>
  <c r="B214" i="22"/>
  <c r="K265" i="8"/>
  <c r="L265" i="8" s="1"/>
  <c r="K228" i="8"/>
  <c r="L228" i="8" s="1"/>
  <c r="K224" i="8"/>
  <c r="L224" i="8" s="1"/>
  <c r="K229" i="8"/>
  <c r="L229" i="8" s="1"/>
  <c r="P827" i="18"/>
  <c r="P828" i="18"/>
  <c r="B550" i="22"/>
  <c r="Q827" i="18"/>
  <c r="R828" i="18"/>
  <c r="N828" i="18"/>
  <c r="B388" i="22"/>
  <c r="N827" i="18"/>
  <c r="B370" i="22"/>
  <c r="B371" i="22"/>
  <c r="R827" i="18"/>
  <c r="O828" i="18"/>
  <c r="B407" i="22"/>
  <c r="O827" i="18"/>
  <c r="Q828" i="18"/>
  <c r="K131" i="6"/>
  <c r="L131" i="6" s="1"/>
  <c r="K132" i="6"/>
  <c r="L132" i="6" s="1"/>
  <c r="K128" i="6"/>
  <c r="L128" i="6" s="1"/>
  <c r="K197" i="6"/>
  <c r="L197" i="6" s="1"/>
  <c r="B426" i="22"/>
  <c r="Q287" i="18"/>
  <c r="N287" i="18"/>
  <c r="B391" i="22"/>
  <c r="B383" i="22"/>
  <c r="P288" i="18"/>
  <c r="B385" i="22"/>
  <c r="R288" i="18"/>
  <c r="O288" i="18"/>
  <c r="B380" i="22"/>
  <c r="B553" i="22"/>
  <c r="B381" i="22"/>
  <c r="O287" i="18"/>
  <c r="N288" i="18"/>
  <c r="B384" i="22"/>
  <c r="Q288" i="18"/>
  <c r="B382" i="22"/>
  <c r="P287" i="18"/>
  <c r="R287" i="18"/>
  <c r="Z28" i="11"/>
  <c r="K375" i="8"/>
  <c r="L375" i="8" s="1"/>
  <c r="K194" i="7"/>
  <c r="L194" i="7" s="1"/>
  <c r="AI39" i="11"/>
  <c r="AG37" i="11"/>
  <c r="E9" i="11"/>
  <c r="H11" i="11"/>
  <c r="U18" i="11"/>
  <c r="U26" i="11" s="1"/>
  <c r="AJ38" i="11"/>
  <c r="AJ41" i="11" s="1"/>
  <c r="K401" i="8"/>
  <c r="L401" i="8" s="1"/>
  <c r="K364" i="8"/>
  <c r="L364" i="8" s="1"/>
  <c r="K360" i="8"/>
  <c r="L360" i="8" s="1"/>
  <c r="K365" i="8"/>
  <c r="L365" i="8" s="1"/>
  <c r="P963" i="18"/>
  <c r="B434" i="22"/>
  <c r="B392" i="22"/>
  <c r="O963" i="18"/>
  <c r="R963" i="18"/>
  <c r="B386" i="22"/>
  <c r="N963" i="18"/>
  <c r="O964" i="18"/>
  <c r="Q963" i="18"/>
  <c r="N964" i="18"/>
  <c r="R964" i="18"/>
  <c r="P964" i="18"/>
  <c r="Q964" i="18"/>
  <c r="B387" i="22"/>
  <c r="B554" i="22"/>
  <c r="K222" i="8"/>
  <c r="L222" i="8" s="1"/>
  <c r="B323" i="22"/>
  <c r="B14" i="22"/>
  <c r="B210" i="22"/>
  <c r="S20" i="11"/>
  <c r="K147" i="6"/>
  <c r="L147" i="6" s="1"/>
  <c r="K154" i="7"/>
  <c r="L154" i="7" s="1"/>
  <c r="W27" i="11"/>
  <c r="K87" i="8"/>
  <c r="L87" i="8" s="1"/>
  <c r="N690" i="18"/>
  <c r="O690" i="18"/>
  <c r="P690" i="18"/>
  <c r="Q690" i="18"/>
  <c r="R690" i="18"/>
  <c r="K125" i="8"/>
  <c r="L125" i="8" s="1"/>
  <c r="AC35" i="11"/>
  <c r="Z27" i="11"/>
  <c r="K397" i="8"/>
  <c r="L397" i="8" s="1"/>
  <c r="K188" i="6"/>
  <c r="L188" i="6" s="1"/>
  <c r="K129" i="7" l="1"/>
  <c r="L129" i="7" s="1"/>
  <c r="T25" i="11"/>
  <c r="K355" i="8"/>
  <c r="L355" i="8" s="1"/>
  <c r="S24" i="11"/>
  <c r="B663" i="22"/>
  <c r="K193" i="7"/>
  <c r="L193" i="7" s="1"/>
  <c r="B589" i="22"/>
  <c r="K83" i="8"/>
  <c r="L83" i="8" s="1"/>
  <c r="B661" i="22"/>
  <c r="H13" i="11"/>
  <c r="O20" i="11"/>
  <c r="AC34" i="11"/>
  <c r="W28" i="11"/>
  <c r="R23" i="11"/>
  <c r="Y30" i="11"/>
  <c r="B660" i="22"/>
  <c r="X29" i="11"/>
  <c r="K395" i="8"/>
  <c r="L395" i="8" s="1"/>
  <c r="B592" i="22"/>
  <c r="K218" i="8"/>
  <c r="L218" i="8" s="1"/>
  <c r="R816" i="18"/>
  <c r="Q817" i="18"/>
  <c r="O817" i="18"/>
  <c r="N817" i="18"/>
  <c r="P817" i="18"/>
  <c r="N816" i="18"/>
  <c r="R817" i="18"/>
  <c r="O816" i="18"/>
  <c r="P816" i="18"/>
  <c r="B593" i="22"/>
  <c r="Q816" i="18"/>
  <c r="AI40" i="11"/>
  <c r="K187" i="6"/>
  <c r="L187" i="6" s="1"/>
  <c r="B591" i="22"/>
  <c r="K354" i="8"/>
  <c r="L354" i="8" s="1"/>
  <c r="K353" i="8" s="1"/>
  <c r="L353" i="8" s="1"/>
  <c r="K352" i="8" s="1"/>
  <c r="L352" i="8" s="1"/>
  <c r="N952" i="18"/>
  <c r="P952" i="18"/>
  <c r="Q953" i="18"/>
  <c r="Q952" i="18"/>
  <c r="R952" i="18"/>
  <c r="P953" i="18"/>
  <c r="O953" i="18"/>
  <c r="N953" i="18"/>
  <c r="R953" i="18"/>
  <c r="B597" i="22"/>
  <c r="O952" i="18"/>
  <c r="E10" i="11"/>
  <c r="AH40" i="11"/>
  <c r="AH39" i="11" s="1"/>
  <c r="P23" i="11"/>
  <c r="P21" i="11" s="1"/>
  <c r="I14" i="11"/>
  <c r="K16" i="11"/>
  <c r="J15" i="11"/>
  <c r="K82" i="8"/>
  <c r="L82" i="8" s="1"/>
  <c r="O680" i="18"/>
  <c r="N681" i="18"/>
  <c r="R680" i="18"/>
  <c r="R681" i="18"/>
  <c r="O681" i="18"/>
  <c r="P680" i="18"/>
  <c r="Q681" i="18"/>
  <c r="Q680" i="18"/>
  <c r="N680" i="18"/>
  <c r="B595" i="22"/>
  <c r="P681" i="18"/>
  <c r="K259" i="8"/>
  <c r="L259" i="8" s="1"/>
  <c r="B588" i="22"/>
  <c r="AD35" i="11"/>
  <c r="Q22" i="11"/>
  <c r="F13" i="11"/>
  <c r="F11" i="11" s="1"/>
  <c r="AG38" i="11"/>
  <c r="Z31" i="11"/>
  <c r="K123" i="6"/>
  <c r="L123" i="6" s="1"/>
  <c r="B662" i="22"/>
  <c r="AB33" i="11"/>
  <c r="N19" i="11"/>
  <c r="K128" i="7"/>
  <c r="L128" i="7" s="1"/>
  <c r="K127" i="7" s="1"/>
  <c r="L127" i="7" s="1"/>
  <c r="K126" i="7" s="1"/>
  <c r="L126" i="7" s="1"/>
  <c r="R494" i="18"/>
  <c r="R497" i="18"/>
  <c r="Q495" i="18"/>
  <c r="R496" i="18"/>
  <c r="N496" i="18"/>
  <c r="R493" i="18"/>
  <c r="N494" i="18"/>
  <c r="N497" i="18"/>
  <c r="P497" i="18"/>
  <c r="Q496" i="18"/>
  <c r="Q493" i="18"/>
  <c r="P498" i="18"/>
  <c r="P493" i="18"/>
  <c r="O497" i="18"/>
  <c r="P494" i="18"/>
  <c r="Q497" i="18"/>
  <c r="Q494" i="18"/>
  <c r="N493" i="18"/>
  <c r="P495" i="18"/>
  <c r="R495" i="18"/>
  <c r="R498" i="18"/>
  <c r="Q498" i="18"/>
  <c r="O494" i="18"/>
  <c r="B594" i="22"/>
  <c r="O495" i="18"/>
  <c r="P496" i="18"/>
  <c r="O496" i="18"/>
  <c r="N498" i="18"/>
  <c r="O493" i="18"/>
  <c r="O498" i="18"/>
  <c r="N495" i="18"/>
  <c r="AE36" i="11"/>
  <c r="K122" i="6"/>
  <c r="L122" i="6" s="1"/>
  <c r="N273" i="18"/>
  <c r="Q268" i="18"/>
  <c r="Q269" i="18"/>
  <c r="N269" i="18"/>
  <c r="Q271" i="18"/>
  <c r="N271" i="18"/>
  <c r="O272" i="18"/>
  <c r="O269" i="18"/>
  <c r="P273" i="18"/>
  <c r="O273" i="18"/>
  <c r="R271" i="18"/>
  <c r="N268" i="18"/>
  <c r="Q272" i="18"/>
  <c r="R268" i="18"/>
  <c r="N270" i="18"/>
  <c r="B596" i="22"/>
  <c r="N272" i="18"/>
  <c r="R269" i="18"/>
  <c r="P271" i="18"/>
  <c r="P270" i="18"/>
  <c r="Q273" i="18"/>
  <c r="O270" i="18"/>
  <c r="R272" i="18"/>
  <c r="R270" i="18"/>
  <c r="R273" i="18"/>
  <c r="P269" i="18"/>
  <c r="O268" i="18"/>
  <c r="P272" i="18"/>
  <c r="P268" i="18"/>
  <c r="Q270" i="18"/>
  <c r="O271" i="18"/>
  <c r="K123" i="8"/>
  <c r="L123" i="8" s="1"/>
  <c r="B590" i="22"/>
  <c r="L17" i="11"/>
  <c r="G12" i="11"/>
  <c r="K219" i="8"/>
  <c r="L219" i="8" s="1"/>
  <c r="B659" i="22"/>
  <c r="K121" i="6" l="1"/>
  <c r="L121" i="6" s="1"/>
  <c r="K120" i="6" s="1"/>
  <c r="L120" i="6" s="1"/>
  <c r="K108" i="6" s="1"/>
  <c r="L108" i="6" s="1"/>
  <c r="K114" i="7"/>
  <c r="L114" i="7" s="1"/>
  <c r="K116" i="7"/>
  <c r="L116" i="7" s="1"/>
  <c r="K118" i="7"/>
  <c r="L118" i="7" s="1"/>
  <c r="K117" i="7"/>
  <c r="L117" i="7" s="1"/>
  <c r="K115" i="7"/>
  <c r="L115" i="7" s="1"/>
  <c r="K119" i="7"/>
  <c r="L119" i="7" s="1"/>
  <c r="K81" i="8"/>
  <c r="L81" i="8" s="1"/>
  <c r="K80" i="8" s="1"/>
  <c r="L80" i="8" s="1"/>
  <c r="K348" i="8"/>
  <c r="L348" i="8" s="1"/>
  <c r="K349" i="8"/>
  <c r="L349" i="8" s="1"/>
  <c r="K111" i="6"/>
  <c r="L111" i="6" s="1"/>
  <c r="K217" i="8"/>
  <c r="L217" i="8" s="1"/>
  <c r="K216" i="8" s="1"/>
  <c r="L216" i="8" s="1"/>
  <c r="K113" i="6" l="1"/>
  <c r="L113" i="6" s="1"/>
  <c r="K109" i="6"/>
  <c r="L109" i="6" s="1"/>
  <c r="K112" i="6"/>
  <c r="L112" i="6" s="1"/>
  <c r="D16" i="11" s="1"/>
  <c r="K110" i="6"/>
  <c r="L110" i="6" s="1"/>
  <c r="D12" i="11" s="1"/>
  <c r="AF38" i="11"/>
  <c r="M26" i="11"/>
  <c r="D11" i="11"/>
  <c r="M24" i="11"/>
  <c r="M21" i="11"/>
  <c r="D15" i="11"/>
  <c r="D17" i="11"/>
  <c r="M20" i="11"/>
  <c r="M25" i="11"/>
  <c r="D10" i="11"/>
  <c r="K77" i="8"/>
  <c r="L77" i="8" s="1"/>
  <c r="K76" i="8"/>
  <c r="L76" i="8" s="1"/>
  <c r="K213" i="8"/>
  <c r="L213" i="8" s="1"/>
  <c r="K212" i="8"/>
  <c r="L212" i="8" s="1"/>
  <c r="M19" i="11"/>
  <c r="AF41" i="11"/>
  <c r="M18" i="11" l="1"/>
  <c r="D9" i="11"/>
  <c r="AA33" i="11"/>
  <c r="AA36" i="11"/>
  <c r="V28" i="11"/>
  <c r="AF37" i="11"/>
  <c r="V31" i="11"/>
  <c r="AA32" i="11" l="1"/>
  <c r="V27" i="11"/>
  <c r="D45" i="11" a="1"/>
  <c r="F45" i="11" l="1"/>
  <c r="O45" i="11"/>
  <c r="T45" i="11"/>
  <c r="AC45" i="11"/>
  <c r="AG45" i="11"/>
  <c r="D45" i="11"/>
  <c r="I45" i="11"/>
  <c r="N45" i="11"/>
  <c r="S45" i="11"/>
  <c r="Y45" i="11"/>
  <c r="AD45" i="11"/>
  <c r="L45" i="11"/>
  <c r="Q45" i="11"/>
  <c r="V45" i="11"/>
  <c r="AA45" i="11"/>
  <c r="AF45" i="11"/>
  <c r="M45" i="11"/>
  <c r="H45" i="11"/>
  <c r="AI45" i="11"/>
  <c r="W45" i="11"/>
  <c r="E45" i="11"/>
  <c r="P45" i="11"/>
  <c r="X45" i="11"/>
  <c r="G45" i="11"/>
  <c r="AH45" i="11"/>
  <c r="Z45" i="11"/>
  <c r="AB45" i="11"/>
  <c r="J45" i="11"/>
  <c r="K45" i="11"/>
  <c r="R45" i="11"/>
  <c r="AJ45" i="11"/>
  <c r="AE45" i="11"/>
  <c r="U45" i="11"/>
  <c r="X55" i="11" l="1"/>
  <c r="X58" i="11"/>
  <c r="X57" i="11"/>
  <c r="X60" i="11"/>
  <c r="X63" i="11"/>
  <c r="X65" i="11"/>
  <c r="X68" i="11"/>
  <c r="X72" i="11"/>
  <c r="X80" i="11"/>
  <c r="X81" i="11"/>
  <c r="X83" i="11"/>
  <c r="X59" i="11"/>
  <c r="X84" i="11"/>
  <c r="X71" i="11"/>
  <c r="X73" i="11"/>
  <c r="X85" i="11"/>
  <c r="G31" i="23"/>
  <c r="X66" i="11"/>
  <c r="X67" i="11"/>
  <c r="X70" i="11"/>
  <c r="X74" i="11"/>
  <c r="X86" i="11"/>
  <c r="X61" i="11"/>
  <c r="X64" i="11"/>
  <c r="X69" i="11"/>
  <c r="X77" i="11"/>
  <c r="X82" i="11"/>
  <c r="X62" i="11"/>
  <c r="X49" i="11"/>
  <c r="X78" i="11"/>
  <c r="AE34" i="23"/>
  <c r="AS157" i="23" s="1"/>
  <c r="AT153" i="23"/>
  <c r="X79" i="11"/>
  <c r="X56" i="11"/>
  <c r="X50" i="11"/>
  <c r="X87" i="11"/>
  <c r="AG34" i="23"/>
  <c r="AV158" i="23" s="1"/>
  <c r="AM34" i="23"/>
  <c r="AM35" i="23"/>
  <c r="X94" i="11"/>
  <c r="X76" i="11"/>
  <c r="AE62" i="11"/>
  <c r="AE66" i="11"/>
  <c r="AE55" i="11"/>
  <c r="AE59" i="11"/>
  <c r="AE61" i="11"/>
  <c r="AE83" i="11"/>
  <c r="AE57" i="11"/>
  <c r="AE70" i="11"/>
  <c r="AE74" i="11"/>
  <c r="AE85" i="11"/>
  <c r="AE50" i="11"/>
  <c r="I47" i="23"/>
  <c r="AE65" i="11"/>
  <c r="AE68" i="11"/>
  <c r="AE69" i="11"/>
  <c r="AE75" i="11"/>
  <c r="AE76" i="11"/>
  <c r="AE86" i="11"/>
  <c r="AE87" i="11"/>
  <c r="AE56" i="11"/>
  <c r="AE60" i="11"/>
  <c r="AE64" i="11"/>
  <c r="AE72" i="11"/>
  <c r="AE80" i="11"/>
  <c r="AE84" i="11"/>
  <c r="AE58" i="11"/>
  <c r="AE73" i="11"/>
  <c r="AE81" i="11"/>
  <c r="AE77" i="11"/>
  <c r="AE46" i="11"/>
  <c r="AE49" i="11"/>
  <c r="CS12" i="23"/>
  <c r="AE71" i="11"/>
  <c r="AE67" i="11"/>
  <c r="AE63" i="11"/>
  <c r="AG42" i="23"/>
  <c r="AK42" i="23"/>
  <c r="AK38" i="23" s="1"/>
  <c r="BD144" i="23"/>
  <c r="AE94" i="11"/>
  <c r="AL42" i="23"/>
  <c r="AL39" i="23" s="1"/>
  <c r="BB147" i="23" s="1"/>
  <c r="AE78" i="11"/>
  <c r="AE79" i="11"/>
  <c r="G62" i="11"/>
  <c r="G70" i="11"/>
  <c r="G78" i="11"/>
  <c r="G86" i="11"/>
  <c r="G56" i="11"/>
  <c r="G61" i="11"/>
  <c r="G71" i="11"/>
  <c r="G80" i="11"/>
  <c r="G63" i="11"/>
  <c r="G73" i="11"/>
  <c r="G83" i="11"/>
  <c r="G65" i="11"/>
  <c r="G75" i="11"/>
  <c r="G85" i="11"/>
  <c r="G69" i="11"/>
  <c r="G84" i="11"/>
  <c r="G72" i="11"/>
  <c r="G87" i="11"/>
  <c r="C27" i="23"/>
  <c r="G76" i="11"/>
  <c r="G57" i="11"/>
  <c r="G59" i="11"/>
  <c r="G81" i="11"/>
  <c r="G64" i="11"/>
  <c r="G82" i="11"/>
  <c r="G66" i="11"/>
  <c r="G50" i="11"/>
  <c r="G68" i="11"/>
  <c r="G67" i="11"/>
  <c r="AE15" i="23"/>
  <c r="AS26" i="23" s="1"/>
  <c r="G79" i="11"/>
  <c r="G49" i="11"/>
  <c r="G74" i="11"/>
  <c r="G77" i="11"/>
  <c r="BU12" i="23"/>
  <c r="G46" i="11"/>
  <c r="AG15" i="23"/>
  <c r="AU33" i="23" s="1"/>
  <c r="AM15" i="23"/>
  <c r="AI15" i="23"/>
  <c r="AU21" i="23" s="1"/>
  <c r="AM17" i="23"/>
  <c r="G60" i="11"/>
  <c r="G94" i="11"/>
  <c r="G55" i="11"/>
  <c r="AF58" i="11"/>
  <c r="AF60" i="11"/>
  <c r="AF61" i="11"/>
  <c r="AF56" i="11"/>
  <c r="AF66" i="11"/>
  <c r="AF68" i="11"/>
  <c r="AF72" i="11"/>
  <c r="AF76" i="11"/>
  <c r="AF80" i="11"/>
  <c r="AF55" i="11"/>
  <c r="AF59" i="11"/>
  <c r="AF64" i="11"/>
  <c r="AF57" i="11"/>
  <c r="AF79" i="11"/>
  <c r="AF50" i="11"/>
  <c r="AF65" i="11"/>
  <c r="AF69" i="11"/>
  <c r="AF75" i="11"/>
  <c r="K11" i="23"/>
  <c r="AF49" i="11"/>
  <c r="AF48" i="11" s="1"/>
  <c r="AF67" i="11"/>
  <c r="AF81" i="11"/>
  <c r="AF62" i="11"/>
  <c r="AF71" i="11"/>
  <c r="AF78" i="11"/>
  <c r="AE44" i="23"/>
  <c r="BE136" i="23" s="1"/>
  <c r="AF63" i="11"/>
  <c r="AF44" i="23"/>
  <c r="BG136" i="23" s="1"/>
  <c r="AF82" i="11"/>
  <c r="AF70" i="11"/>
  <c r="AF77" i="11"/>
  <c r="AF73" i="11"/>
  <c r="AF85" i="11"/>
  <c r="CT12" i="23"/>
  <c r="AF74" i="11"/>
  <c r="AF46" i="11"/>
  <c r="AF86" i="11"/>
  <c r="AG44" i="23"/>
  <c r="BG141" i="23" s="1"/>
  <c r="AF94" i="11"/>
  <c r="AH45" i="23"/>
  <c r="AJ48" i="23"/>
  <c r="AF87" i="11"/>
  <c r="AF84" i="11"/>
  <c r="N60" i="11"/>
  <c r="N61" i="11"/>
  <c r="N73" i="11"/>
  <c r="N81" i="11"/>
  <c r="N55" i="11"/>
  <c r="N67" i="11"/>
  <c r="N75" i="11"/>
  <c r="N83" i="11"/>
  <c r="N74" i="11"/>
  <c r="N85" i="11"/>
  <c r="N62" i="11"/>
  <c r="N63" i="11"/>
  <c r="N76" i="11"/>
  <c r="N86" i="11"/>
  <c r="E15" i="23"/>
  <c r="N68" i="11"/>
  <c r="N78" i="11"/>
  <c r="N58" i="11"/>
  <c r="N77" i="11"/>
  <c r="N79" i="11"/>
  <c r="N50" i="11"/>
  <c r="N57" i="11"/>
  <c r="N80" i="11"/>
  <c r="N56" i="11"/>
  <c r="N59" i="11"/>
  <c r="N82" i="11"/>
  <c r="N84" i="11"/>
  <c r="N66" i="11"/>
  <c r="N71" i="11"/>
  <c r="N72" i="11"/>
  <c r="N49" i="11"/>
  <c r="N48" i="11" s="1"/>
  <c r="AD24" i="23"/>
  <c r="N69" i="11"/>
  <c r="CB12" i="23"/>
  <c r="AE23" i="23"/>
  <c r="AS88" i="23" s="1"/>
  <c r="N87" i="11"/>
  <c r="N70" i="11"/>
  <c r="AI23" i="23"/>
  <c r="N64" i="11"/>
  <c r="AG23" i="23"/>
  <c r="BA91" i="23" s="1"/>
  <c r="N94" i="11"/>
  <c r="AJ57" i="11"/>
  <c r="AJ55" i="11"/>
  <c r="AJ61" i="11"/>
  <c r="AJ63" i="11"/>
  <c r="AJ65" i="11"/>
  <c r="AJ59" i="11"/>
  <c r="AJ62" i="11"/>
  <c r="AJ70" i="11"/>
  <c r="AJ74" i="11"/>
  <c r="AJ78" i="11"/>
  <c r="AJ82" i="11"/>
  <c r="AJ86" i="11"/>
  <c r="AJ58" i="11"/>
  <c r="AJ50" i="11"/>
  <c r="AJ67" i="11"/>
  <c r="AJ69" i="11"/>
  <c r="AJ71" i="11"/>
  <c r="AJ73" i="11"/>
  <c r="AJ75" i="11"/>
  <c r="AJ77" i="11"/>
  <c r="AJ79" i="11"/>
  <c r="AJ81" i="11"/>
  <c r="AJ85" i="11"/>
  <c r="AJ66" i="11"/>
  <c r="AJ49" i="11"/>
  <c r="AJ48" i="11" s="1"/>
  <c r="AJ68" i="11"/>
  <c r="AJ76" i="11"/>
  <c r="AJ60" i="11"/>
  <c r="AJ72" i="11"/>
  <c r="AJ56" i="11"/>
  <c r="AJ80" i="11"/>
  <c r="AJ64" i="11"/>
  <c r="AJ46" i="11"/>
  <c r="CX12" i="23"/>
  <c r="K47" i="23"/>
  <c r="AG48" i="23"/>
  <c r="BJ151" i="23" s="1"/>
  <c r="AK48" i="23"/>
  <c r="AK44" i="23" s="1"/>
  <c r="BJ144" i="23"/>
  <c r="AL48" i="23"/>
  <c r="AL45" i="23" s="1"/>
  <c r="BH147" i="23" s="1"/>
  <c r="AJ94" i="11"/>
  <c r="AJ83" i="11"/>
  <c r="AJ84" i="11"/>
  <c r="AA55" i="11"/>
  <c r="AA56" i="11"/>
  <c r="AA60" i="11"/>
  <c r="AA57" i="11"/>
  <c r="AA64" i="11"/>
  <c r="AA62" i="11"/>
  <c r="AA86" i="11"/>
  <c r="AF38" i="23"/>
  <c r="BA136" i="23" s="1"/>
  <c r="AA87" i="11"/>
  <c r="AA63" i="11"/>
  <c r="AA65" i="11"/>
  <c r="AA68" i="11"/>
  <c r="AA72" i="11"/>
  <c r="AA76" i="11"/>
  <c r="AA81" i="11"/>
  <c r="I11" i="23"/>
  <c r="AA59" i="11"/>
  <c r="AA83" i="11"/>
  <c r="AA71" i="11"/>
  <c r="AA73" i="11"/>
  <c r="AA84" i="11"/>
  <c r="AA58" i="11"/>
  <c r="AA85" i="11"/>
  <c r="AA77" i="11"/>
  <c r="AA50" i="11"/>
  <c r="AA61" i="11"/>
  <c r="AA70" i="11"/>
  <c r="AA75" i="11"/>
  <c r="AA80" i="11"/>
  <c r="AA67" i="11"/>
  <c r="AA69" i="11"/>
  <c r="CO12" i="23"/>
  <c r="AA66" i="11"/>
  <c r="AA74" i="11"/>
  <c r="AA46" i="11"/>
  <c r="AA49" i="11"/>
  <c r="AA48" i="11" s="1"/>
  <c r="AE38" i="23"/>
  <c r="AY136" i="23" s="1"/>
  <c r="AG38" i="23"/>
  <c r="BA141" i="23" s="1"/>
  <c r="AA94" i="11"/>
  <c r="AH39" i="23"/>
  <c r="AJ42" i="23"/>
  <c r="AA82" i="11"/>
  <c r="AA79" i="11"/>
  <c r="I67" i="11"/>
  <c r="I75" i="11"/>
  <c r="I83" i="11"/>
  <c r="I65" i="11"/>
  <c r="I74" i="11"/>
  <c r="I84" i="11"/>
  <c r="I56" i="11"/>
  <c r="I57" i="11"/>
  <c r="I68" i="11"/>
  <c r="I77" i="11"/>
  <c r="I86" i="11"/>
  <c r="I61" i="11"/>
  <c r="I72" i="11"/>
  <c r="I85" i="11"/>
  <c r="I62" i="11"/>
  <c r="I73" i="11"/>
  <c r="I87" i="11"/>
  <c r="I59" i="11"/>
  <c r="I64" i="11"/>
  <c r="I78" i="11"/>
  <c r="I55" i="11"/>
  <c r="I70" i="11"/>
  <c r="I71" i="11"/>
  <c r="I76" i="11"/>
  <c r="I80" i="11"/>
  <c r="I63" i="11"/>
  <c r="I66" i="11"/>
  <c r="I79" i="11"/>
  <c r="I81" i="11"/>
  <c r="I46" i="11"/>
  <c r="BW12" i="23"/>
  <c r="I49" i="11"/>
  <c r="C35" i="23"/>
  <c r="I69" i="11"/>
  <c r="I50" i="11"/>
  <c r="I82" i="11"/>
  <c r="AG17" i="23"/>
  <c r="AU44" i="23" s="1"/>
  <c r="I94" i="11"/>
  <c r="AN17" i="23"/>
  <c r="AU40" i="23" s="1"/>
  <c r="AN15" i="23"/>
  <c r="I58" i="11"/>
  <c r="R62" i="11"/>
  <c r="R56" i="11"/>
  <c r="R59" i="11"/>
  <c r="R61" i="11"/>
  <c r="R74" i="11"/>
  <c r="R82" i="11"/>
  <c r="R64" i="11"/>
  <c r="R75" i="11"/>
  <c r="R83" i="11"/>
  <c r="AG27" i="23"/>
  <c r="AU108" i="23" s="1"/>
  <c r="R77" i="11"/>
  <c r="R85" i="11"/>
  <c r="R78" i="11"/>
  <c r="E35" i="23"/>
  <c r="R79" i="11"/>
  <c r="R58" i="11"/>
  <c r="R65" i="11"/>
  <c r="R80" i="11"/>
  <c r="R60" i="11"/>
  <c r="R71" i="11"/>
  <c r="R72" i="11"/>
  <c r="R94" i="11"/>
  <c r="R57" i="11"/>
  <c r="R63" i="11"/>
  <c r="R76" i="11"/>
  <c r="R86" i="11"/>
  <c r="R87" i="11"/>
  <c r="R66" i="11"/>
  <c r="R46" i="11"/>
  <c r="R49" i="11"/>
  <c r="R55" i="11"/>
  <c r="R81" i="11"/>
  <c r="R73" i="11"/>
  <c r="R70" i="11"/>
  <c r="R68" i="11"/>
  <c r="CF12" i="23"/>
  <c r="R50" i="11"/>
  <c r="R84" i="11"/>
  <c r="AN25" i="23"/>
  <c r="AN27" i="23"/>
  <c r="AU104" i="23" s="1"/>
  <c r="R67" i="11"/>
  <c r="P58" i="11"/>
  <c r="P56" i="11"/>
  <c r="P57" i="11"/>
  <c r="P62" i="11"/>
  <c r="P60" i="11"/>
  <c r="P61" i="11"/>
  <c r="P72" i="11"/>
  <c r="P80" i="11"/>
  <c r="P73" i="11"/>
  <c r="P81" i="11"/>
  <c r="P55" i="11"/>
  <c r="P63" i="11"/>
  <c r="P75" i="11"/>
  <c r="P83" i="11"/>
  <c r="P78" i="11"/>
  <c r="P65" i="11"/>
  <c r="P68" i="11"/>
  <c r="P79" i="11"/>
  <c r="AD33" i="23"/>
  <c r="P82" i="11"/>
  <c r="P50" i="11"/>
  <c r="P86" i="11"/>
  <c r="P59" i="11"/>
  <c r="P70" i="11"/>
  <c r="P87" i="11"/>
  <c r="P66" i="11"/>
  <c r="P74" i="11"/>
  <c r="P84" i="11"/>
  <c r="P85" i="11"/>
  <c r="P49" i="11"/>
  <c r="P46" i="11"/>
  <c r="P76" i="11"/>
  <c r="P71" i="11"/>
  <c r="AE25" i="23"/>
  <c r="AS90" i="23" s="1"/>
  <c r="E27" i="23"/>
  <c r="CD12" i="23"/>
  <c r="P77" i="11"/>
  <c r="AI25" i="23"/>
  <c r="AU85" i="23" s="1"/>
  <c r="AG25" i="23"/>
  <c r="AU97" i="23" s="1"/>
  <c r="P94" i="11"/>
  <c r="AM25" i="23"/>
  <c r="AM27" i="23"/>
  <c r="P64" i="11"/>
  <c r="P69" i="11"/>
  <c r="V58" i="11"/>
  <c r="V63" i="11"/>
  <c r="V65" i="11"/>
  <c r="V78" i="11"/>
  <c r="V86" i="11"/>
  <c r="AD44" i="23"/>
  <c r="V66" i="11"/>
  <c r="V79" i="11"/>
  <c r="V87" i="11"/>
  <c r="AE32" i="23"/>
  <c r="AS136" i="23" s="1"/>
  <c r="V59" i="11"/>
  <c r="V61" i="11"/>
  <c r="V64" i="11"/>
  <c r="V81" i="11"/>
  <c r="V67" i="11"/>
  <c r="V85" i="11"/>
  <c r="AD38" i="23"/>
  <c r="V70" i="11"/>
  <c r="V75" i="11"/>
  <c r="V68" i="11"/>
  <c r="V69" i="11"/>
  <c r="V76" i="11"/>
  <c r="V82" i="11"/>
  <c r="V56" i="11"/>
  <c r="V83" i="11"/>
  <c r="V72" i="11"/>
  <c r="V55" i="11"/>
  <c r="V60" i="11"/>
  <c r="V62" i="11"/>
  <c r="AF32" i="23"/>
  <c r="AU136" i="23" s="1"/>
  <c r="G11" i="23"/>
  <c r="V71" i="11"/>
  <c r="V80" i="11"/>
  <c r="V50" i="11"/>
  <c r="CJ12" i="23"/>
  <c r="V57" i="11"/>
  <c r="V46" i="11"/>
  <c r="V49" i="11"/>
  <c r="V48" i="11" s="1"/>
  <c r="V84" i="11"/>
  <c r="AG32" i="23"/>
  <c r="AU141" i="23" s="1"/>
  <c r="V94" i="11"/>
  <c r="AJ36" i="23"/>
  <c r="AH33" i="23"/>
  <c r="V77" i="11"/>
  <c r="V74" i="11"/>
  <c r="D71" i="11"/>
  <c r="D79" i="11"/>
  <c r="D87" i="11"/>
  <c r="D64" i="11"/>
  <c r="D73" i="11"/>
  <c r="D82" i="11"/>
  <c r="D59" i="11"/>
  <c r="D69" i="11"/>
  <c r="D80" i="11"/>
  <c r="D72" i="11"/>
  <c r="D83" i="11"/>
  <c r="D60" i="11"/>
  <c r="D75" i="11"/>
  <c r="D76" i="11"/>
  <c r="D65" i="11"/>
  <c r="D66" i="11"/>
  <c r="D78" i="11"/>
  <c r="D67" i="11"/>
  <c r="D86" i="11"/>
  <c r="AE12" i="23"/>
  <c r="AU10" i="23" s="1"/>
  <c r="D68" i="11"/>
  <c r="AF12" i="23"/>
  <c r="D70" i="11"/>
  <c r="AD22" i="23"/>
  <c r="D77" i="11"/>
  <c r="D50" i="11"/>
  <c r="D74" i="11"/>
  <c r="D85" i="11"/>
  <c r="D81" i="11"/>
  <c r="BR12" i="23"/>
  <c r="D84" i="11"/>
  <c r="D49" i="11"/>
  <c r="C11" i="23"/>
  <c r="C45" i="11"/>
  <c r="D46" i="11"/>
  <c r="AG12" i="23"/>
  <c r="D94" i="11"/>
  <c r="AH15" i="23"/>
  <c r="AU23" i="23" s="1"/>
  <c r="AJ19" i="23"/>
  <c r="AH14" i="23"/>
  <c r="AX23" i="23" s="1"/>
  <c r="AH13" i="23"/>
  <c r="AJ18" i="23"/>
  <c r="AJ20" i="23"/>
  <c r="D57" i="11"/>
  <c r="D56" i="11"/>
  <c r="D58" i="11"/>
  <c r="D63" i="11"/>
  <c r="D62" i="11"/>
  <c r="D61" i="11"/>
  <c r="K58" i="11"/>
  <c r="K60" i="11"/>
  <c r="K65" i="11"/>
  <c r="K73" i="11"/>
  <c r="K81" i="11"/>
  <c r="K69" i="11"/>
  <c r="K78" i="11"/>
  <c r="K87" i="11"/>
  <c r="K71" i="11"/>
  <c r="K80" i="11"/>
  <c r="K64" i="11"/>
  <c r="K76" i="11"/>
  <c r="K50" i="11"/>
  <c r="K66" i="11"/>
  <c r="K77" i="11"/>
  <c r="K68" i="11"/>
  <c r="K82" i="11"/>
  <c r="K61" i="11"/>
  <c r="K83" i="11"/>
  <c r="K46" i="11"/>
  <c r="K63" i="11"/>
  <c r="K84" i="11"/>
  <c r="K67" i="11"/>
  <c r="K85" i="11"/>
  <c r="K59" i="11"/>
  <c r="K86" i="11"/>
  <c r="K70" i="11"/>
  <c r="K75" i="11"/>
  <c r="K72" i="11"/>
  <c r="C43" i="23"/>
  <c r="K74" i="11"/>
  <c r="K49" i="11"/>
  <c r="K79" i="11"/>
  <c r="BY12" i="23"/>
  <c r="AG19" i="23"/>
  <c r="BF27" i="23" s="1"/>
  <c r="AK19" i="23"/>
  <c r="BH20" i="23" s="1"/>
  <c r="K55" i="11"/>
  <c r="K56" i="11"/>
  <c r="K94" i="11"/>
  <c r="AL19" i="23"/>
  <c r="K57" i="11"/>
  <c r="E63" i="11"/>
  <c r="E71" i="11"/>
  <c r="E79" i="11"/>
  <c r="E87" i="11"/>
  <c r="E64" i="11"/>
  <c r="E73" i="11"/>
  <c r="E82" i="11"/>
  <c r="E58" i="11"/>
  <c r="E68" i="11"/>
  <c r="E78" i="11"/>
  <c r="E60" i="11"/>
  <c r="E70" i="11"/>
  <c r="E81" i="11"/>
  <c r="E66" i="11"/>
  <c r="E80" i="11"/>
  <c r="E67" i="11"/>
  <c r="E83" i="11"/>
  <c r="AE13" i="23"/>
  <c r="AS24" i="23" s="1"/>
  <c r="E57" i="11"/>
  <c r="E72" i="11"/>
  <c r="E85" i="11"/>
  <c r="E69" i="11"/>
  <c r="E74" i="11"/>
  <c r="E75" i="11"/>
  <c r="E59" i="11"/>
  <c r="E77" i="11"/>
  <c r="E84" i="11"/>
  <c r="E86" i="11"/>
  <c r="E65" i="11"/>
  <c r="E50" i="11"/>
  <c r="E76" i="11"/>
  <c r="C15" i="23"/>
  <c r="E61" i="11"/>
  <c r="E62" i="11"/>
  <c r="E49" i="11"/>
  <c r="E48" i="11" s="1"/>
  <c r="AI13" i="23"/>
  <c r="AG13" i="23"/>
  <c r="BA27" i="23" s="1"/>
  <c r="E94" i="11"/>
  <c r="E55" i="11"/>
  <c r="Q57" i="11"/>
  <c r="Q59" i="11"/>
  <c r="Q56" i="11"/>
  <c r="Q64" i="11"/>
  <c r="Q72" i="11"/>
  <c r="Q80" i="11"/>
  <c r="Q67" i="11"/>
  <c r="Q73" i="11"/>
  <c r="Q81" i="11"/>
  <c r="Q50" i="11"/>
  <c r="Q55" i="11"/>
  <c r="Q60" i="11"/>
  <c r="Q65" i="11"/>
  <c r="Q75" i="11"/>
  <c r="Q83" i="11"/>
  <c r="AG26" i="23"/>
  <c r="AX99" i="23" s="1"/>
  <c r="E23" i="23"/>
  <c r="Q62" i="11"/>
  <c r="Q77" i="11"/>
  <c r="Q58" i="11"/>
  <c r="Q78" i="11"/>
  <c r="Q79" i="11"/>
  <c r="Q69" i="11"/>
  <c r="Q86" i="11"/>
  <c r="Q94" i="11"/>
  <c r="Q70" i="11"/>
  <c r="Q87" i="11"/>
  <c r="Q74" i="11"/>
  <c r="Q84" i="11"/>
  <c r="Q61" i="11"/>
  <c r="Q85" i="11"/>
  <c r="Q46" i="11"/>
  <c r="Q49" i="11"/>
  <c r="Q76" i="11"/>
  <c r="Q71" i="11"/>
  <c r="Q82" i="11"/>
  <c r="Q63" i="11"/>
  <c r="CE12" i="23"/>
  <c r="AN24" i="23"/>
  <c r="AN26" i="23"/>
  <c r="AY96" i="23" s="1"/>
  <c r="Q66" i="11"/>
  <c r="AG55" i="11"/>
  <c r="AG59" i="11"/>
  <c r="AG58" i="11"/>
  <c r="AG67" i="11"/>
  <c r="AG69" i="11"/>
  <c r="AG71" i="11"/>
  <c r="AG73" i="11"/>
  <c r="AG75" i="11"/>
  <c r="AG77" i="11"/>
  <c r="AG79" i="11"/>
  <c r="AG81" i="11"/>
  <c r="AG56" i="11"/>
  <c r="AG66" i="11"/>
  <c r="AG68" i="11"/>
  <c r="AG72" i="11"/>
  <c r="AG76" i="11"/>
  <c r="AG80" i="11"/>
  <c r="AE45" i="23"/>
  <c r="BE147" i="23" s="1"/>
  <c r="AG70" i="11"/>
  <c r="AG74" i="11"/>
  <c r="AG57" i="11"/>
  <c r="AG61" i="11"/>
  <c r="AG65" i="11"/>
  <c r="AG87" i="11"/>
  <c r="AD46" i="23"/>
  <c r="K27" i="23"/>
  <c r="AG85" i="11"/>
  <c r="AG63" i="11"/>
  <c r="AG86" i="11"/>
  <c r="AG49" i="11"/>
  <c r="AG48" i="11" s="1"/>
  <c r="AG82" i="11"/>
  <c r="CU12" i="23"/>
  <c r="AG64" i="11"/>
  <c r="AG78" i="11"/>
  <c r="AH46" i="11"/>
  <c r="AG50" i="11"/>
  <c r="AG62" i="11"/>
  <c r="AG46" i="11"/>
  <c r="BF155" i="23"/>
  <c r="AG60" i="11"/>
  <c r="AI45" i="23"/>
  <c r="AI44" i="23" s="1"/>
  <c r="BG145" i="23"/>
  <c r="AG45" i="23"/>
  <c r="BH152" i="23" s="1"/>
  <c r="AG94" i="11"/>
  <c r="AG83" i="11"/>
  <c r="J69" i="11"/>
  <c r="J77" i="11"/>
  <c r="J85" i="11"/>
  <c r="J66" i="11"/>
  <c r="J75" i="11"/>
  <c r="J84" i="11"/>
  <c r="J58" i="11"/>
  <c r="J68" i="11"/>
  <c r="J78" i="11"/>
  <c r="J87" i="11"/>
  <c r="J67" i="11"/>
  <c r="J80" i="11"/>
  <c r="J70" i="11"/>
  <c r="J81" i="11"/>
  <c r="J72" i="11"/>
  <c r="J83" i="11"/>
  <c r="J50" i="11"/>
  <c r="C39" i="23"/>
  <c r="J74" i="11"/>
  <c r="J76" i="11"/>
  <c r="J60" i="11"/>
  <c r="J62" i="11"/>
  <c r="J79" i="11"/>
  <c r="AG18" i="23"/>
  <c r="BD27" i="23" s="1"/>
  <c r="J73" i="11"/>
  <c r="J82" i="11"/>
  <c r="J65" i="11"/>
  <c r="J63" i="11"/>
  <c r="J64" i="11"/>
  <c r="J49" i="11"/>
  <c r="BX12" i="23"/>
  <c r="J86" i="11"/>
  <c r="J59" i="11"/>
  <c r="J71" i="11"/>
  <c r="J46" i="11"/>
  <c r="AK18" i="23"/>
  <c r="J56" i="11"/>
  <c r="J94" i="11"/>
  <c r="AL18" i="23"/>
  <c r="J55" i="11"/>
  <c r="J57" i="11"/>
  <c r="W55" i="11"/>
  <c r="W62" i="11"/>
  <c r="W59" i="11"/>
  <c r="W60" i="11"/>
  <c r="W61" i="11"/>
  <c r="W66" i="11"/>
  <c r="W82" i="11"/>
  <c r="AD34" i="23"/>
  <c r="AD39" i="23"/>
  <c r="W58" i="11"/>
  <c r="W75" i="11"/>
  <c r="W83" i="11"/>
  <c r="W56" i="11"/>
  <c r="W70" i="11"/>
  <c r="W77" i="11"/>
  <c r="W85" i="11"/>
  <c r="W63" i="11"/>
  <c r="W71" i="11"/>
  <c r="W84" i="11"/>
  <c r="G27" i="23"/>
  <c r="X46" i="11"/>
  <c r="W67" i="11"/>
  <c r="W86" i="11"/>
  <c r="AD45" i="23"/>
  <c r="W49" i="11"/>
  <c r="W87" i="11"/>
  <c r="W46" i="11"/>
  <c r="W65" i="11"/>
  <c r="W76" i="11"/>
  <c r="W78" i="11"/>
  <c r="W68" i="11"/>
  <c r="W80" i="11"/>
  <c r="W50" i="11"/>
  <c r="AD25" i="23"/>
  <c r="AE33" i="23"/>
  <c r="AS147" i="23" s="1"/>
  <c r="W57" i="11"/>
  <c r="CK12" i="23"/>
  <c r="W72" i="11"/>
  <c r="W81" i="11"/>
  <c r="W64" i="11"/>
  <c r="AT155" i="23"/>
  <c r="W69" i="11"/>
  <c r="W79" i="11"/>
  <c r="AG33" i="23"/>
  <c r="AV152" i="23" s="1"/>
  <c r="AU145" i="23"/>
  <c r="AI33" i="23"/>
  <c r="AI32" i="23" s="1"/>
  <c r="W94" i="11"/>
  <c r="W73" i="11"/>
  <c r="L61" i="11"/>
  <c r="L59" i="11"/>
  <c r="L71" i="11"/>
  <c r="L79" i="11"/>
  <c r="L87" i="11"/>
  <c r="L65" i="11"/>
  <c r="L73" i="11"/>
  <c r="L81" i="11"/>
  <c r="L60" i="11"/>
  <c r="L72" i="11"/>
  <c r="L83" i="11"/>
  <c r="L74" i="11"/>
  <c r="L84" i="11"/>
  <c r="L58" i="11"/>
  <c r="L66" i="11"/>
  <c r="L76" i="11"/>
  <c r="L86" i="11"/>
  <c r="L68" i="11"/>
  <c r="L85" i="11"/>
  <c r="C47" i="23"/>
  <c r="L69" i="11"/>
  <c r="L70" i="11"/>
  <c r="L64" i="11"/>
  <c r="L67" i="11"/>
  <c r="L77" i="11"/>
  <c r="L82" i="11"/>
  <c r="L50" i="11"/>
  <c r="L46" i="11"/>
  <c r="L78" i="11"/>
  <c r="L80" i="11"/>
  <c r="BZ12" i="23"/>
  <c r="L62" i="11"/>
  <c r="L49" i="11"/>
  <c r="L75" i="11"/>
  <c r="AG20" i="23"/>
  <c r="BH27" i="23" s="1"/>
  <c r="AK20" i="23"/>
  <c r="BF20" i="23" s="1"/>
  <c r="L94" i="11"/>
  <c r="L55" i="11"/>
  <c r="AL20" i="23"/>
  <c r="L56" i="11"/>
  <c r="L57" i="11"/>
  <c r="AC59" i="11"/>
  <c r="AC58" i="11"/>
  <c r="AC64" i="11"/>
  <c r="AC84" i="11"/>
  <c r="AE40" i="23"/>
  <c r="AY157" i="23" s="1"/>
  <c r="AC70" i="11"/>
  <c r="AC74" i="11"/>
  <c r="AC78" i="11"/>
  <c r="AC85" i="11"/>
  <c r="I31" i="23"/>
  <c r="AC60" i="11"/>
  <c r="AC87" i="11"/>
  <c r="AC61" i="11"/>
  <c r="AC72" i="11"/>
  <c r="AC86" i="11"/>
  <c r="AC55" i="11"/>
  <c r="AC56" i="11"/>
  <c r="AC63" i="11"/>
  <c r="AC62" i="11"/>
  <c r="AC71" i="11"/>
  <c r="AC75" i="11"/>
  <c r="AC73" i="11"/>
  <c r="AC57" i="11"/>
  <c r="AC68" i="11"/>
  <c r="AC83" i="11"/>
  <c r="AZ153" i="23"/>
  <c r="AC67" i="11"/>
  <c r="AC69" i="11"/>
  <c r="AC76" i="11"/>
  <c r="AC49" i="11"/>
  <c r="AC82" i="11"/>
  <c r="AC50" i="11"/>
  <c r="AC77" i="11"/>
  <c r="AC65" i="11"/>
  <c r="AC79" i="11"/>
  <c r="AC66" i="11"/>
  <c r="AM40" i="23"/>
  <c r="AG40" i="23"/>
  <c r="BB158" i="23" s="1"/>
  <c r="AM41" i="23"/>
  <c r="AC81" i="11"/>
  <c r="AC94" i="11"/>
  <c r="AB57" i="11"/>
  <c r="AB61" i="11"/>
  <c r="AB56" i="11"/>
  <c r="AB63" i="11"/>
  <c r="AB65" i="11"/>
  <c r="AB55" i="11"/>
  <c r="AB64" i="11"/>
  <c r="AB70" i="11"/>
  <c r="AB74" i="11"/>
  <c r="AB84" i="11"/>
  <c r="I27" i="23"/>
  <c r="AB62" i="11"/>
  <c r="AB85" i="11"/>
  <c r="AB67" i="11"/>
  <c r="AB69" i="11"/>
  <c r="AB71" i="11"/>
  <c r="AB73" i="11"/>
  <c r="AB75" i="11"/>
  <c r="AB77" i="11"/>
  <c r="AB87" i="11"/>
  <c r="AE39" i="23"/>
  <c r="AY147" i="23" s="1"/>
  <c r="AB60" i="11"/>
  <c r="AB59" i="11"/>
  <c r="AB80" i="11"/>
  <c r="AB58" i="11"/>
  <c r="AB86" i="11"/>
  <c r="AB76" i="11"/>
  <c r="AD40" i="23"/>
  <c r="AB50" i="11"/>
  <c r="AB66" i="11"/>
  <c r="AB72" i="11"/>
  <c r="AB82" i="11"/>
  <c r="AZ155" i="23"/>
  <c r="AB68" i="11"/>
  <c r="AB81" i="11"/>
  <c r="AC46" i="11"/>
  <c r="AB46" i="11"/>
  <c r="AB83" i="11"/>
  <c r="AB49" i="11"/>
  <c r="CP12" i="23"/>
  <c r="AI39" i="23"/>
  <c r="AI38" i="23" s="1"/>
  <c r="BA145" i="23"/>
  <c r="AG39" i="23"/>
  <c r="BB152" i="23" s="1"/>
  <c r="AB94" i="11"/>
  <c r="AB78" i="11"/>
  <c r="AI56" i="11"/>
  <c r="AI57" i="11"/>
  <c r="AI59" i="11"/>
  <c r="AI60" i="11"/>
  <c r="AI64" i="11"/>
  <c r="AI58" i="11"/>
  <c r="AI63" i="11"/>
  <c r="AI65" i="11"/>
  <c r="AI87" i="11"/>
  <c r="AI55" i="11"/>
  <c r="AI61" i="11"/>
  <c r="AI66" i="11"/>
  <c r="AI68" i="11"/>
  <c r="AI72" i="11"/>
  <c r="AI76" i="11"/>
  <c r="AI80" i="11"/>
  <c r="AI84" i="11"/>
  <c r="AI50" i="11"/>
  <c r="AI62" i="11"/>
  <c r="AI67" i="11"/>
  <c r="AI77" i="11"/>
  <c r="AI79" i="11"/>
  <c r="AI69" i="11"/>
  <c r="AI70" i="11"/>
  <c r="AI74" i="11"/>
  <c r="AI75" i="11"/>
  <c r="AG47" i="23"/>
  <c r="BG164" i="23" s="1"/>
  <c r="AI81" i="11"/>
  <c r="K35" i="23"/>
  <c r="AI78" i="11"/>
  <c r="CW12" i="23"/>
  <c r="AI71" i="11"/>
  <c r="AI49" i="11"/>
  <c r="AI48" i="11" s="1"/>
  <c r="AI73" i="11"/>
  <c r="AI83" i="11"/>
  <c r="AI82" i="11"/>
  <c r="AI46" i="11"/>
  <c r="AI94" i="11"/>
  <c r="AN47" i="23"/>
  <c r="AN46" i="23"/>
  <c r="BF159" i="23"/>
  <c r="AI85" i="11"/>
  <c r="AD58" i="11"/>
  <c r="AD56" i="11"/>
  <c r="AD57" i="11"/>
  <c r="AD63" i="11"/>
  <c r="AD65" i="11"/>
  <c r="AD61" i="11"/>
  <c r="AD86" i="11"/>
  <c r="AD64" i="11"/>
  <c r="AD87" i="11"/>
  <c r="AD62" i="11"/>
  <c r="AD94" i="11"/>
  <c r="AD84" i="11"/>
  <c r="AD60" i="11"/>
  <c r="AD72" i="11"/>
  <c r="AD85" i="11"/>
  <c r="AD50" i="11"/>
  <c r="I35" i="23"/>
  <c r="AD55" i="11"/>
  <c r="AD78" i="11"/>
  <c r="AD66" i="11"/>
  <c r="AD71" i="11"/>
  <c r="AD75" i="11"/>
  <c r="AD59" i="11"/>
  <c r="AD76" i="11"/>
  <c r="AD77" i="11"/>
  <c r="AD79" i="11"/>
  <c r="AD83" i="11"/>
  <c r="AD67" i="11"/>
  <c r="AD69" i="11"/>
  <c r="AD74" i="11"/>
  <c r="AG41" i="23"/>
  <c r="BA164" i="23" s="1"/>
  <c r="AD49" i="11"/>
  <c r="AD48" i="11" s="1"/>
  <c r="AD70" i="11"/>
  <c r="AD46" i="11"/>
  <c r="CR12" i="23"/>
  <c r="AD73" i="11"/>
  <c r="AD82" i="11"/>
  <c r="AD68" i="11"/>
  <c r="AN41" i="23"/>
  <c r="AN40" i="23"/>
  <c r="AZ159" i="23"/>
  <c r="AD80" i="11"/>
  <c r="T57" i="11"/>
  <c r="T61" i="11"/>
  <c r="T63" i="11"/>
  <c r="T55" i="11"/>
  <c r="T67" i="11"/>
  <c r="T56" i="11"/>
  <c r="T58" i="11"/>
  <c r="T70" i="11"/>
  <c r="T76" i="11"/>
  <c r="T84" i="11"/>
  <c r="T77" i="11"/>
  <c r="T85" i="11"/>
  <c r="T69" i="11"/>
  <c r="T79" i="11"/>
  <c r="T87" i="11"/>
  <c r="T68" i="11"/>
  <c r="T72" i="11"/>
  <c r="T83" i="11"/>
  <c r="T62" i="11"/>
  <c r="T73" i="11"/>
  <c r="T86" i="11"/>
  <c r="T74" i="11"/>
  <c r="T50" i="11"/>
  <c r="T81" i="11"/>
  <c r="T82" i="11"/>
  <c r="T78" i="11"/>
  <c r="T46" i="11"/>
  <c r="T60" i="11"/>
  <c r="E43" i="23"/>
  <c r="T75" i="11"/>
  <c r="CH12" i="23"/>
  <c r="T59" i="11"/>
  <c r="T49" i="11"/>
  <c r="T80" i="11"/>
  <c r="AG29" i="23"/>
  <c r="BH91" i="23" s="1"/>
  <c r="T65" i="11"/>
  <c r="AK29" i="23"/>
  <c r="BH84" i="23" s="1"/>
  <c r="T94" i="11"/>
  <c r="AL29" i="23"/>
  <c r="T66" i="11"/>
  <c r="T64" i="11"/>
  <c r="Z57" i="11"/>
  <c r="Z59" i="11"/>
  <c r="Z55" i="11"/>
  <c r="Z62" i="11"/>
  <c r="Z82" i="11"/>
  <c r="Z60" i="11"/>
  <c r="Z67" i="11"/>
  <c r="Z69" i="11"/>
  <c r="Z71" i="11"/>
  <c r="Z75" i="11"/>
  <c r="Z83" i="11"/>
  <c r="Z58" i="11"/>
  <c r="Z66" i="11"/>
  <c r="Z85" i="11"/>
  <c r="Z56" i="11"/>
  <c r="Z63" i="11"/>
  <c r="Z64" i="11"/>
  <c r="Z78" i="11"/>
  <c r="Z79" i="11"/>
  <c r="Z76" i="11"/>
  <c r="Z84" i="11"/>
  <c r="Z65" i="11"/>
  <c r="Z86" i="11"/>
  <c r="Z50" i="11"/>
  <c r="AG36" i="23"/>
  <c r="AX151" i="23" s="1"/>
  <c r="Z80" i="11"/>
  <c r="Z46" i="11"/>
  <c r="CN12" i="23"/>
  <c r="Z68" i="11"/>
  <c r="Z87" i="11"/>
  <c r="Z81" i="11"/>
  <c r="Z61" i="11"/>
  <c r="Z70" i="11"/>
  <c r="G47" i="23"/>
  <c r="Z49" i="11"/>
  <c r="Z48" i="11" s="1"/>
  <c r="Z72" i="11"/>
  <c r="Z94" i="11"/>
  <c r="AX144" i="23"/>
  <c r="AK36" i="23"/>
  <c r="AK32" i="23" s="1"/>
  <c r="AL36" i="23"/>
  <c r="AL33" i="23" s="1"/>
  <c r="AV147" i="23" s="1"/>
  <c r="Z74" i="11"/>
  <c r="Z73" i="11"/>
  <c r="H60" i="11"/>
  <c r="H67" i="11"/>
  <c r="H75" i="11"/>
  <c r="H83" i="11"/>
  <c r="H58" i="11"/>
  <c r="H66" i="11"/>
  <c r="H76" i="11"/>
  <c r="H85" i="11"/>
  <c r="H69" i="11"/>
  <c r="H78" i="11"/>
  <c r="H87" i="11"/>
  <c r="H68" i="11"/>
  <c r="H80" i="11"/>
  <c r="C23" i="23"/>
  <c r="H70" i="11"/>
  <c r="H81" i="11"/>
  <c r="H55" i="11"/>
  <c r="H61" i="11"/>
  <c r="H72" i="11"/>
  <c r="H84" i="11"/>
  <c r="H65" i="11"/>
  <c r="H56" i="11"/>
  <c r="H71" i="11"/>
  <c r="H73" i="11"/>
  <c r="H50" i="11"/>
  <c r="H77" i="11"/>
  <c r="H79" i="11"/>
  <c r="H82" i="11"/>
  <c r="H64" i="11"/>
  <c r="H74" i="11"/>
  <c r="H46" i="11"/>
  <c r="H62" i="11"/>
  <c r="BV12" i="23"/>
  <c r="H63" i="11"/>
  <c r="H86" i="11"/>
  <c r="H49" i="11"/>
  <c r="AG16" i="23"/>
  <c r="AX35" i="23" s="1"/>
  <c r="H94" i="11"/>
  <c r="AN14" i="23"/>
  <c r="AN16" i="23"/>
  <c r="AY32" i="23" s="1"/>
  <c r="H57" i="11"/>
  <c r="Y56" i="11"/>
  <c r="Y62" i="11"/>
  <c r="Y59" i="11"/>
  <c r="Y60" i="11"/>
  <c r="Y61" i="11"/>
  <c r="Y66" i="11"/>
  <c r="Y67" i="11"/>
  <c r="Y69" i="11"/>
  <c r="Y71" i="11"/>
  <c r="Y73" i="11"/>
  <c r="Y80" i="11"/>
  <c r="Y57" i="11"/>
  <c r="Y63" i="11"/>
  <c r="Y65" i="11"/>
  <c r="Y68" i="11"/>
  <c r="Y72" i="11"/>
  <c r="Y81" i="11"/>
  <c r="AG35" i="23"/>
  <c r="AU164" i="23" s="1"/>
  <c r="Y55" i="11"/>
  <c r="Y83" i="11"/>
  <c r="Y64" i="11"/>
  <c r="Y85" i="11"/>
  <c r="Y86" i="11"/>
  <c r="Y94" i="11"/>
  <c r="Y87" i="11"/>
  <c r="Y50" i="11"/>
  <c r="G35" i="23"/>
  <c r="Y84" i="11"/>
  <c r="Y70" i="11"/>
  <c r="Y74" i="11"/>
  <c r="Y79" i="11"/>
  <c r="Y58" i="11"/>
  <c r="Y82" i="11"/>
  <c r="Y77" i="11"/>
  <c r="Y49" i="11"/>
  <c r="Y48" i="11" s="1"/>
  <c r="CM12" i="23"/>
  <c r="Y78" i="11"/>
  <c r="Y46" i="11"/>
  <c r="AN34" i="23"/>
  <c r="AT159" i="23"/>
  <c r="AN35" i="23"/>
  <c r="Y75" i="11"/>
  <c r="O55" i="11"/>
  <c r="O62" i="11"/>
  <c r="O69" i="11"/>
  <c r="O77" i="11"/>
  <c r="O85" i="11"/>
  <c r="O59" i="11"/>
  <c r="O71" i="11"/>
  <c r="O80" i="11"/>
  <c r="O65" i="11"/>
  <c r="O72" i="11"/>
  <c r="O81" i="11"/>
  <c r="AD23" i="23"/>
  <c r="O57" i="11"/>
  <c r="O74" i="11"/>
  <c r="O83" i="11"/>
  <c r="O79" i="11"/>
  <c r="AE24" i="23"/>
  <c r="AS89" i="23" s="1"/>
  <c r="O67" i="11"/>
  <c r="O82" i="11"/>
  <c r="O61" i="11"/>
  <c r="O84" i="11"/>
  <c r="E19" i="23"/>
  <c r="O56" i="11"/>
  <c r="O87" i="11"/>
  <c r="O63" i="11"/>
  <c r="O60" i="11"/>
  <c r="O73" i="11"/>
  <c r="O78" i="11"/>
  <c r="O86" i="11"/>
  <c r="O50" i="11"/>
  <c r="O75" i="11"/>
  <c r="O70" i="11"/>
  <c r="O76" i="11"/>
  <c r="O49" i="11"/>
  <c r="CC12" i="23"/>
  <c r="O46" i="11"/>
  <c r="AG24" i="23"/>
  <c r="AX95" i="23" s="1"/>
  <c r="AM24" i="23"/>
  <c r="AI24" i="23"/>
  <c r="AM26" i="23"/>
  <c r="O68" i="11"/>
  <c r="O94" i="11"/>
  <c r="O64" i="11"/>
  <c r="U59" i="11"/>
  <c r="U58" i="11"/>
  <c r="U55" i="11"/>
  <c r="U76" i="11"/>
  <c r="U84" i="11"/>
  <c r="U56" i="11"/>
  <c r="U70" i="11"/>
  <c r="U77" i="11"/>
  <c r="U85" i="11"/>
  <c r="U79" i="11"/>
  <c r="U87" i="11"/>
  <c r="U78" i="11"/>
  <c r="U68" i="11"/>
  <c r="U69" i="11"/>
  <c r="U80" i="11"/>
  <c r="U62" i="11"/>
  <c r="U81" i="11"/>
  <c r="U57" i="11"/>
  <c r="U61" i="11"/>
  <c r="U73" i="11"/>
  <c r="U67" i="11"/>
  <c r="U75" i="11"/>
  <c r="U50" i="11"/>
  <c r="U71" i="11"/>
  <c r="U86" i="11"/>
  <c r="U82" i="11"/>
  <c r="U60" i="11"/>
  <c r="U83" i="11"/>
  <c r="E47" i="23"/>
  <c r="U63" i="11"/>
  <c r="CI12" i="23"/>
  <c r="U46" i="11"/>
  <c r="U49" i="11"/>
  <c r="U74" i="11"/>
  <c r="AG30" i="23"/>
  <c r="BF91" i="23" s="1"/>
  <c r="AL30" i="23"/>
  <c r="AK30" i="23"/>
  <c r="BF84" i="23" s="1"/>
  <c r="U65" i="11"/>
  <c r="U94" i="11"/>
  <c r="U66" i="11"/>
  <c r="U64" i="11"/>
  <c r="AH55" i="11"/>
  <c r="AH56" i="11"/>
  <c r="AH62" i="11"/>
  <c r="AH60" i="11"/>
  <c r="AH61" i="11"/>
  <c r="AH63" i="11"/>
  <c r="AH65" i="11"/>
  <c r="AH67" i="11"/>
  <c r="AH69" i="11"/>
  <c r="AH71" i="11"/>
  <c r="AH73" i="11"/>
  <c r="AH75" i="11"/>
  <c r="AH77" i="11"/>
  <c r="AH79" i="11"/>
  <c r="AH81" i="11"/>
  <c r="AH83" i="11"/>
  <c r="AH87" i="11"/>
  <c r="AH68" i="11"/>
  <c r="AH70" i="11"/>
  <c r="AH74" i="11"/>
  <c r="AH76" i="11"/>
  <c r="AH84" i="11"/>
  <c r="AH50" i="11"/>
  <c r="AH57" i="11"/>
  <c r="AH59" i="11"/>
  <c r="AH66" i="11"/>
  <c r="AE46" i="23"/>
  <c r="BE157" i="23" s="1"/>
  <c r="AH82" i="11"/>
  <c r="AH72" i="11"/>
  <c r="K31" i="23"/>
  <c r="AH80" i="11"/>
  <c r="AH64" i="11"/>
  <c r="BF153" i="23"/>
  <c r="AH58" i="11"/>
  <c r="AH49" i="11"/>
  <c r="AH78" i="11"/>
  <c r="AG46" i="23"/>
  <c r="BH158" i="23" s="1"/>
  <c r="AH94" i="11"/>
  <c r="AM46" i="23"/>
  <c r="AM47" i="23"/>
  <c r="AH86" i="11"/>
  <c r="M59" i="11"/>
  <c r="M79" i="11"/>
  <c r="M87" i="11"/>
  <c r="M63" i="11"/>
  <c r="M73" i="11"/>
  <c r="M81" i="11"/>
  <c r="M55" i="11"/>
  <c r="M62" i="11"/>
  <c r="M77" i="11"/>
  <c r="E11" i="23"/>
  <c r="M57" i="11"/>
  <c r="M60" i="11"/>
  <c r="M68" i="11"/>
  <c r="M78" i="11"/>
  <c r="M82" i="11"/>
  <c r="AE22" i="23"/>
  <c r="AU74" i="23" s="1"/>
  <c r="M86" i="11"/>
  <c r="AF22" i="23"/>
  <c r="AZ72" i="23" s="1"/>
  <c r="AD32" i="23"/>
  <c r="M61" i="11"/>
  <c r="M74" i="11"/>
  <c r="M49" i="11"/>
  <c r="M75" i="11"/>
  <c r="AD12" i="23"/>
  <c r="M46" i="11"/>
  <c r="M69" i="11"/>
  <c r="M76" i="11"/>
  <c r="M83" i="11"/>
  <c r="M50" i="11"/>
  <c r="M58" i="11"/>
  <c r="M84" i="11"/>
  <c r="M85" i="11"/>
  <c r="CA12" i="23"/>
  <c r="M80" i="11"/>
  <c r="M56" i="11"/>
  <c r="AG22" i="23"/>
  <c r="AX72" i="23" s="1"/>
  <c r="M94" i="11"/>
  <c r="AH25" i="23"/>
  <c r="AU87" i="23" s="1"/>
  <c r="AJ28" i="23"/>
  <c r="AH24" i="23"/>
  <c r="AX87" i="23" s="1"/>
  <c r="AH23" i="23"/>
  <c r="AJ30" i="23"/>
  <c r="AJ29" i="23"/>
  <c r="M65" i="11"/>
  <c r="M71" i="11"/>
  <c r="M72" i="11"/>
  <c r="M67" i="11"/>
  <c r="M66" i="11"/>
  <c r="M70" i="11"/>
  <c r="S55" i="11"/>
  <c r="S56" i="11"/>
  <c r="S60" i="11"/>
  <c r="S58" i="11"/>
  <c r="S63" i="11"/>
  <c r="S57" i="11"/>
  <c r="S78" i="11"/>
  <c r="S86" i="11"/>
  <c r="S59" i="11"/>
  <c r="S61" i="11"/>
  <c r="S71" i="11"/>
  <c r="S79" i="11"/>
  <c r="S87" i="11"/>
  <c r="S62" i="11"/>
  <c r="S67" i="11"/>
  <c r="S68" i="11"/>
  <c r="S73" i="11"/>
  <c r="S81" i="11"/>
  <c r="S69" i="11"/>
  <c r="S80" i="11"/>
  <c r="S82" i="11"/>
  <c r="S83" i="11"/>
  <c r="S75" i="11"/>
  <c r="S76" i="11"/>
  <c r="S84" i="11"/>
  <c r="E39" i="23"/>
  <c r="S72" i="11"/>
  <c r="S85" i="11"/>
  <c r="S77" i="11"/>
  <c r="CG12" i="23"/>
  <c r="S49" i="11"/>
  <c r="S50" i="11"/>
  <c r="S74" i="11"/>
  <c r="S46" i="11"/>
  <c r="AG28" i="23"/>
  <c r="BD91" i="23" s="1"/>
  <c r="AL28" i="23"/>
  <c r="AK28" i="23"/>
  <c r="S65" i="11"/>
  <c r="S94" i="11"/>
  <c r="S64" i="11"/>
  <c r="S66" i="11"/>
  <c r="F65" i="11"/>
  <c r="F73" i="11"/>
  <c r="F81" i="11"/>
  <c r="F66" i="11"/>
  <c r="F75" i="11"/>
  <c r="F84" i="11"/>
  <c r="F56" i="11"/>
  <c r="F69" i="11"/>
  <c r="F79" i="11"/>
  <c r="F61" i="11"/>
  <c r="F71" i="11"/>
  <c r="F82" i="11"/>
  <c r="F60" i="11"/>
  <c r="F74" i="11"/>
  <c r="F87" i="11"/>
  <c r="AD15" i="23"/>
  <c r="F62" i="11"/>
  <c r="F76" i="11"/>
  <c r="F64" i="11"/>
  <c r="F78" i="11"/>
  <c r="F72" i="11"/>
  <c r="AD13" i="23"/>
  <c r="F77" i="11"/>
  <c r="F50" i="11"/>
  <c r="F80" i="11"/>
  <c r="F63" i="11"/>
  <c r="F85" i="11"/>
  <c r="F67" i="11"/>
  <c r="F68" i="11"/>
  <c r="F83" i="11"/>
  <c r="C19" i="23"/>
  <c r="F46" i="11"/>
  <c r="BT12" i="23"/>
  <c r="F86" i="11"/>
  <c r="F70" i="11"/>
  <c r="F58" i="11"/>
  <c r="F49" i="11"/>
  <c r="AI14" i="23"/>
  <c r="AX21" i="23" s="1"/>
  <c r="F55" i="11"/>
  <c r="AG14" i="23"/>
  <c r="AX31" i="23" s="1"/>
  <c r="AM16" i="23"/>
  <c r="F94" i="11"/>
  <c r="AM14" i="23"/>
  <c r="F59" i="11"/>
  <c r="I48" i="11" l="1"/>
  <c r="R48" i="11"/>
  <c r="W48" i="11"/>
  <c r="AE48" i="11"/>
  <c r="M48" i="11"/>
  <c r="H48" i="11"/>
  <c r="AB48" i="11"/>
  <c r="O48" i="11"/>
  <c r="L48" i="11"/>
  <c r="K48" i="11"/>
  <c r="F48" i="11"/>
  <c r="U48" i="11"/>
  <c r="J48" i="11"/>
  <c r="S48" i="11"/>
  <c r="T48" i="11"/>
  <c r="Q48" i="11"/>
  <c r="AL13" i="23"/>
  <c r="BB23" i="23" s="1"/>
  <c r="AL14" i="23"/>
  <c r="AY23" i="23" s="1"/>
  <c r="AG51" i="11"/>
  <c r="W27" i="23" s="1"/>
  <c r="Q27" i="23"/>
  <c r="Q28" i="23" s="1"/>
  <c r="Q29" i="23" s="1"/>
  <c r="AU147" i="23"/>
  <c r="AH32" i="23"/>
  <c r="BD86" i="23"/>
  <c r="AJ22" i="23"/>
  <c r="BF161" i="23"/>
  <c r="E56" i="11"/>
  <c r="E92" i="11" s="1"/>
  <c r="C94" i="11"/>
  <c r="AD81" i="11"/>
  <c r="AD92" i="11" s="1"/>
  <c r="Q68" i="11"/>
  <c r="Q92" i="11" s="1"/>
  <c r="X75" i="11"/>
  <c r="X92" i="11" s="1"/>
  <c r="V73" i="11"/>
  <c r="V93" i="11" s="1"/>
  <c r="P48" i="11"/>
  <c r="BA85" i="23"/>
  <c r="AI22" i="23"/>
  <c r="AJ44" i="23"/>
  <c r="BJ146" i="23"/>
  <c r="AT161" i="23"/>
  <c r="AK22" i="23"/>
  <c r="BD84" i="23"/>
  <c r="AH51" i="11"/>
  <c r="W31" i="23" s="1"/>
  <c r="Q31" i="23"/>
  <c r="Q32" i="23" s="1"/>
  <c r="Q33" i="23" s="1"/>
  <c r="C25" i="23"/>
  <c r="C24" i="23"/>
  <c r="Z51" i="11"/>
  <c r="U47" i="23" s="1"/>
  <c r="O47" i="23"/>
  <c r="O49" i="23"/>
  <c r="O48" i="23" s="1"/>
  <c r="AF36" i="23"/>
  <c r="AX164" i="23" s="1"/>
  <c r="K36" i="23"/>
  <c r="BB175" i="23"/>
  <c r="K37" i="23"/>
  <c r="C49" i="23"/>
  <c r="C48" i="23"/>
  <c r="AZ173" i="23"/>
  <c r="G29" i="23"/>
  <c r="G28" i="23"/>
  <c r="BB173" i="23"/>
  <c r="K29" i="23"/>
  <c r="K28" i="23"/>
  <c r="F57" i="11"/>
  <c r="F92" i="11" s="1"/>
  <c r="AX8" i="23"/>
  <c r="AG49" i="23"/>
  <c r="AH85" i="11"/>
  <c r="AH92" i="11" s="1"/>
  <c r="I60" i="11"/>
  <c r="I92" i="11" s="1"/>
  <c r="M64" i="11"/>
  <c r="M92" i="11" s="1"/>
  <c r="AZ136" i="23"/>
  <c r="P51" i="11"/>
  <c r="T27" i="23" s="1"/>
  <c r="N27" i="23"/>
  <c r="E37" i="23"/>
  <c r="E36" i="23"/>
  <c r="N51" i="11"/>
  <c r="T15" i="23" s="1"/>
  <c r="N15" i="23"/>
  <c r="AH44" i="23"/>
  <c r="AO44" i="23" s="1"/>
  <c r="BG147" i="23"/>
  <c r="G51" i="11"/>
  <c r="S27" i="23" s="1"/>
  <c r="M27" i="23"/>
  <c r="C28" i="23"/>
  <c r="C29" i="23"/>
  <c r="AZ176" i="23"/>
  <c r="G49" i="23"/>
  <c r="G48" i="23"/>
  <c r="AI12" i="23"/>
  <c r="BA21" i="23"/>
  <c r="BA173" i="23"/>
  <c r="I29" i="23"/>
  <c r="I28" i="23"/>
  <c r="AJ32" i="23"/>
  <c r="AO32" i="23" s="1"/>
  <c r="AX146" i="23"/>
  <c r="O11" i="23"/>
  <c r="V51" i="11"/>
  <c r="U11" i="23" s="1"/>
  <c r="AL24" i="23"/>
  <c r="AL23" i="23"/>
  <c r="BB87" i="23" s="1"/>
  <c r="M51" i="11"/>
  <c r="T11" i="23" s="1"/>
  <c r="N11" i="23"/>
  <c r="BB174" i="23"/>
  <c r="K32" i="23"/>
  <c r="K33" i="23"/>
  <c r="U51" i="11"/>
  <c r="T47" i="23" s="1"/>
  <c r="N49" i="23"/>
  <c r="N48" i="23" s="1"/>
  <c r="N47" i="23"/>
  <c r="AZ124" i="23" s="1"/>
  <c r="AF30" i="23"/>
  <c r="BF111" i="23" s="1"/>
  <c r="BA174" i="23"/>
  <c r="I32" i="23"/>
  <c r="I33" i="23"/>
  <c r="L51" i="11"/>
  <c r="S47" i="23" s="1"/>
  <c r="M47" i="23"/>
  <c r="AZ59" i="23" s="1"/>
  <c r="M49" i="23"/>
  <c r="M48" i="23" s="1"/>
  <c r="AF20" i="23"/>
  <c r="BF47" i="23" s="1"/>
  <c r="AK12" i="23"/>
  <c r="BD20" i="23"/>
  <c r="AO46" i="23"/>
  <c r="BF157" i="23"/>
  <c r="AF26" i="23"/>
  <c r="AX111" i="23" s="1"/>
  <c r="Q51" i="11"/>
  <c r="T23" i="23" s="1"/>
  <c r="N23" i="23"/>
  <c r="AZ120" i="23" s="1"/>
  <c r="N25" i="23"/>
  <c r="N24" i="23" s="1"/>
  <c r="BF22" i="23"/>
  <c r="C46" i="11"/>
  <c r="W74" i="11"/>
  <c r="W92" i="11" s="1"/>
  <c r="AI86" i="11"/>
  <c r="AI92" i="11" s="1"/>
  <c r="AF83" i="11"/>
  <c r="AF93" i="11" s="1"/>
  <c r="AJ87" i="11"/>
  <c r="AJ92" i="11" s="1"/>
  <c r="AF27" i="23"/>
  <c r="AV111" i="23" s="1"/>
  <c r="R51" i="11"/>
  <c r="T35" i="23" s="1"/>
  <c r="N37" i="23"/>
  <c r="N36" i="23" s="1"/>
  <c r="N35" i="23"/>
  <c r="AZ121" i="23" s="1"/>
  <c r="BD146" i="23"/>
  <c r="AJ38" i="23"/>
  <c r="BD151" i="23"/>
  <c r="AA51" i="11"/>
  <c r="V11" i="23" s="1"/>
  <c r="P11" i="23"/>
  <c r="BB176" i="23"/>
  <c r="K48" i="23"/>
  <c r="K49" i="23"/>
  <c r="AF51" i="11"/>
  <c r="W11" i="23" s="1"/>
  <c r="Q11" i="23"/>
  <c r="I49" i="23"/>
  <c r="I48" i="23"/>
  <c r="BA176" i="23"/>
  <c r="X48" i="11"/>
  <c r="AS9" i="23"/>
  <c r="AO40" i="23"/>
  <c r="AZ157" i="23"/>
  <c r="M43" i="23"/>
  <c r="AZ58" i="23" s="1"/>
  <c r="M45" i="23"/>
  <c r="M44" i="23" s="1"/>
  <c r="K51" i="11"/>
  <c r="S43" i="23" s="1"/>
  <c r="AF19" i="23"/>
  <c r="BH47" i="23" s="1"/>
  <c r="AZ8" i="23"/>
  <c r="AE82" i="11"/>
  <c r="AE92" i="11" s="1"/>
  <c r="C37" i="23"/>
  <c r="C36" i="23"/>
  <c r="T51" i="11"/>
  <c r="T43" i="23" s="1"/>
  <c r="N45" i="23"/>
  <c r="N44" i="23" s="1"/>
  <c r="N43" i="23"/>
  <c r="AZ123" i="23" s="1"/>
  <c r="AF29" i="23"/>
  <c r="BH111" i="23" s="1"/>
  <c r="AU90" i="23"/>
  <c r="AO25" i="23"/>
  <c r="C16" i="23"/>
  <c r="C17" i="23"/>
  <c r="AB79" i="11"/>
  <c r="AB92" i="11" s="1"/>
  <c r="AT147" i="23"/>
  <c r="AO33" i="23"/>
  <c r="AH38" i="23"/>
  <c r="BA147" i="23"/>
  <c r="I51" i="23"/>
  <c r="J31" i="23" s="1"/>
  <c r="BB156" i="23" s="1"/>
  <c r="BA172" i="23"/>
  <c r="I13" i="23"/>
  <c r="I12" i="23"/>
  <c r="E40" i="23"/>
  <c r="E41" i="23"/>
  <c r="BH86" i="23"/>
  <c r="AT136" i="23"/>
  <c r="E49" i="23"/>
  <c r="E48" i="23"/>
  <c r="AY98" i="23"/>
  <c r="AF35" i="23"/>
  <c r="AV164" i="23" s="1"/>
  <c r="Y51" i="11"/>
  <c r="U35" i="23" s="1"/>
  <c r="O37" i="23"/>
  <c r="O36" i="23" s="1"/>
  <c r="O35" i="23"/>
  <c r="AF41" i="23"/>
  <c r="BB164" i="23" s="1"/>
  <c r="AD51" i="11"/>
  <c r="V35" i="23" s="1"/>
  <c r="P35" i="23"/>
  <c r="P37" i="23"/>
  <c r="P36" i="23" s="1"/>
  <c r="AI51" i="11"/>
  <c r="W35" i="23" s="1"/>
  <c r="AF47" i="23"/>
  <c r="BH164" i="23" s="1"/>
  <c r="Q35" i="23"/>
  <c r="Q37" i="23"/>
  <c r="Q36" i="23" s="1"/>
  <c r="AC51" i="11"/>
  <c r="V31" i="23" s="1"/>
  <c r="P31" i="23"/>
  <c r="P32" i="23" s="1"/>
  <c r="P33" i="23" s="1"/>
  <c r="W51" i="11"/>
  <c r="U27" i="23" s="1"/>
  <c r="O27" i="23"/>
  <c r="O28" i="23" s="1"/>
  <c r="O29" i="23" s="1"/>
  <c r="AZ147" i="23"/>
  <c r="AO39" i="23"/>
  <c r="C40" i="23"/>
  <c r="C41" i="23"/>
  <c r="D55" i="11"/>
  <c r="J61" i="11"/>
  <c r="J93" i="11" s="1"/>
  <c r="AH12" i="23"/>
  <c r="BA23" i="23"/>
  <c r="C51" i="23"/>
  <c r="D27" i="23" s="1"/>
  <c r="AV37" i="23" s="1"/>
  <c r="C13" i="23"/>
  <c r="C12" i="23"/>
  <c r="Z77" i="11"/>
  <c r="Z92" i="11" s="1"/>
  <c r="AA78" i="11"/>
  <c r="AA93" i="11" s="1"/>
  <c r="AC80" i="11"/>
  <c r="AC93" i="11" s="1"/>
  <c r="T71" i="11"/>
  <c r="T92" i="11" s="1"/>
  <c r="BF136" i="23"/>
  <c r="AO27" i="23"/>
  <c r="AU106" i="23"/>
  <c r="AU42" i="23"/>
  <c r="G48" i="11"/>
  <c r="O31" i="23"/>
  <c r="O32" i="23" s="1"/>
  <c r="O33" i="23" s="1"/>
  <c r="X51" i="11"/>
  <c r="U31" i="23" s="1"/>
  <c r="G58" i="11"/>
  <c r="G93" i="11" s="1"/>
  <c r="E17" i="23"/>
  <c r="E16" i="23"/>
  <c r="G36" i="23"/>
  <c r="AZ175" i="23"/>
  <c r="G37" i="23"/>
  <c r="I36" i="23"/>
  <c r="J36" i="23" s="1"/>
  <c r="BA175" i="23"/>
  <c r="I37" i="23"/>
  <c r="AJ12" i="23"/>
  <c r="BD22" i="23"/>
  <c r="G51" i="23"/>
  <c r="H35" i="23" s="1"/>
  <c r="AV162" i="23" s="1"/>
  <c r="AZ172" i="23"/>
  <c r="G13" i="23"/>
  <c r="G12" i="23"/>
  <c r="H12" i="23" s="1"/>
  <c r="AY34" i="23"/>
  <c r="AU26" i="23"/>
  <c r="AO15" i="23"/>
  <c r="E45" i="23"/>
  <c r="E44" i="23"/>
  <c r="AZ161" i="23"/>
  <c r="BF147" i="23"/>
  <c r="AO45" i="23"/>
  <c r="AO34" i="23"/>
  <c r="AT157" i="23"/>
  <c r="J51" i="11"/>
  <c r="S39" i="23" s="1"/>
  <c r="M41" i="23"/>
  <c r="M40" i="23" s="1"/>
  <c r="M39" i="23"/>
  <c r="AZ57" i="23" s="1"/>
  <c r="AF18" i="23"/>
  <c r="BD47" i="23" s="1"/>
  <c r="AD14" i="23"/>
  <c r="E51" i="11"/>
  <c r="S15" i="23" s="1"/>
  <c r="M15" i="23"/>
  <c r="K62" i="11"/>
  <c r="K93" i="11" s="1"/>
  <c r="C49" i="11"/>
  <c r="D48" i="11"/>
  <c r="AS73" i="23"/>
  <c r="O66" i="11"/>
  <c r="O93" i="11" s="1"/>
  <c r="R69" i="11"/>
  <c r="R93" i="11" s="1"/>
  <c r="I51" i="11"/>
  <c r="S35" i="23" s="1"/>
  <c r="M35" i="23"/>
  <c r="AZ56" i="23" s="1"/>
  <c r="AF17" i="23"/>
  <c r="AV47" i="23" s="1"/>
  <c r="M37" i="23"/>
  <c r="M36" i="23" s="1"/>
  <c r="Y76" i="11"/>
  <c r="Y93" i="11" s="1"/>
  <c r="AJ51" i="11"/>
  <c r="W47" i="23" s="1"/>
  <c r="Q49" i="23"/>
  <c r="Q48" i="23" s="1"/>
  <c r="Q47" i="23"/>
  <c r="AF48" i="23"/>
  <c r="BJ164" i="23" s="1"/>
  <c r="E25" i="23"/>
  <c r="E24" i="23"/>
  <c r="G11" i="20"/>
  <c r="F11" i="20"/>
  <c r="G10" i="20" s="1"/>
  <c r="G8" i="20"/>
  <c r="M11" i="23"/>
  <c r="D51" i="11"/>
  <c r="S11" i="23" s="1"/>
  <c r="P67" i="11"/>
  <c r="P92" i="11" s="1"/>
  <c r="U72" i="11"/>
  <c r="U93" i="11" s="1"/>
  <c r="E28" i="23"/>
  <c r="E29" i="23"/>
  <c r="P49" i="23"/>
  <c r="P48" i="23" s="1"/>
  <c r="AE51" i="11"/>
  <c r="V47" i="23" s="1"/>
  <c r="P47" i="23"/>
  <c r="AF42" i="23"/>
  <c r="BD164" i="23" s="1"/>
  <c r="AE93" i="11"/>
  <c r="AE14" i="23"/>
  <c r="AS25" i="23" s="1"/>
  <c r="F51" i="11"/>
  <c r="S19" i="23" s="1"/>
  <c r="M19" i="23"/>
  <c r="BF86" i="23"/>
  <c r="E51" i="23"/>
  <c r="F39" i="23" s="1"/>
  <c r="BD96" i="23" s="1"/>
  <c r="E13" i="23"/>
  <c r="E12" i="23"/>
  <c r="AH48" i="11"/>
  <c r="F93" i="11"/>
  <c r="C20" i="23"/>
  <c r="C21" i="23"/>
  <c r="S51" i="11"/>
  <c r="T39" i="23" s="1"/>
  <c r="N39" i="23"/>
  <c r="AZ122" i="23" s="1"/>
  <c r="N41" i="23"/>
  <c r="N40" i="23" s="1"/>
  <c r="AF28" i="23"/>
  <c r="BD111" i="23" s="1"/>
  <c r="AH22" i="23"/>
  <c r="BA87" i="23"/>
  <c r="N19" i="23"/>
  <c r="O51" i="11"/>
  <c r="T19" i="23" s="1"/>
  <c r="E21" i="23"/>
  <c r="E20" i="23"/>
  <c r="AF16" i="23"/>
  <c r="AX47" i="23" s="1"/>
  <c r="H51" i="11"/>
  <c r="S23" i="23" s="1"/>
  <c r="M23" i="23"/>
  <c r="AZ55" i="23" s="1"/>
  <c r="M25" i="23"/>
  <c r="M24" i="23" s="1"/>
  <c r="Z93" i="11"/>
  <c r="AB51" i="11"/>
  <c r="V27" i="23" s="1"/>
  <c r="P27" i="23"/>
  <c r="P28" i="23" s="1"/>
  <c r="P29" i="23" s="1"/>
  <c r="AC48" i="11"/>
  <c r="C44" i="23"/>
  <c r="C45" i="23"/>
  <c r="L63" i="11"/>
  <c r="L93" i="11" s="1"/>
  <c r="BH22" i="23"/>
  <c r="BF21" i="23"/>
  <c r="AG84" i="11"/>
  <c r="AG93" i="11" s="1"/>
  <c r="S70" i="11"/>
  <c r="S93" i="11" s="1"/>
  <c r="N65" i="11"/>
  <c r="N93" i="11" s="1"/>
  <c r="H59" i="11"/>
  <c r="H92" i="11" s="1"/>
  <c r="AX89" i="23"/>
  <c r="AO24" i="23"/>
  <c r="BB172" i="23"/>
  <c r="K51" i="23"/>
  <c r="K13" i="23"/>
  <c r="K12" i="23"/>
  <c r="H31" i="23"/>
  <c r="AV156" i="23" s="1"/>
  <c r="AZ174" i="23"/>
  <c r="G33" i="23"/>
  <c r="H33" i="23" s="1"/>
  <c r="G32" i="23"/>
  <c r="H32" i="23" s="1"/>
  <c r="AD93" i="11" l="1"/>
  <c r="X93" i="11"/>
  <c r="D20" i="23"/>
  <c r="D45" i="23"/>
  <c r="D43" i="23"/>
  <c r="BF31" i="23" s="1"/>
  <c r="D44" i="23"/>
  <c r="D19" i="23"/>
  <c r="AY30" i="23" s="1"/>
  <c r="AO41" i="23"/>
  <c r="AO42" i="23" s="1"/>
  <c r="D21" i="23"/>
  <c r="I93" i="11"/>
  <c r="I95" i="11" s="1"/>
  <c r="AB93" i="11"/>
  <c r="AI93" i="11"/>
  <c r="AI95" i="11" s="1"/>
  <c r="W93" i="11"/>
  <c r="W95" i="11" s="1"/>
  <c r="M93" i="11"/>
  <c r="M95" i="11" s="1"/>
  <c r="S92" i="11"/>
  <c r="S95" i="11" s="1"/>
  <c r="N92" i="11"/>
  <c r="N95" i="11" s="1"/>
  <c r="Y92" i="11"/>
  <c r="Y95" i="11" s="1"/>
  <c r="H13" i="23"/>
  <c r="AO26" i="23"/>
  <c r="AO22" i="23"/>
  <c r="H11" i="23"/>
  <c r="AV142" i="23" s="1"/>
  <c r="H28" i="23"/>
  <c r="H93" i="11"/>
  <c r="H95" i="11" s="1"/>
  <c r="AC92" i="11"/>
  <c r="AC95" i="11" s="1"/>
  <c r="AJ93" i="11"/>
  <c r="AJ95" i="11" s="1"/>
  <c r="AF92" i="11"/>
  <c r="AF95" i="11" s="1"/>
  <c r="F29" i="23"/>
  <c r="Q93" i="11"/>
  <c r="Q95" i="11" s="1"/>
  <c r="AG92" i="11"/>
  <c r="AG95" i="11" s="1"/>
  <c r="D12" i="23"/>
  <c r="F20" i="23"/>
  <c r="D37" i="23"/>
  <c r="L51" i="23"/>
  <c r="AO12" i="23"/>
  <c r="AO23" i="23"/>
  <c r="V92" i="11"/>
  <c r="V95" i="11" s="1"/>
  <c r="AO38" i="23"/>
  <c r="D28" i="23"/>
  <c r="X95" i="11"/>
  <c r="AA92" i="11"/>
  <c r="AA95" i="11" s="1"/>
  <c r="F40" i="23"/>
  <c r="F95" i="11"/>
  <c r="F27" i="23"/>
  <c r="AV101" i="23" s="1"/>
  <c r="H36" i="23"/>
  <c r="Z95" i="11"/>
  <c r="D49" i="23"/>
  <c r="D24" i="23"/>
  <c r="AO16" i="23"/>
  <c r="J12" i="23"/>
  <c r="AB95" i="11"/>
  <c r="J47" i="23"/>
  <c r="BD155" i="23" s="1"/>
  <c r="F13" i="23"/>
  <c r="F19" i="23"/>
  <c r="AY94" i="23" s="1"/>
  <c r="F11" i="23"/>
  <c r="AY75" i="23" s="1"/>
  <c r="U92" i="11"/>
  <c r="U95" i="11" s="1"/>
  <c r="P93" i="11"/>
  <c r="P95" i="11" s="1"/>
  <c r="J37" i="23"/>
  <c r="D13" i="23"/>
  <c r="F49" i="23"/>
  <c r="J13" i="23"/>
  <c r="D35" i="23"/>
  <c r="AV43" i="23" s="1"/>
  <c r="AZ51" i="23"/>
  <c r="M12" i="23"/>
  <c r="M13" i="23"/>
  <c r="S44" i="23"/>
  <c r="S45" i="23"/>
  <c r="L48" i="23"/>
  <c r="L32" i="23"/>
  <c r="O12" i="23"/>
  <c r="O13" i="23"/>
  <c r="T28" i="23"/>
  <c r="T29" i="23"/>
  <c r="U48" i="23"/>
  <c r="U49" i="23"/>
  <c r="AD95" i="11"/>
  <c r="L92" i="11"/>
  <c r="L95" i="11" s="1"/>
  <c r="T93" i="11"/>
  <c r="T95" i="11" s="1"/>
  <c r="F21" i="23"/>
  <c r="F12" i="23"/>
  <c r="F28" i="23"/>
  <c r="H51" i="23"/>
  <c r="H37" i="23"/>
  <c r="G92" i="11"/>
  <c r="G95" i="11" s="1"/>
  <c r="J92" i="11"/>
  <c r="J95" i="11" s="1"/>
  <c r="F47" i="23"/>
  <c r="BF96" i="23" s="1"/>
  <c r="D36" i="23"/>
  <c r="L47" i="23"/>
  <c r="BJ155" i="23" s="1"/>
  <c r="D29" i="23"/>
  <c r="L27" i="23"/>
  <c r="BH150" i="23" s="1"/>
  <c r="L37" i="23"/>
  <c r="D23" i="23"/>
  <c r="AY37" i="23" s="1"/>
  <c r="AO35" i="23"/>
  <c r="AO36" i="23" s="1"/>
  <c r="U33" i="23"/>
  <c r="U32" i="23"/>
  <c r="T41" i="23"/>
  <c r="T40" i="23"/>
  <c r="W48" i="23"/>
  <c r="W49" i="23"/>
  <c r="S36" i="23"/>
  <c r="S37" i="23"/>
  <c r="E93" i="11"/>
  <c r="E95" i="11" s="1"/>
  <c r="U36" i="23"/>
  <c r="U37" i="23"/>
  <c r="AE95" i="11"/>
  <c r="J48" i="23"/>
  <c r="T24" i="23"/>
  <c r="T25" i="23"/>
  <c r="AZ116" i="23"/>
  <c r="N12" i="23"/>
  <c r="N13" i="23"/>
  <c r="T16" i="23"/>
  <c r="T17" i="23"/>
  <c r="H29" i="23"/>
  <c r="L36" i="23"/>
  <c r="D25" i="23"/>
  <c r="S21" i="23"/>
  <c r="S20" i="23"/>
  <c r="AZ118" i="23"/>
  <c r="N20" i="23"/>
  <c r="N21" i="23" s="1"/>
  <c r="W36" i="23"/>
  <c r="W37" i="23"/>
  <c r="J49" i="23"/>
  <c r="P12" i="23"/>
  <c r="P13" i="23"/>
  <c r="T37" i="23"/>
  <c r="T36" i="23"/>
  <c r="T51" i="23"/>
  <c r="T12" i="23"/>
  <c r="T13" i="23"/>
  <c r="J28" i="23"/>
  <c r="M28" i="23"/>
  <c r="M29" i="23" s="1"/>
  <c r="AZ54" i="23"/>
  <c r="F35" i="23"/>
  <c r="AV107" i="23" s="1"/>
  <c r="L35" i="23"/>
  <c r="BH162" i="23" s="1"/>
  <c r="W28" i="23"/>
  <c r="W29" i="23"/>
  <c r="T21" i="23"/>
  <c r="T20" i="23"/>
  <c r="S41" i="23"/>
  <c r="S40" i="23"/>
  <c r="V48" i="23"/>
  <c r="V49" i="23"/>
  <c r="F24" i="23"/>
  <c r="R92" i="11"/>
  <c r="R95" i="11" s="1"/>
  <c r="K92" i="11"/>
  <c r="K95" i="11" s="1"/>
  <c r="F43" i="23"/>
  <c r="BH96" i="23" s="1"/>
  <c r="F16" i="23"/>
  <c r="D51" i="23"/>
  <c r="D41" i="23"/>
  <c r="J51" i="23"/>
  <c r="D17" i="23"/>
  <c r="T44" i="23"/>
  <c r="T45" i="23"/>
  <c r="AF49" i="23"/>
  <c r="Q12" i="23"/>
  <c r="Q13" i="23"/>
  <c r="V51" i="23"/>
  <c r="V13" i="23"/>
  <c r="V12" i="23"/>
  <c r="S48" i="23"/>
  <c r="S49" i="23"/>
  <c r="J29" i="23"/>
  <c r="H47" i="23"/>
  <c r="AX155" i="23" s="1"/>
  <c r="S28" i="23"/>
  <c r="S29" i="23"/>
  <c r="F36" i="23"/>
  <c r="H27" i="23"/>
  <c r="AV150" i="23" s="1"/>
  <c r="W33" i="23"/>
  <c r="W32" i="23"/>
  <c r="AO47" i="23"/>
  <c r="AO48" i="23" s="1"/>
  <c r="AX25" i="23"/>
  <c r="AO14" i="23"/>
  <c r="L31" i="23"/>
  <c r="BH156" i="23" s="1"/>
  <c r="D92" i="11"/>
  <c r="D93" i="11"/>
  <c r="L12" i="23"/>
  <c r="S24" i="23"/>
  <c r="S25" i="23"/>
  <c r="F25" i="23"/>
  <c r="AZ52" i="23"/>
  <c r="M16" i="23"/>
  <c r="M17" i="23" s="1"/>
  <c r="F45" i="23"/>
  <c r="F17" i="23"/>
  <c r="AO17" i="23"/>
  <c r="AO18" i="23" s="1"/>
  <c r="AO19" i="23" s="1"/>
  <c r="AO20" i="23" s="1"/>
  <c r="D11" i="23"/>
  <c r="AY11" i="23" s="1"/>
  <c r="D39" i="23"/>
  <c r="BD31" i="23" s="1"/>
  <c r="J11" i="23"/>
  <c r="BB142" i="23" s="1"/>
  <c r="D16" i="23"/>
  <c r="W51" i="23"/>
  <c r="W12" i="23"/>
  <c r="W13" i="23"/>
  <c r="J33" i="23"/>
  <c r="T48" i="23"/>
  <c r="T49" i="23"/>
  <c r="AY87" i="23"/>
  <c r="AX85" i="23"/>
  <c r="H48" i="23"/>
  <c r="F37" i="23"/>
  <c r="L28" i="23"/>
  <c r="D48" i="23"/>
  <c r="AO28" i="23"/>
  <c r="AO29" i="23" s="1"/>
  <c r="AO30" i="23" s="1"/>
  <c r="V29" i="23"/>
  <c r="V28" i="23"/>
  <c r="L11" i="23"/>
  <c r="BH142" i="23" s="1"/>
  <c r="C48" i="11"/>
  <c r="N16" i="23"/>
  <c r="N17" i="23" s="1"/>
  <c r="AZ117" i="23"/>
  <c r="F51" i="23"/>
  <c r="F23" i="23"/>
  <c r="AY101" i="23" s="1"/>
  <c r="F44" i="23"/>
  <c r="U28" i="23"/>
  <c r="U29" i="23"/>
  <c r="L13" i="23"/>
  <c r="M20" i="23"/>
  <c r="M21" i="23" s="1"/>
  <c r="AZ53" i="23"/>
  <c r="S12" i="23"/>
  <c r="S51" i="23"/>
  <c r="S13" i="23"/>
  <c r="AH93" i="11"/>
  <c r="AH95" i="11" s="1"/>
  <c r="O92" i="11"/>
  <c r="O95" i="11" s="1"/>
  <c r="S17" i="23"/>
  <c r="S16" i="23"/>
  <c r="J35" i="23"/>
  <c r="BB162" i="23" s="1"/>
  <c r="F15" i="23"/>
  <c r="BB91" i="23" s="1"/>
  <c r="D40" i="23"/>
  <c r="V33" i="23"/>
  <c r="V32" i="23"/>
  <c r="V36" i="23"/>
  <c r="V37" i="23"/>
  <c r="F48" i="23"/>
  <c r="F41" i="23"/>
  <c r="D15" i="23"/>
  <c r="BB27" i="23" s="1"/>
  <c r="L49" i="23"/>
  <c r="J32" i="23"/>
  <c r="L33" i="23"/>
  <c r="U12" i="23"/>
  <c r="U13" i="23"/>
  <c r="U51" i="23"/>
  <c r="J27" i="23"/>
  <c r="BB150" i="23" s="1"/>
  <c r="H49" i="23"/>
  <c r="AZ119" i="23"/>
  <c r="N28" i="23"/>
  <c r="N29" i="23" s="1"/>
  <c r="L29" i="23"/>
  <c r="D47" i="23"/>
  <c r="BH31" i="23" s="1"/>
  <c r="AO13" i="23"/>
  <c r="AO49" i="23" l="1"/>
  <c r="C93" i="11"/>
  <c r="C92" i="11"/>
  <c r="D95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<sst xmlns="http://schemas.openxmlformats.org/spreadsheetml/2006/main" count="15030" uniqueCount="4061">
  <si>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</si>
  <si>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</si>
  <si>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</si>
  <si>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</si>
  <si>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</si>
  <si>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</si>
  <si>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</si>
  <si>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</si>
  <si>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</si>
  <si>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</si>
  <si>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</si>
  <si>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</si>
  <si>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</si>
  <si>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</si>
  <si>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</si>
  <si>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</si>
  <si>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</si>
  <si>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</si>
  <si>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</si>
  <si>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</si>
  <si>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</si>
  <si>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</si>
  <si>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</si>
  <si>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</si>
  <si>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</si>
  <si>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</si>
  <si>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</si>
  <si>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</si>
  <si>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</si>
  <si>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</si>
  <si>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</si>
  <si>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</si>
  <si>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</si>
  <si>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</si>
  <si>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</si>
  <si>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</si>
  <si>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</si>
  <si>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</si>
  <si>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</si>
  <si>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</si>
  <si>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</si>
  <si>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</si>
  <si>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</si>
  <si>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</si>
  <si>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</si>
  <si>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</si>
  <si>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</si>
  <si>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</si>
  <si>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</si>
  <si>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</si>
  <si>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</si>
  <si>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</si>
  <si>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</si>
  <si>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</si>
  <si>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</si>
  <si>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</si>
  <si>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</si>
  <si>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</si>
  <si>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</si>
  <si>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</si>
  <si>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</si>
  <si>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</si>
  <si>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</si>
  <si>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</si>
  <si>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</si>
  <si>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</si>
  <si>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</si>
  <si>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</si>
  <si>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</si>
  <si>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</si>
  <si>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</si>
  <si>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</si>
  <si>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</si>
  <si>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</si>
  <si>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</si>
  <si>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</si>
  <si>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</si>
  <si>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</si>
  <si>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</si>
  <si>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</si>
  <si>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</si>
  <si>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</si>
  <si>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</si>
  <si>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</si>
  <si>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</si>
  <si>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</si>
  <si>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</si>
  <si>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</si>
  <si>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</si>
  <si>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</si>
  <si>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</si>
  <si>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</si>
  <si>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</si>
  <si>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</si>
  <si>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</si>
  <si>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</si>
  <si>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</si>
  <si>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</si>
  <si>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</si>
  <si>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</si>
  <si>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</si>
  <si>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</si>
  <si>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</si>
  <si>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</si>
  <si>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</si>
  <si>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</si>
  <si>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</si>
  <si>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</si>
  <si>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</si>
  <si>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</si>
  <si>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</si>
  <si>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</si>
  <si>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</si>
  <si>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</si>
  <si>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</si>
  <si>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</si>
  <si>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</si>
  <si>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</si>
  <si>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</si>
  <si>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</si>
  <si>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</si>
  <si>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</si>
  <si>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</si>
  <si>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</si>
  <si>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</si>
  <si>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</si>
  <si>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</si>
  <si>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</si>
  <si>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</si>
  <si>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</si>
  <si>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</si>
  <si>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</si>
  <si>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</si>
  <si>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</si>
  <si>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</si>
  <si>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</si>
  <si>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</si>
  <si>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</si>
  <si>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</si>
  <si>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</si>
  <si>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</si>
  <si>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</si>
  <si>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</si>
  <si>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</si>
  <si>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</si>
  <si>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</si>
  <si>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</si>
  <si>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</si>
  <si>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</si>
  <si>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</si>
  <si>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</si>
  <si>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</si>
  <si>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</si>
  <si>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</si>
  <si>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</si>
  <si>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</si>
  <si>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</si>
  <si>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</si>
  <si>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</si>
  <si>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</si>
  <si>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</si>
  <si>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</si>
  <si>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</si>
  <si>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</si>
  <si>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</si>
  <si>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</si>
  <si>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</si>
  <si>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</si>
  <si>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</si>
  <si>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</si>
  <si>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</si>
  <si>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</si>
  <si>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</si>
  <si>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</si>
  <si>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</si>
  <si>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</si>
  <si>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</si>
  <si>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</si>
  <si>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</si>
  <si>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</si>
  <si>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</si>
  <si>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</si>
  <si>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</si>
  <si>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</si>
  <si>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</si>
  <si>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</si>
  <si>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</si>
  <si>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</si>
  <si>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</si>
  <si>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</si>
  <si>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</si>
  <si>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</si>
  <si>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</si>
  <si>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</si>
  <si>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</si>
  <si>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</si>
  <si>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</si>
  <si>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</si>
  <si>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</si>
  <si>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</si>
  <si>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</si>
  <si>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</si>
  <si>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</si>
  <si>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</si>
  <si>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</si>
  <si>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</si>
  <si>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</si>
  <si>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</si>
  <si>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</si>
  <si>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</si>
  <si>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</si>
  <si>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</si>
  <si>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</si>
  <si>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</si>
  <si>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</si>
  <si>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</si>
  <si>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</si>
  <si>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</si>
  <si>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</si>
  <si>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</si>
  <si>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</si>
  <si>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</si>
  <si>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</si>
  <si>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</si>
  <si>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</si>
  <si>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</si>
  <si>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</si>
  <si>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</si>
  <si>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</si>
  <si>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</si>
  <si>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</si>
  <si>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</si>
  <si>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</si>
  <si>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</si>
  <si>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</si>
  <si>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</si>
  <si>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</si>
  <si>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</si>
  <si>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</si>
  <si>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</si>
  <si>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</si>
  <si>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</si>
  <si>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</si>
  <si>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</si>
  <si>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</si>
  <si>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</si>
  <si>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</si>
  <si>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</si>
  <si>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</si>
  <si>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</si>
  <si>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</si>
  <si>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</si>
  <si>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</si>
  <si>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</si>
  <si>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</si>
  <si>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</si>
  <si>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</si>
  <si>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</si>
  <si>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</si>
  <si>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</si>
  <si>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</si>
  <si>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</si>
  <si>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</si>
  <si>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</si>
  <si>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</si>
  <si>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</si>
  <si>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</si>
  <si>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</si>
  <si>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</si>
  <si>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</si>
  <si>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</si>
  <si>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</si>
  <si>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</si>
  <si>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</si>
  <si>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</si>
  <si>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</si>
  <si>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</si>
  <si>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</si>
  <si>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</si>
  <si>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</si>
  <si>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</si>
  <si>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</si>
  <si>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</si>
  <si>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</si>
  <si>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</si>
  <si>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</si>
  <si>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</si>
  <si>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</si>
  <si>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</si>
  <si>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</si>
  <si>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</si>
  <si>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</si>
  <si>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</si>
  <si>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</si>
  <si>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</si>
  <si>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</si>
  <si>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</si>
  <si>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</si>
  <si>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</si>
  <si>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</si>
  <si>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</si>
  <si>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</si>
  <si>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</si>
  <si>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</si>
  <si>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</si>
  <si>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</si>
  <si>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</si>
  <si>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</si>
  <si>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</si>
  <si>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</si>
  <si>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</si>
  <si>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</si>
  <si>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</si>
  <si>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</si>
  <si>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</si>
  <si>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</si>
  <si>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</si>
  <si>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</si>
  <si>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</si>
  <si>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</si>
  <si>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</si>
  <si>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</si>
  <si>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</si>
  <si>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</si>
  <si>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</si>
  <si>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</si>
  <si>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</si>
  <si>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</si>
  <si>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</si>
  <si>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</si>
  <si>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</si>
  <si>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</si>
  <si>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</si>
  <si>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</si>
  <si>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</si>
  <si>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</si>
  <si>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</si>
  <si>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</si>
  <si>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</si>
  <si>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</si>
  <si>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</si>
  <si>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</si>
  <si>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</si>
  <si>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</si>
  <si>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</si>
  <si>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</si>
  <si>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</si>
  <si>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</si>
  <si>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</si>
  <si>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</si>
  <si>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</si>
  <si>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</si>
  <si>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</si>
  <si>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</si>
  <si>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</si>
  <si>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</si>
  <si>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</si>
  <si>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</si>
  <si>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</si>
  <si>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</si>
  <si>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</si>
  <si>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</si>
  <si>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</si>
  <si>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</si>
  <si>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</si>
  <si>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</si>
  <si>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</si>
  <si>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</si>
  <si>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</si>
  <si>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</si>
  <si>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</si>
  <si>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</si>
  <si>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</si>
  <si>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</si>
  <si>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</si>
  <si>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</si>
  <si>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</si>
  <si>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</si>
  <si>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</si>
  <si>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</si>
  <si>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</si>
  <si>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</si>
  <si>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</si>
  <si>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</si>
  <si>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</si>
  <si>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</si>
  <si>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</si>
  <si>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</si>
  <si>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</si>
  <si>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</si>
  <si>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</si>
  <si>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</si>
  <si>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</si>
  <si>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</si>
  <si>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</si>
  <si>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</si>
  <si>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</si>
  <si>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</si>
  <si>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</si>
  <si>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</si>
  <si>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</si>
  <si>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</si>
  <si>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</si>
  <si>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</si>
  <si>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</si>
  <si>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</si>
  <si>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</si>
  <si>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</si>
  <si>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</si>
  <si>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</si>
  <si>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</si>
  <si>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</si>
  <si>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</si>
  <si>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</si>
  <si>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</si>
  <si>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</si>
  <si>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</si>
  <si>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</si>
  <si>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</si>
  <si>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</si>
  <si>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</si>
  <si>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</si>
  <si>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</si>
  <si>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</si>
  <si>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</si>
  <si>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</si>
  <si>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</si>
  <si>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</si>
  <si>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</si>
  <si>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</si>
  <si>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</si>
  <si>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</si>
  <si>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</si>
  <si>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</si>
  <si>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</si>
  <si>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</si>
  <si>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</si>
  <si>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</si>
  <si>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</si>
  <si>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</si>
  <si>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</si>
  <si>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</si>
  <si>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</si>
  <si>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</si>
  <si>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</si>
  <si>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</si>
  <si>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</si>
  <si>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</si>
  <si>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</si>
  <si>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</si>
  <si>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</si>
  <si>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</si>
  <si>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</si>
  <si>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</si>
  <si>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</si>
  <si>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</si>
  <si>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</si>
  <si>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</si>
  <si>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</si>
  <si>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</si>
  <si>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</si>
  <si>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</si>
  <si>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</si>
  <si>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</si>
  <si>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</si>
  <si>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</si>
  <si>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</si>
  <si>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</si>
  <si>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</si>
  <si>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</si>
  <si>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</si>
  <si>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</si>
  <si>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</si>
  <si>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</si>
  <si>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</si>
  <si>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</si>
  <si>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</si>
  <si>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</si>
  <si>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</si>
  <si>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</si>
  <si>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</si>
  <si>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</si>
  <si>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</si>
  <si>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</si>
  <si>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</si>
  <si>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</si>
  <si>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</si>
  <si>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</si>
  <si>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</si>
  <si>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</si>
  <si>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</si>
  <si>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</si>
  <si>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</si>
  <si>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</si>
  <si>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</si>
  <si>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</si>
  <si>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</si>
  <si>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</si>
  <si>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</si>
  <si>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</si>
  <si>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</si>
  <si>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</si>
  <si>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</si>
  <si>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</si>
  <si>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</si>
  <si>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</si>
  <si>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</si>
  <si>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</si>
  <si>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</si>
  <si>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</si>
  <si>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</si>
  <si>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</si>
  <si>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</si>
  <si>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</si>
  <si>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</si>
  <si>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</si>
  <si>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</si>
  <si>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</si>
  <si>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</si>
  <si>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</si>
  <si>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</si>
  <si>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</si>
  <si>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</si>
  <si>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</si>
  <si>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</si>
  <si>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</si>
  <si>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</si>
  <si>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</si>
  <si>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</si>
  <si>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</si>
  <si>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</si>
  <si>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</si>
  <si>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</si>
  <si>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</si>
  <si>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</si>
  <si>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</si>
  <si>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</si>
  <si>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</si>
  <si>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</si>
  <si>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</si>
  <si>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</si>
  <si>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</si>
  <si>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</si>
  <si>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</si>
  <si>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</si>
  <si>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</si>
  <si>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</si>
  <si>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</si>
  <si>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</si>
  <si>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</si>
  <si>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</si>
  <si>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</si>
  <si>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</si>
  <si>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</si>
  <si>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</si>
  <si>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</si>
  <si>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</si>
  <si>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</si>
  <si>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</si>
  <si>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</si>
  <si>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</si>
  <si>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</si>
  <si>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</si>
  <si>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</si>
  <si>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</si>
  <si>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</si>
  <si>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</si>
  <si>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</si>
  <si>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</si>
  <si>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</si>
  <si>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</si>
  <si>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</si>
  <si>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</si>
  <si>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</si>
  <si>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</si>
  <si>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</si>
  <si>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</si>
  <si>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</si>
  <si>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</si>
  <si>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</si>
  <si>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</si>
  <si>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</si>
  <si>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</si>
  <si>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</si>
  <si>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</si>
  <si>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</si>
  <si>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</si>
  <si>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</si>
  <si>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</si>
  <si>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</si>
  <si>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</si>
  <si>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</si>
  <si>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</si>
  <si>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</si>
  <si>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</si>
  <si>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</si>
  <si>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</si>
  <si>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</si>
  <si>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</si>
  <si>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</si>
  <si>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</si>
  <si>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</si>
  <si>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</si>
  <si>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</si>
  <si>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</si>
  <si>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</si>
  <si>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</si>
  <si>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</si>
  <si>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</si>
  <si>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</si>
  <si>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</si>
  <si>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</si>
  <si>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</si>
  <si>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</si>
  <si>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</si>
  <si>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</si>
  <si>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</si>
  <si>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</si>
  <si>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</si>
  <si>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</si>
  <si>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</si>
  <si>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</si>
  <si>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</si>
  <si>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</si>
  <si>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</si>
  <si>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</si>
  <si>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</si>
  <si>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</si>
  <si>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</si>
  <si>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</si>
  <si>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</si>
  <si>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</si>
  <si>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</si>
  <si>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</si>
  <si>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</si>
  <si>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</si>
  <si>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</si>
  <si>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</si>
  <si>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</si>
  <si>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</si>
  <si>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</si>
  <si>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</si>
  <si>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</si>
  <si>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</si>
  <si>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</si>
  <si>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</si>
  <si>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</si>
  <si>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</si>
  <si>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</si>
  <si>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</si>
  <si>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</si>
  <si>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</si>
  <si>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</si>
  <si>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</si>
  <si>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</si>
  <si>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</si>
  <si>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</si>
  <si>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</si>
  <si>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</si>
  <si>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</si>
  <si>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</si>
  <si>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</si>
  <si>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</si>
  <si>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</si>
  <si>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</si>
  <si>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</si>
  <si>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</si>
  <si>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</si>
  <si>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</si>
  <si>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</si>
  <si>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</si>
  <si>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</si>
  <si>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</si>
  <si>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</si>
  <si>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</si>
  <si>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</si>
  <si>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</si>
  <si>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</si>
  <si>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</si>
  <si>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</si>
  <si>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</si>
  <si>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</si>
  <si>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</si>
  <si>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</si>
  <si>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</si>
  <si>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</si>
  <si>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</si>
  <si>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</si>
  <si>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</si>
  <si>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</si>
  <si>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</si>
  <si>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</si>
  <si>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</si>
  <si>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</si>
  <si>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</si>
  <si>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</si>
  <si>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</si>
  <si>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</si>
  <si>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</si>
  <si>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</si>
  <si>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</si>
  <si>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</si>
  <si>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</si>
  <si>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</si>
  <si>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</si>
  <si>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</si>
  <si>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</si>
  <si>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</si>
  <si>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</si>
  <si>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</si>
  <si>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</si>
  <si>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</si>
  <si>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</si>
  <si>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</si>
  <si>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</si>
  <si>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</si>
  <si>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</si>
  <si>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</si>
  <si>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</si>
  <si>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</si>
  <si>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</si>
  <si>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</si>
  <si>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</si>
  <si>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</si>
  <si>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</si>
  <si>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</si>
  <si>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</si>
  <si>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</si>
  <si>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</si>
  <si>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</si>
  <si>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</si>
  <si>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</si>
  <si>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</si>
  <si>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</si>
  <si>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</si>
  <si>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</si>
  <si>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</si>
  <si>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</si>
  <si>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</si>
  <si>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</si>
  <si>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</si>
  <si>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</si>
  <si>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</si>
  <si>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</si>
  <si>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</si>
  <si>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</si>
  <si>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</si>
  <si>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</si>
  <si>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</si>
  <si>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</si>
  <si>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</si>
  <si>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</si>
  <si>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</si>
  <si>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</si>
  <si>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</si>
  <si>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</si>
  <si>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</si>
  <si>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</si>
  <si>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</si>
  <si>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</si>
  <si>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</si>
  <si>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</si>
  <si>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</si>
  <si>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</si>
  <si>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</si>
  <si>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</si>
  <si>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</si>
  <si>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</si>
  <si>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</si>
  <si>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</si>
  <si>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</si>
  <si>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</si>
  <si>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</si>
  <si>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</si>
  <si>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</si>
  <si>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</si>
  <si>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</si>
  <si>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</si>
  <si>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</si>
  <si>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</si>
  <si>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</si>
  <si>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</si>
  <si>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</si>
  <si>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</si>
  <si>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</si>
  <si>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</si>
  <si>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</si>
  <si>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</si>
  <si>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</si>
  <si>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</si>
  <si>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</si>
  <si>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</si>
  <si>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</si>
  <si>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</si>
  <si>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</si>
  <si>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</si>
  <si>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</si>
  <si>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</si>
  <si>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</si>
  <si>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</si>
  <si>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</si>
  <si>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</si>
  <si>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</si>
  <si>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</si>
  <si>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</si>
  <si>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</si>
  <si>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</si>
  <si>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</si>
  <si>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</si>
  <si>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</si>
  <si>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</si>
  <si>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</si>
  <si>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</si>
  <si>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</si>
  <si>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</si>
  <si>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</si>
  <si>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</si>
  <si>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</si>
  <si>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</si>
  <si>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</si>
  <si>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</si>
  <si>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</si>
  <si>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</si>
  <si>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</si>
  <si>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</si>
  <si>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</si>
  <si>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</si>
  <si>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</si>
  <si>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</si>
  <si>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</si>
  <si>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</si>
  <si>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</si>
  <si>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</si>
  <si>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</si>
  <si>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</si>
  <si>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</si>
  <si>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</si>
  <si>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</si>
  <si>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</si>
  <si>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</si>
  <si>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</si>
  <si>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</si>
  <si>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</si>
  <si>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</si>
  <si>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</si>
  <si>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</si>
  <si>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</si>
  <si>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</si>
  <si>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</si>
  <si>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</si>
  <si>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</si>
  <si>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</si>
  <si>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</si>
  <si>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</si>
  <si>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</si>
  <si>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</si>
  <si>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</si>
  <si>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</si>
  <si>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</si>
  <si>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</si>
  <si>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</si>
  <si>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</si>
  <si>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</si>
  <si>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</si>
  <si>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</si>
  <si>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</si>
  <si>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</si>
  <si>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</si>
  <si>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</si>
  <si>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</si>
  <si>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</si>
  <si>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</si>
  <si>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</si>
  <si>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</si>
  <si>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</si>
  <si>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</si>
  <si>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</si>
  <si>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</si>
  <si>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</si>
  <si>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</si>
  <si>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</si>
  <si>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</si>
  <si>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</si>
  <si>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</si>
  <si>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</si>
  <si>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</si>
  <si>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</si>
  <si>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</si>
  <si>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</si>
  <si>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</si>
  <si>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</si>
  <si>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</si>
  <si>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</si>
  <si>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</si>
  <si>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</si>
  <si>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</si>
  <si>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</si>
  <si>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</si>
  <si>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</si>
  <si>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</si>
  <si>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</si>
  <si>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</si>
  <si>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</si>
  <si>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</si>
  <si>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</si>
  <si>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</si>
  <si>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</si>
  <si>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</si>
  <si>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</si>
  <si>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</si>
  <si>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</si>
  <si>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</si>
  <si>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</si>
  <si>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</si>
  <si>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</si>
  <si>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</si>
  <si>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</si>
  <si>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</si>
  <si>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</si>
  <si>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</si>
  <si>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</si>
  <si>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</si>
  <si>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</si>
  <si>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</si>
  <si>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</si>
  <si>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</si>
  <si>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</si>
  <si>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</si>
  <si>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</si>
  <si>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</si>
  <si>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</si>
  <si>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</si>
  <si>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</si>
  <si>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</si>
  <si>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</si>
  <si>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</si>
  <si>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</si>
  <si>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</si>
  <si>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</si>
  <si>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</si>
  <si>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</si>
  <si>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</si>
  <si>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</si>
  <si>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</si>
  <si>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</si>
  <si>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</si>
  <si>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</si>
  <si>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</si>
  <si>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</si>
  <si>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</si>
  <si>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</si>
  <si>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</si>
  <si>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</si>
  <si>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</si>
  <si>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</si>
  <si>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</si>
  <si>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</si>
  <si>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</si>
  <si>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</si>
  <si>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</si>
  <si>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</si>
  <si>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</si>
  <si>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</si>
  <si>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</si>
  <si>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</si>
  <si>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</si>
  <si>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</si>
  <si>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</si>
  <si>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</si>
  <si>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</si>
  <si>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</si>
  <si>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</si>
  <si>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</si>
  <si>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</si>
  <si>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</si>
  <si>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</si>
  <si>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</si>
  <si>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</si>
  <si>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</si>
  <si>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</si>
  <si>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</si>
  <si>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</si>
  <si>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</si>
  <si>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</si>
  <si>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</si>
  <si>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</si>
  <si>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</si>
  <si>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</si>
  <si>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</si>
  <si>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</si>
  <si>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</si>
  <si>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</si>
  <si>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</si>
  <si>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</si>
  <si>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</si>
  <si>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</si>
  <si>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</si>
  <si>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</si>
  <si>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</si>
  <si>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</si>
  <si>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</si>
  <si>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</si>
  <si>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</si>
  <si>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</si>
  <si>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</si>
  <si>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</si>
  <si>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</si>
  <si>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</si>
  <si>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</si>
  <si>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</si>
  <si>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</si>
  <si>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</si>
  <si>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</si>
  <si>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</si>
  <si>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</si>
  <si>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</si>
  <si>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</si>
  <si>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</si>
  <si>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</si>
  <si>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</si>
  <si>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</si>
  <si>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</si>
  <si>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</si>
  <si>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</si>
  <si>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</si>
  <si>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</si>
  <si>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</si>
  <si>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</si>
  <si>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</si>
  <si>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</si>
  <si>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</si>
  <si>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</si>
  <si>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</si>
  <si>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</si>
  <si>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</si>
  <si>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</si>
  <si>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</si>
  <si>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</si>
  <si>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</si>
  <si>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</si>
  <si>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</si>
  <si>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</si>
  <si>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</si>
  <si>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</si>
  <si>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</si>
  <si>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</si>
  <si>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</si>
  <si>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</si>
  <si>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</si>
  <si>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</si>
  <si>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</si>
  <si>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</si>
  <si>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</si>
  <si>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</si>
  <si>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</si>
  <si>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</si>
  <si>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</si>
  <si>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</si>
  <si>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</si>
  <si>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</si>
  <si>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</si>
  <si>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</si>
  <si>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</si>
  <si>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</si>
  <si>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</si>
  <si>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</si>
  <si>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</si>
  <si>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</si>
  <si>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</si>
  <si>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</si>
  <si>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</si>
  <si>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</si>
  <si>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</si>
  <si>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</si>
  <si>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</si>
  <si>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</si>
  <si>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</si>
  <si>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</si>
  <si>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</si>
  <si>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</si>
  <si>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</si>
  <si>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</si>
  <si>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</si>
  <si>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</si>
  <si>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</si>
  <si>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</si>
  <si>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</si>
  <si>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</si>
  <si>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</si>
  <si>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</si>
  <si>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</si>
  <si>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</si>
  <si>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</si>
  <si>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</si>
  <si>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</si>
  <si>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</si>
  <si>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</si>
  <si>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</si>
  <si>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</si>
  <si>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</si>
  <si>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</si>
  <si>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</si>
  <si>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</si>
  <si>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</si>
  <si>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</si>
  <si>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</si>
  <si>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</si>
  <si>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</si>
  <si>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</si>
  <si>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</si>
  <si>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</si>
  <si>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</si>
  <si>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</si>
  <si>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</si>
  <si>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</si>
  <si>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</si>
  <si>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</si>
  <si>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</si>
  <si>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</si>
  <si>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</si>
  <si>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</si>
  <si>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</si>
  <si>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</si>
  <si>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</si>
  <si>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</si>
  <si>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</si>
  <si>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</si>
  <si>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</si>
  <si>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</si>
  <si>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</si>
  <si>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</si>
  <si>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</si>
  <si>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</si>
  <si>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</si>
  <si>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</si>
  <si>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</si>
  <si>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</si>
  <si>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</si>
  <si>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</si>
  <si>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</si>
  <si>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</si>
  <si>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</si>
  <si>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</si>
  <si>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</si>
  <si>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</si>
  <si>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</si>
  <si>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</si>
  <si>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</si>
  <si>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</si>
  <si>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</si>
  <si>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</si>
  <si>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</si>
  <si>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</si>
  <si>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</si>
  <si>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</si>
  <si>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</si>
  <si>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</si>
  <si>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</si>
  <si>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</si>
  <si>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</si>
  <si>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</si>
  <si>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</si>
  <si>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</si>
  <si>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</si>
  <si>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</si>
  <si>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</si>
  <si>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</si>
  <si>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</si>
  <si>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</si>
  <si>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</si>
  <si>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</si>
  <si>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</si>
  <si>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</si>
  <si>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</si>
  <si>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</si>
  <si>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</si>
  <si>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</si>
  <si>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</si>
  <si>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</si>
  <si>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</si>
  <si>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</si>
  <si>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</si>
  <si>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</si>
  <si>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</si>
  <si>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</si>
  <si>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</si>
  <si>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</si>
  <si>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</si>
  <si>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</si>
  <si>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</si>
  <si>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</si>
  <si>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</si>
  <si>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</si>
  <si>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</si>
  <si>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</si>
  <si>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</si>
  <si>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</si>
  <si>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</si>
  <si>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</si>
  <si>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</si>
  <si>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</si>
  <si>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</si>
  <si>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</si>
  <si>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</si>
  <si>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</si>
  <si>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</si>
  <si>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</si>
  <si>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</si>
  <si>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</si>
  <si>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</si>
  <si>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</si>
  <si>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</si>
  <si>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</si>
  <si>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</si>
  <si>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</si>
  <si>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</si>
  <si>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</si>
  <si>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</si>
  <si>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</si>
  <si>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</si>
  <si>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</si>
  <si>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</si>
  <si>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</si>
  <si>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</si>
  <si>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</si>
  <si>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</si>
  <si>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</si>
  <si>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</si>
  <si>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</si>
  <si>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</si>
  <si>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</si>
  <si>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</si>
  <si>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</si>
  <si>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</si>
  <si>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</si>
  <si>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</si>
  <si>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</si>
  <si>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</si>
  <si>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</si>
  <si>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</si>
  <si>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</si>
  <si>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</si>
  <si>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</si>
  <si>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</si>
  <si>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</si>
  <si>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</si>
  <si>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</si>
  <si>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</si>
  <si>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</si>
  <si>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</si>
  <si>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</si>
  <si>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</si>
  <si>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</si>
  <si>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</si>
  <si>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</si>
  <si>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</si>
  <si>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</si>
  <si>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</si>
  <si>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</si>
  <si>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</si>
  <si>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</si>
  <si>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</si>
  <si>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</si>
  <si>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</si>
  <si>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</si>
  <si>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</si>
  <si>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</si>
  <si>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</si>
  <si>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</si>
  <si>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</si>
  <si>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</si>
  <si>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</si>
  <si>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</si>
  <si>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</si>
  <si>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</si>
  <si>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</si>
  <si>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</si>
  <si>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</si>
  <si>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</si>
  <si>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</si>
  <si>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</si>
  <si>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</si>
  <si>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</si>
  <si>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</si>
  <si>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</si>
  <si>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</si>
  <si>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</si>
  <si>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</si>
  <si>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</si>
  <si>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</si>
  <si>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</si>
  <si>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</si>
  <si>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</si>
  <si>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</si>
  <si>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</si>
  <si>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</si>
  <si>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</si>
  <si>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</si>
  <si>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</si>
  <si>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</si>
  <si>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</si>
  <si>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</si>
  <si>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</si>
  <si>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</si>
  <si>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</si>
  <si>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</si>
  <si>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</si>
  <si>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</si>
  <si>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</si>
  <si>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</si>
  <si>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</si>
  <si>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</si>
  <si>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</si>
  <si>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</si>
  <si>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</si>
  <si>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</si>
  <si>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</si>
  <si>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</si>
  <si>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</si>
  <si>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</si>
  <si>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</si>
  <si>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</si>
  <si>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</si>
  <si>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</si>
  <si>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</si>
  <si>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</si>
  <si>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</si>
  <si>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</si>
  <si>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</si>
  <si>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</si>
  <si>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</si>
  <si>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</si>
  <si>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</si>
  <si>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</si>
  <si>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</si>
  <si>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</si>
  <si>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</si>
  <si>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</si>
  <si>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</si>
  <si>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</si>
  <si>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</si>
  <si>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</si>
  <si>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</si>
  <si>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</si>
  <si>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</si>
  <si>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</si>
  <si>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</si>
  <si>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</si>
  <si>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</si>
  <si>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</si>
  <si>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</si>
  <si>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</si>
  <si>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</si>
  <si>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</si>
  <si>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</si>
  <si>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</si>
  <si>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</si>
  <si>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</si>
  <si>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</si>
  <si>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</si>
  <si>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</si>
  <si>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</si>
  <si>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</si>
  <si>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</si>
  <si>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</si>
  <si>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</si>
  <si>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</si>
  <si>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</si>
  <si>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</si>
  <si>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</si>
  <si>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</si>
  <si>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</si>
  <si>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</si>
  <si>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</si>
  <si>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</si>
  <si>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</si>
  <si>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</si>
  <si>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</si>
  <si>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</si>
  <si>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</si>
  <si>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</si>
  <si>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</si>
  <si>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</si>
  <si>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</si>
  <si>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</si>
  <si>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</si>
  <si>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</si>
  <si>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</si>
  <si>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</si>
  <si>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</si>
  <si>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</si>
  <si>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</si>
  <si>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</si>
  <si>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</si>
  <si>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</si>
  <si>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</si>
  <si>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</si>
  <si>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</si>
  <si>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</si>
  <si>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</si>
  <si>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</si>
  <si>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</si>
  <si>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</si>
  <si>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</si>
  <si>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</si>
  <si>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</si>
  <si>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</si>
  <si>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</si>
  <si>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</si>
  <si>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</si>
  <si>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</si>
  <si>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</si>
  <si>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</si>
  <si>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</si>
  <si>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</si>
  <si>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</si>
  <si>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</si>
  <si>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</si>
  <si>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</si>
  <si>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</si>
  <si>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</si>
  <si>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</si>
  <si>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</si>
  <si>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</si>
  <si>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</si>
  <si>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</si>
  <si>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</si>
  <si>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</si>
  <si>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</si>
  <si>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</si>
  <si>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</si>
  <si>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</si>
  <si>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</si>
  <si>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</si>
  <si>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</si>
  <si>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</si>
  <si>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</si>
  <si>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</si>
  <si>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</si>
  <si>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</si>
  <si>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</si>
  <si>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</si>
  <si>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</si>
  <si>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</si>
  <si>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</si>
  <si>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</si>
  <si>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</si>
  <si>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</si>
  <si>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</si>
  <si>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</si>
  <si>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</si>
  <si>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</si>
  <si>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</si>
  <si>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</si>
  <si>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</si>
  <si>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</si>
  <si>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</si>
  <si>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</si>
  <si>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</si>
  <si>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</si>
  <si>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</si>
  <si>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</si>
  <si>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</si>
  <si>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</si>
  <si>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</si>
  <si>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</si>
  <si>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</si>
  <si>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</si>
  <si>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</si>
  <si>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</si>
  <si>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</si>
  <si>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</si>
  <si>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</si>
  <si>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</si>
  <si>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</si>
  <si>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</si>
  <si>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</si>
  <si>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</si>
  <si>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</si>
  <si>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</si>
  <si>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</si>
  <si>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</si>
  <si>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</si>
  <si>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</si>
  <si>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</si>
  <si>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</si>
  <si>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</si>
  <si>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</si>
  <si>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</si>
  <si>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</si>
  <si>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</si>
  <si>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</si>
  <si>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</si>
  <si>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</si>
  <si>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</si>
  <si>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</si>
  <si>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</si>
  <si>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</si>
  <si>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</si>
  <si>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</si>
  <si>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</si>
  <si>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</si>
  <si>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</si>
  <si>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</si>
  <si>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</si>
  <si>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</si>
  <si>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</si>
  <si>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</si>
  <si>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</si>
  <si>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</si>
  <si>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</si>
  <si>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</si>
  <si>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</si>
  <si>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</si>
  <si>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</si>
  <si>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</si>
  <si>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</si>
  <si>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</si>
  <si>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</si>
  <si>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</si>
  <si>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</si>
  <si>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</si>
  <si>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</si>
  <si>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</si>
  <si>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</si>
  <si>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</si>
  <si>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</si>
  <si>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</si>
  <si>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</si>
  <si>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</si>
  <si>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</si>
  <si>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</si>
  <si>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</si>
  <si>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</si>
  <si>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</si>
  <si>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</si>
  <si>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</si>
  <si>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</si>
  <si>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</si>
  <si>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</si>
  <si>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</si>
  <si>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</si>
  <si>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</si>
  <si>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</si>
  <si>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</si>
  <si>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</si>
  <si>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</si>
  <si>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</si>
  <si>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</si>
  <si>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</si>
  <si>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</si>
  <si>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</si>
  <si>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</si>
  <si>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</si>
  <si>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</si>
  <si>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</si>
  <si>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</si>
  <si>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</si>
  <si>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</si>
  <si>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</si>
  <si>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</si>
  <si>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</si>
  <si>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</si>
  <si>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</si>
  <si>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</si>
  <si>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</si>
  <si>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</si>
  <si>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</si>
  <si>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</si>
  <si>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</si>
  <si>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</si>
  <si>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</si>
  <si>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</si>
  <si>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</si>
  <si>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</si>
  <si>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</si>
  <si>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</si>
  <si>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</si>
  <si>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</si>
  <si>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</si>
  <si>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</si>
  <si>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</si>
  <si>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</si>
  <si>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</si>
  <si>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</si>
  <si>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</si>
  <si>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</si>
  <si>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</si>
  <si>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</si>
  <si>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</si>
  <si>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</si>
  <si>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</si>
  <si>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</si>
  <si>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</si>
  <si>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</si>
  <si>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</si>
  <si>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</si>
  <si>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</si>
  <si>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</si>
  <si>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</si>
  <si>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</si>
  <si>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</si>
  <si>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</si>
  <si>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</si>
  <si>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</si>
  <si>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</si>
  <si>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</si>
  <si>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</si>
  <si>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</si>
  <si>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</si>
  <si>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</si>
  <si>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</si>
  <si>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</si>
  <si>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</si>
  <si>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</si>
  <si>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</si>
  <si>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</si>
  <si>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</si>
  <si>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</si>
  <si>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</si>
  <si>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</si>
  <si>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</si>
  <si>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</si>
  <si>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</si>
  <si>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</si>
  <si>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</si>
  <si>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</si>
  <si>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</si>
  <si>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</si>
  <si>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</si>
  <si>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</si>
  <si>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</si>
  <si>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</si>
  <si>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</si>
  <si>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</si>
  <si>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</si>
  <si>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</si>
  <si>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</si>
  <si>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</si>
  <si>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</si>
  <si>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</si>
  <si>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</si>
  <si>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</si>
  <si>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</si>
  <si>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</si>
  <si>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</si>
  <si>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</si>
  <si>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</si>
  <si>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</si>
  <si>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</si>
  <si>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</si>
  <si>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</si>
  <si>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</si>
  <si>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</si>
  <si>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</si>
  <si>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</si>
  <si>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</si>
  <si>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</si>
  <si>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</si>
  <si>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</si>
  <si>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</si>
  <si>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</si>
  <si>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</si>
  <si>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</si>
  <si>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</si>
  <si>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</si>
  <si>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</si>
  <si>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</si>
  <si>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</si>
  <si>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</si>
  <si>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</si>
  <si>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</si>
  <si>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</si>
  <si>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</si>
  <si>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</si>
  <si>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</si>
  <si>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</si>
  <si>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</si>
  <si>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</si>
  <si>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</si>
  <si>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</si>
  <si>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</si>
  <si>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</si>
  <si>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</si>
  <si>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</si>
  <si>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</si>
  <si>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</si>
  <si>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</si>
  <si>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</si>
  <si>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</si>
  <si>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</si>
  <si>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</si>
  <si>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</si>
  <si>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</si>
  <si>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</si>
  <si>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</si>
  <si>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</si>
  <si>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</si>
  <si>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</si>
  <si>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</si>
  <si>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</si>
  <si>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</si>
  <si>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</si>
  <si>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</si>
  <si>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</si>
  <si>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</si>
  <si>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</si>
  <si>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</si>
  <si>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</si>
  <si>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</si>
  <si>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</si>
  <si>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</si>
  <si>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</si>
  <si>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</si>
  <si>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</si>
  <si>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</si>
  <si>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</si>
  <si>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</si>
  <si>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</si>
  <si>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</si>
  <si>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</si>
  <si>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</si>
  <si>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</si>
  <si>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</si>
  <si>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</si>
  <si>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</si>
  <si>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</si>
  <si>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</si>
  <si>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</si>
  <si>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</si>
  <si>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</si>
  <si>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</si>
  <si>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</si>
  <si>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</si>
  <si>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</si>
  <si>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</si>
  <si>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</si>
  <si>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</si>
  <si>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</si>
  <si>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</si>
  <si>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</si>
  <si>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</si>
  <si>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</si>
  <si>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</si>
  <si>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</si>
  <si>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</si>
  <si>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</si>
  <si>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</si>
  <si>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</si>
  <si>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</si>
  <si>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</si>
  <si>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</si>
  <si>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</si>
  <si>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</si>
  <si>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</si>
  <si>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</si>
  <si>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</si>
  <si>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</si>
  <si>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</si>
  <si>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</si>
  <si>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</si>
  <si>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</si>
  <si>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</si>
  <si>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</si>
  <si>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</si>
  <si>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</si>
  <si>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</si>
  <si>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</si>
  <si>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</si>
  <si>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</si>
  <si>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</si>
  <si>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</si>
  <si>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</si>
  <si>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</si>
  <si>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</si>
  <si>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</si>
  <si>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</si>
  <si>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</si>
  <si>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</si>
  <si>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</si>
  <si>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</si>
  <si>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</si>
  <si>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</si>
  <si>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</si>
  <si>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</si>
  <si>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</si>
  <si>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</si>
  <si>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</si>
  <si>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</si>
  <si>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</si>
  <si>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</si>
  <si>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</si>
  <si>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</si>
  <si>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</si>
  <si>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</si>
  <si>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</si>
  <si>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</si>
  <si>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</si>
  <si>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</si>
  <si>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</si>
  <si>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</si>
  <si>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</si>
  <si>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</si>
  <si>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</si>
  <si>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</si>
  <si>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</si>
  <si>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</si>
  <si>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</si>
  <si>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</si>
  <si>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</si>
  <si>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</si>
  <si>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</si>
  <si>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</si>
  <si>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</si>
  <si>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</si>
  <si>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</si>
  <si>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</si>
  <si>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</si>
  <si>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</si>
  <si>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</si>
  <si>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</si>
  <si>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</si>
  <si>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</si>
  <si>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</si>
  <si>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</si>
  <si>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</si>
  <si>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</si>
  <si>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</si>
  <si>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</si>
  <si>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</si>
  <si>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</si>
  <si>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</si>
  <si>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</si>
  <si>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</si>
  <si>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</si>
  <si>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</si>
  <si>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</si>
  <si>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</si>
  <si>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</si>
  <si>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</si>
  <si>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</si>
  <si>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</si>
  <si>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</si>
  <si>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</si>
  <si>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</si>
  <si>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</si>
  <si>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</si>
  <si>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</si>
  <si>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</si>
  <si>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</si>
  <si>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</si>
  <si>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</si>
  <si>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</si>
  <si>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</si>
  <si>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</si>
  <si>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</si>
  <si>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</si>
  <si>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</si>
  <si>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</si>
  <si>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</si>
  <si>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</si>
  <si>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</si>
  <si>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</si>
  <si>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</si>
  <si>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</si>
  <si>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</si>
  <si>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</si>
  <si>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</si>
  <si>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</si>
  <si>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</si>
  <si>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</si>
  <si>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</si>
  <si>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</si>
  <si>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</si>
  <si>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</si>
  <si>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</si>
  <si>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</si>
  <si>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</si>
  <si>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</si>
  <si>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</si>
  <si>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</si>
  <si>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</si>
  <si>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</si>
  <si>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</si>
  <si>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</si>
  <si>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</si>
  <si>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</si>
  <si>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</si>
  <si>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</si>
  <si>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</si>
  <si>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</si>
  <si>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</si>
  <si>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</si>
  <si>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</si>
  <si>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</si>
  <si>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</si>
  <si>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</si>
  <si>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</si>
  <si>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</si>
  <si>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</si>
  <si>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</si>
  <si>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</si>
  <si>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</si>
  <si>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</si>
  <si>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</si>
  <si>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</si>
  <si>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</si>
  <si>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</si>
  <si>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</si>
  <si>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</si>
  <si>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</si>
  <si>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</si>
  <si>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</si>
  <si>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</si>
  <si>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</si>
  <si>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</si>
  <si>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</si>
  <si>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</si>
  <si>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</si>
  <si>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</si>
  <si>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</si>
  <si>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</si>
  <si>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</si>
  <si>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</si>
  <si>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</si>
  <si>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</si>
  <si>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</si>
  <si>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</si>
  <si>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</si>
  <si>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</si>
  <si>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</si>
  <si>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</si>
  <si>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</si>
  <si>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</si>
  <si>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</si>
  <si>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</si>
  <si>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</si>
  <si>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</si>
  <si>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</si>
  <si>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</si>
  <si>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</si>
  <si>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</si>
  <si>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</si>
  <si>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</si>
  <si>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</si>
  <si>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</si>
  <si>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</si>
  <si>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</si>
  <si>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</si>
  <si>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</si>
  <si>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</si>
  <si>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</si>
  <si>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</si>
  <si>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</si>
  <si>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</si>
  <si>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</si>
  <si>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</si>
  <si>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</si>
  <si>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</si>
  <si>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</si>
  <si>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</si>
  <si>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</si>
  <si>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</si>
  <si>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</si>
  <si>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</si>
  <si>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</si>
  <si>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</si>
  <si>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</si>
  <si>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</si>
  <si>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</si>
  <si>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</si>
  <si>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</si>
  <si>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</si>
  <si>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</si>
  <si>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</si>
  <si>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</si>
  <si>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</si>
  <si>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</si>
  <si>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</si>
  <si>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</si>
  <si>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</si>
  <si>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</si>
  <si>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</si>
  <si>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</si>
  <si>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</si>
  <si>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</si>
  <si>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</si>
  <si>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</si>
  <si>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</si>
  <si>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</si>
  <si>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</si>
  <si>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</si>
  <si>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</si>
  <si>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</si>
  <si>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</si>
  <si>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</si>
  <si>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</si>
  <si>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</si>
  <si>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</si>
  <si>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</si>
  <si>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</si>
  <si>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</si>
  <si>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</si>
  <si>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</si>
  <si>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</si>
  <si>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</si>
  <si>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</si>
  <si>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</si>
  <si>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</si>
  <si>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</si>
  <si>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</si>
  <si>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</si>
  <si>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</si>
  <si>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</si>
  <si>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</si>
  <si>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</si>
  <si>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</si>
  <si>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</si>
  <si>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</si>
  <si>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</si>
  <si>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</si>
  <si>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</si>
  <si>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</si>
  <si>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</si>
  <si>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</si>
  <si>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</si>
  <si>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</si>
  <si>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</si>
  <si>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</si>
  <si>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</si>
  <si>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</si>
  <si>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</si>
  <si>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</si>
  <si>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</si>
  <si>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</si>
  <si>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</si>
  <si>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</si>
  <si>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</si>
  <si>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</si>
  <si>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</si>
  <si>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</si>
  <si>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</si>
  <si>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</si>
  <si>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</si>
  <si>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</si>
  <si>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</si>
  <si>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</si>
  <si>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</si>
  <si>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</si>
  <si>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</si>
  <si>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</si>
  <si>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</si>
  <si>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</si>
  <si>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</si>
  <si>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</si>
  <si>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</si>
  <si>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</si>
  <si>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</si>
  <si>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</si>
  <si>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</si>
  <si>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</si>
  <si>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</si>
  <si>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</si>
  <si>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</si>
  <si>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</si>
  <si>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</si>
  <si>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</si>
  <si>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</si>
  <si>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</si>
  <si>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</si>
  <si>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</si>
  <si>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</si>
  <si>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</si>
  <si>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</si>
  <si>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</si>
  <si>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</si>
  <si>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</si>
  <si>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</si>
  <si>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</si>
  <si>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</si>
  <si>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</si>
  <si>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</si>
  <si>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</si>
  <si>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</si>
  <si>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</si>
  <si>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</si>
  <si>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</si>
  <si>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</si>
  <si>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</si>
  <si>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</si>
  <si>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</si>
  <si>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</si>
  <si>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</si>
  <si>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</si>
  <si>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</si>
  <si>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</si>
  <si>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</si>
  <si>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</si>
  <si>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</si>
  <si>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</si>
  <si>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</si>
  <si>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</si>
  <si>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</si>
  <si>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</si>
  <si>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</si>
  <si>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</si>
  <si>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</si>
  <si>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</si>
  <si>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</si>
  <si>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</si>
  <si>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</si>
  <si>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</si>
  <si>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</si>
  <si>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</si>
  <si>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</si>
  <si>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</si>
  <si>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</si>
  <si>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</si>
  <si>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</si>
  <si>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</si>
  <si>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</si>
  <si>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</si>
  <si>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</si>
  <si>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</si>
  <si>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</si>
  <si>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</si>
  <si>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</si>
  <si>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</si>
  <si>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</si>
  <si>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</si>
  <si>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</si>
  <si>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</si>
  <si>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</si>
  <si>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</si>
  <si>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</si>
  <si>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</si>
  <si>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</si>
  <si>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</si>
  <si>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</si>
  <si>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</si>
  <si>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</si>
  <si>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</si>
  <si>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</si>
  <si>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</si>
  <si>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</si>
  <si>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</si>
  <si>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</si>
  <si>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</si>
  <si>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</si>
  <si>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</si>
  <si>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</si>
  <si>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</si>
  <si>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</si>
  <si>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</si>
  <si>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</si>
  <si>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</si>
  <si>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</si>
  <si>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</si>
  <si>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</si>
  <si>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</si>
  <si>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</si>
  <si>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</si>
  <si>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</si>
  <si>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</si>
  <si>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</si>
  <si>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</si>
  <si>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</si>
  <si>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</si>
  <si>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</si>
  <si>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</si>
  <si>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</si>
  <si>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</si>
  <si>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</si>
  <si>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</si>
  <si>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</si>
  <si>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</si>
  <si>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</si>
  <si>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</si>
  <si>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</si>
  <si>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</si>
  <si>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</si>
  <si>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</si>
  <si>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</si>
  <si>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</si>
  <si>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</si>
  <si>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</si>
  <si>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</si>
  <si>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</si>
  <si>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</si>
  <si>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</si>
  <si>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</si>
  <si>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</si>
  <si>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</si>
  <si>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</si>
  <si>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</si>
  <si>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</si>
  <si>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</si>
  <si>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</si>
  <si>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</si>
  <si>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</si>
  <si>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</si>
  <si>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</si>
  <si>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</si>
  <si>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</si>
  <si>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</si>
  <si>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</si>
  <si>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</si>
  <si>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</si>
  <si>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</si>
  <si>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</si>
  <si>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</si>
  <si>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</si>
  <si>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</si>
  <si>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</si>
  <si>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</si>
  <si>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</si>
  <si>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</si>
  <si>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</si>
  <si>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</si>
  <si>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</si>
  <si>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</si>
  <si>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</si>
  <si>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</si>
  <si>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</si>
  <si>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</si>
  <si>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</si>
  <si>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</si>
  <si>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</si>
  <si>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</si>
  <si>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</si>
  <si>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</si>
  <si>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</si>
  <si>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</si>
  <si>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</si>
  <si>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</si>
  <si>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</si>
  <si>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</si>
  <si>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</si>
  <si>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</si>
  <si>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</si>
  <si>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</si>
  <si>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</si>
  <si>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</si>
  <si>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</si>
  <si>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</si>
  <si>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</si>
  <si>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</si>
  <si>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</si>
  <si>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</si>
  <si>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</si>
  <si>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</si>
  <si>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</si>
  <si>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</si>
  <si>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</si>
  <si>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</si>
  <si>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</si>
  <si>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</si>
  <si>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</si>
  <si>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</si>
  <si>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</si>
  <si>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</si>
  <si>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</si>
  <si>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</si>
  <si>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</si>
  <si>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</si>
  <si>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</si>
  <si>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</si>
  <si>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</si>
  <si>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</si>
  <si>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</si>
  <si>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</si>
  <si>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</si>
  <si>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</si>
  <si>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</si>
  <si>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</si>
  <si>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</si>
  <si>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</si>
  <si>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</si>
  <si>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</si>
  <si>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</si>
  <si>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</si>
  <si>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</si>
  <si>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</si>
  <si>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</si>
  <si>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</si>
  <si>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</si>
  <si>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</si>
  <si>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</si>
  <si>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</si>
  <si>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</si>
  <si>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</si>
  <si>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</si>
  <si>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</si>
  <si>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</si>
  <si>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</si>
  <si>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</si>
  <si>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</si>
  <si>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</si>
  <si>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</si>
  <si>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</si>
  <si>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</si>
  <si>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</si>
  <si>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</si>
  <si>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</si>
  <si>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</si>
  <si>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</si>
  <si>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</si>
  <si>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</si>
  <si>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</si>
  <si>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</si>
  <si>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</si>
  <si>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</si>
  <si>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</si>
  <si>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</si>
  <si>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</si>
  <si>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</si>
  <si>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</si>
  <si>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</si>
  <si>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</si>
  <si>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</si>
  <si>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</si>
  <si>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</si>
  <si>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</si>
  <si>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</si>
  <si>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</si>
  <si>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</si>
  <si>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</si>
  <si>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</si>
  <si>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</si>
  <si>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</si>
  <si>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</si>
  <si>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</si>
  <si>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</si>
  <si>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</si>
  <si>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</si>
  <si>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</si>
  <si>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</si>
  <si>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</si>
  <si>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</si>
  <si>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</si>
  <si>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</si>
  <si>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</si>
  <si>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</si>
  <si>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</si>
  <si>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</si>
  <si>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</si>
  <si>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</si>
  <si>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</si>
  <si>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</si>
  <si>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</si>
  <si>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</si>
  <si>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</si>
  <si>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</si>
  <si>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</si>
  <si>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</si>
  <si>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</si>
  <si>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</si>
  <si>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</si>
  <si>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</si>
  <si>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</si>
  <si>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</si>
  <si>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</si>
  <si>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</si>
  <si>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</si>
  <si>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</si>
  <si>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</si>
  <si>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</si>
  <si>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</si>
  <si>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</si>
  <si>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</si>
  <si>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</si>
  <si>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</si>
  <si>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</si>
  <si>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</si>
  <si>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</si>
  <si>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</si>
  <si>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</si>
  <si>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</si>
  <si>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</si>
  <si>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</si>
  <si>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</si>
  <si>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</si>
  <si>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</si>
  <si>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</si>
  <si>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</si>
  <si>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</si>
  <si>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</si>
  <si>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</si>
  <si>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</si>
  <si>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</si>
  <si>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</si>
  <si>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</si>
  <si>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</si>
  <si>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</si>
  <si>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</si>
  <si>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</si>
  <si>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</si>
  <si>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</si>
  <si>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</si>
  <si>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</si>
  <si>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</si>
  <si>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</si>
  <si>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</si>
  <si>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</si>
  <si>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</si>
  <si>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</si>
  <si>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</si>
  <si>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</si>
  <si>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</si>
  <si>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</si>
  <si>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</si>
  <si>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</si>
  <si>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</si>
  <si>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</si>
  <si>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</si>
  <si>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</si>
  <si>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</si>
  <si>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</si>
  <si>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</si>
  <si>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</si>
  <si>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</si>
  <si>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</si>
  <si>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</si>
  <si>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</si>
  <si>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</si>
  <si>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</si>
  <si>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</si>
  <si>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</si>
  <si>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</si>
  <si>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</si>
  <si>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</si>
  <si>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</si>
  <si>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</si>
  <si>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</si>
  <si>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</si>
  <si>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</si>
  <si>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</si>
  <si>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</si>
  <si>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</si>
  <si>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</si>
  <si>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</si>
  <si>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</si>
  <si>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</si>
  <si>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</si>
  <si>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</si>
  <si>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</si>
  <si>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</si>
  <si>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</si>
  <si>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</si>
  <si>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</si>
  <si>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</si>
  <si>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</si>
  <si>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</si>
  <si>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</si>
  <si>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</si>
  <si>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</si>
  <si>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</si>
  <si>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</si>
  <si>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</si>
  <si>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</si>
  <si>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</si>
  <si>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</si>
  <si>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</si>
  <si>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</si>
  <si>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</si>
  <si>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</si>
  <si>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</si>
  <si>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</si>
  <si>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</si>
  <si>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</si>
  <si>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</si>
  <si>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</si>
  <si>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</si>
  <si>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</si>
  <si>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</si>
  <si>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</si>
  <si>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</si>
  <si>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</si>
  <si>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</si>
  <si>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</si>
  <si>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</si>
  <si>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</si>
  <si>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</si>
  <si>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</si>
  <si>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</si>
  <si>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</si>
  <si>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</si>
  <si>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</si>
  <si>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</si>
  <si>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</si>
  <si>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</si>
  <si>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</si>
  <si>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</si>
  <si>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</si>
  <si>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</si>
  <si>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</si>
  <si>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</si>
  <si>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</si>
  <si>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</si>
  <si>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</si>
  <si>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</si>
  <si>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</si>
  <si>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</si>
  <si>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</si>
  <si>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</si>
  <si>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</si>
  <si>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</si>
  <si>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</si>
  <si>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</si>
  <si>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</si>
  <si>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</si>
  <si>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</si>
  <si>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</si>
  <si>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</si>
  <si>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</si>
  <si>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</si>
  <si>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</si>
  <si>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</si>
  <si>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</si>
  <si>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</si>
  <si>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</si>
  <si>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</si>
  <si>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</si>
  <si>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</si>
  <si>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</si>
  <si>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</si>
  <si>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</si>
  <si>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</si>
  <si>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</si>
  <si>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</si>
  <si>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</si>
  <si>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</si>
  <si>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</si>
  <si>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</si>
  <si>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</si>
  <si>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</si>
  <si>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</si>
  <si>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</si>
  <si>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</si>
  <si>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</si>
  <si>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</si>
  <si>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</si>
  <si>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</si>
  <si>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</si>
  <si>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</si>
  <si>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</si>
  <si>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</si>
  <si>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</si>
  <si>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</si>
  <si>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</si>
  <si>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</si>
  <si>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</si>
  <si>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</si>
  <si>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</si>
  <si>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</si>
  <si>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</si>
  <si>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</si>
  <si>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</si>
  <si>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</si>
  <si>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</si>
  <si>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</si>
  <si>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</si>
  <si>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</si>
  <si>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</si>
  <si>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</si>
  <si>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</si>
  <si>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</si>
  <si>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</si>
  <si>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</si>
  <si>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</si>
  <si>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</si>
  <si>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</si>
  <si>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</si>
  <si>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</si>
  <si>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</si>
  <si>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</si>
  <si>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</si>
  <si>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</si>
  <si>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</si>
  <si>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</si>
  <si>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</si>
  <si>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</si>
  <si>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</si>
  <si>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</si>
  <si>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</si>
  <si>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</si>
  <si>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</si>
  <si>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</si>
  <si>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</si>
  <si>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</si>
  <si>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</si>
  <si>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</si>
  <si>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</si>
  <si>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</si>
  <si>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</si>
  <si>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</si>
  <si>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</si>
  <si>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</si>
  <si>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</si>
  <si>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</si>
  <si>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</si>
  <si>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</si>
  <si>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</si>
  <si>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</si>
  <si>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</si>
  <si>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</si>
  <si>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</si>
  <si>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</si>
  <si>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</si>
  <si>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</si>
  <si>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</si>
  <si>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</si>
  <si>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</si>
  <si>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</si>
  <si>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</si>
  <si>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</si>
  <si>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</si>
  <si>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</si>
  <si>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</si>
  <si>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</si>
  <si>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</si>
  <si>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</si>
  <si>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</si>
  <si>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</si>
  <si>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</si>
  <si>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</si>
  <si>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</si>
  <si>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</si>
  <si>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</si>
  <si>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</si>
  <si>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</si>
  <si>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</si>
  <si>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</si>
  <si>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</si>
  <si>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</si>
  <si>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</si>
  <si>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</si>
  <si>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</si>
  <si>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</si>
  <si>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</si>
  <si>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</si>
  <si>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</si>
  <si>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</si>
  <si>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</si>
  <si>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</si>
  <si>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</si>
  <si>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</si>
  <si>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</si>
  <si>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</si>
  <si>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</si>
  <si>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</si>
  <si>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</si>
  <si>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</si>
  <si>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</si>
  <si>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</si>
  <si>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</si>
  <si>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</si>
  <si>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</si>
  <si>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</si>
  <si>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</si>
  <si>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</si>
  <si>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</si>
  <si>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</si>
  <si>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</si>
  <si>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</si>
  <si>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</si>
  <si>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</si>
  <si>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</si>
  <si>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</si>
  <si>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</si>
  <si>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</si>
  <si>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</si>
  <si>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</si>
  <si>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</si>
  <si>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</si>
  <si>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</si>
  <si>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</si>
  <si>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</si>
  <si>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</si>
  <si>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</si>
  <si>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</si>
  <si>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</si>
  <si>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</si>
  <si>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</si>
  <si>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</si>
  <si>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</si>
  <si>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</si>
  <si>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</si>
  <si>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</si>
  <si>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</si>
  <si>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</si>
  <si>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</si>
  <si>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</si>
  <si>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</si>
  <si>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</si>
  <si>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</si>
  <si>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</si>
  <si>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</si>
  <si>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</si>
  <si>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</si>
  <si>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</si>
  <si>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</si>
  <si>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</si>
  <si>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</si>
  <si>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</si>
  <si>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</si>
  <si>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</si>
  <si>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</si>
  <si>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</si>
  <si>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</si>
  <si>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</si>
  <si>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</si>
  <si>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</si>
  <si>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</si>
  <si>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</si>
  <si>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</si>
  <si>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</si>
  <si>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</si>
  <si>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</si>
  <si>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</si>
  <si>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</si>
  <si>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</si>
  <si>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</si>
  <si>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</si>
  <si>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</si>
  <si>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</si>
  <si>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</si>
  <si>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</si>
  <si>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</si>
  <si>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</si>
  <si>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</si>
  <si>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</si>
  <si>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</si>
  <si>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</si>
  <si>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</si>
  <si>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</si>
  <si>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</si>
  <si>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</si>
  <si>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</si>
  <si>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</si>
  <si>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</si>
  <si>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</si>
  <si>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</si>
  <si>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</si>
  <si>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</si>
  <si>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</si>
  <si>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</si>
  <si>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</si>
  <si>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</si>
  <si>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</si>
  <si>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</si>
  <si>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</si>
  <si>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</si>
  <si>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</si>
  <si>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</si>
  <si>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</si>
  <si>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</si>
  <si>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</si>
  <si>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</si>
  <si>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</si>
  <si>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</si>
  <si>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</si>
  <si>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</si>
  <si>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</si>
  <si>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</si>
  <si>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</si>
  <si>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</si>
  <si>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</si>
  <si>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</si>
  <si>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</si>
  <si>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</si>
  <si>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</si>
  <si>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</si>
  <si>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</si>
  <si>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</si>
  <si>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</si>
  <si>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</si>
  <si>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</si>
  <si>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</si>
  <si>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</si>
  <si>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</si>
  <si>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</si>
  <si>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</si>
  <si>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</si>
  <si>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</si>
  <si>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</si>
  <si>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</si>
  <si>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</si>
  <si>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</si>
  <si>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</si>
  <si>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</si>
  <si>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</si>
  <si>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</si>
  <si>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</si>
  <si>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</si>
  <si>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</si>
  <si>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</si>
  <si>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</si>
  <si>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</si>
  <si>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</si>
  <si>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</si>
  <si>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</si>
  <si>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</si>
  <si>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</si>
  <si>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</si>
  <si>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</si>
  <si>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</si>
  <si>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</si>
  <si>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</si>
  <si>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</si>
  <si>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</si>
  <si>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</si>
  <si>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</si>
  <si>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</si>
  <si>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</si>
  <si>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</si>
  <si>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</si>
  <si>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</si>
  <si>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</si>
  <si>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</si>
  <si>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</si>
  <si>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</si>
  <si>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</si>
  <si>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</si>
  <si>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</si>
  <si>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</si>
  <si>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</si>
  <si>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</si>
  <si>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</si>
  <si>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</si>
  <si>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</si>
  <si>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</si>
  <si>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</si>
  <si>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</si>
  <si>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</si>
  <si>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</si>
  <si>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</si>
  <si>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</si>
  <si>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</si>
  <si>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</si>
  <si>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</si>
  <si>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</si>
  <si>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</si>
  <si>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</si>
  <si>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</si>
  <si>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</si>
  <si>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</si>
  <si>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</si>
  <si>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</si>
  <si>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</si>
  <si>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</si>
  <si>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</si>
  <si>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</si>
  <si>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</si>
  <si>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</si>
  <si>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</si>
  <si>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</si>
  <si>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</si>
  <si>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</si>
  <si>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</si>
  <si>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</si>
  <si>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</si>
  <si>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</si>
  <si>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</si>
  <si>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</si>
  <si>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</si>
  <si>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</si>
  <si>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</si>
  <si>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</si>
  <si>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</si>
  <si>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</si>
  <si>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</si>
  <si>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</si>
  <si>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</si>
  <si>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</si>
  <si>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</si>
  <si>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</si>
  <si>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</si>
  <si>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</si>
  <si>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</si>
  <si>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</si>
  <si>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</si>
  <si>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</si>
  <si>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</si>
  <si>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</si>
  <si>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</si>
  <si>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</si>
  <si>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</si>
  <si>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</si>
  <si>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</si>
  <si>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</si>
  <si>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</si>
  <si>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</si>
  <si>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</si>
  <si>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</si>
  <si>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</si>
  <si>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</si>
  <si>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</si>
  <si>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</si>
  <si>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</si>
  <si>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</si>
  <si>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</si>
  <si>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</si>
  <si>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</si>
  <si>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</si>
  <si>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</si>
  <si>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</si>
  <si>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</si>
  <si>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</si>
  <si>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</si>
  <si>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</si>
  <si>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</si>
  <si>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</si>
  <si>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</si>
  <si>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</si>
  <si>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</si>
  <si>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</si>
  <si>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</si>
  <si>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</si>
  <si>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</si>
  <si>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</si>
  <si>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</si>
  <si>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</si>
  <si>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</si>
  <si>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</si>
  <si>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</si>
  <si>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</si>
  <si>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</si>
  <si>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</si>
  <si>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</si>
  <si>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</si>
  <si>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</si>
  <si>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</si>
  <si>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</si>
  <si>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</si>
  <si>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</si>
  <si>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</si>
  <si>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</si>
  <si>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</si>
  <si>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</si>
  <si>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</si>
  <si>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</si>
  <si>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</si>
  <si>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</si>
  <si>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</si>
  <si>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</si>
  <si>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</si>
  <si>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</si>
  <si>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</si>
  <si>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</si>
  <si>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</si>
  <si>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</si>
  <si>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</si>
  <si>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</si>
  <si>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</si>
  <si>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</si>
  <si>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</si>
  <si>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</si>
  <si>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</si>
  <si>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</si>
  <si>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</si>
  <si>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</si>
  <si>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</si>
  <si>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</si>
  <si>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</si>
  <si>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</si>
  <si>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</si>
  <si>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</si>
  <si>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</si>
  <si>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</si>
  <si>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</si>
  <si>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</si>
  <si>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</si>
  <si>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</si>
  <si>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</si>
  <si>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</si>
  <si>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</si>
  <si>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</si>
  <si>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</si>
  <si>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</si>
  <si>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</si>
  <si>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</si>
  <si>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</si>
  <si>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</si>
  <si>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</si>
  <si>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</si>
  <si>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</si>
  <si>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</si>
  <si>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</si>
  <si>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</si>
  <si>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</si>
  <si>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</si>
  <si>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</si>
  <si>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</si>
  <si>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</si>
  <si>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</si>
  <si>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</si>
  <si>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</si>
  <si>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</si>
  <si>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</si>
  <si>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</si>
  <si>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</si>
  <si>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</si>
  <si>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</si>
  <si>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</si>
  <si>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</si>
  <si>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</si>
  <si>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</si>
  <si>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</si>
  <si>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</si>
  <si>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</si>
  <si>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</si>
  <si>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</si>
  <si>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</si>
  <si>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</si>
  <si>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</si>
  <si>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</si>
  <si>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</si>
  <si>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</si>
  <si>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</si>
  <si>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</si>
  <si>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</si>
  <si>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</si>
  <si>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</si>
  <si>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</si>
  <si>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</si>
  <si>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</si>
  <si>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</si>
  <si>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</si>
  <si>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</si>
  <si>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</si>
  <si>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</si>
  <si>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</si>
  <si>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</si>
  <si>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</si>
  <si>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</si>
  <si>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</si>
  <si>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</si>
  <si>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</si>
  <si>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</si>
  <si>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</si>
  <si>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</si>
  <si>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</si>
  <si>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</si>
  <si>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</si>
  <si>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</si>
  <si>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</si>
  <si>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</si>
  <si>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</si>
  <si>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</si>
  <si>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</si>
  <si>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</si>
  <si>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</si>
  <si>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</si>
  <si>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</si>
  <si>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</si>
  <si>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</si>
  <si>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</si>
  <si>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</si>
  <si>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</si>
  <si>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</si>
  <si>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</si>
  <si>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</si>
  <si>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</si>
  <si>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</si>
  <si>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</si>
  <si>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</si>
  <si>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</si>
  <si>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</si>
  <si>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</si>
  <si>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</si>
  <si>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</si>
  <si>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</si>
  <si>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</si>
  <si>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</si>
  <si>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</si>
  <si>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</si>
  <si>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</si>
  <si>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</si>
  <si>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</si>
  <si>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</si>
  <si>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</si>
  <si>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</si>
  <si>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</si>
  <si>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</si>
  <si>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</si>
  <si>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</si>
  <si>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</si>
  <si>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</si>
  <si>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</si>
  <si>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</si>
  <si>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</si>
  <si>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</si>
  <si>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</si>
  <si>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</si>
  <si>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</si>
  <si>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</si>
  <si>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</si>
  <si>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</si>
  <si>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</si>
  <si>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</si>
  <si>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</si>
  <si>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</si>
  <si>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</si>
  <si>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</si>
  <si>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</si>
  <si>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</si>
  <si>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</si>
  <si>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</si>
  <si>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</si>
  <si>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</si>
  <si>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</si>
  <si>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</si>
  <si>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</si>
  <si>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</si>
  <si>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</si>
  <si>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</si>
  <si>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</si>
  <si>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</si>
  <si>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</si>
  <si>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</si>
  <si>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</si>
  <si>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</si>
  <si>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</si>
  <si>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</si>
  <si>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</si>
  <si>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</si>
  <si>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</si>
  <si>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</si>
  <si>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</si>
  <si>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</si>
  <si>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</si>
  <si>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</si>
  <si>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</si>
  <si>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</si>
  <si>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</si>
  <si>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</si>
  <si>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</si>
  <si>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</si>
  <si>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</si>
  <si>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</si>
  <si>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</si>
  <si>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</si>
  <si>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</si>
  <si>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</si>
  <si>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</si>
  <si>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</si>
  <si>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</si>
  <si>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</si>
  <si>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</si>
  <si>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</si>
  <si>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</si>
  <si>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</si>
  <si>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</si>
  <si>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</si>
  <si>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</si>
  <si>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</si>
  <si>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</si>
  <si>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</si>
  <si>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</si>
  <si>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</si>
  <si>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</si>
  <si>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</si>
  <si>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</si>
  <si>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</si>
  <si>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</si>
  <si>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</si>
  <si>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</si>
  <si>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</si>
  <si>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</si>
  <si>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</si>
  <si>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</si>
  <si>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</si>
  <si>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</si>
  <si>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</si>
  <si>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</si>
  <si>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</si>
  <si>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</si>
  <si>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</si>
  <si>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</si>
  <si>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</si>
  <si>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</si>
  <si>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</si>
  <si>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</si>
  <si>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</si>
  <si>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</si>
  <si>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</si>
  <si>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</si>
  <si>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</si>
  <si>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</si>
  <si>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</si>
  <si>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</si>
  <si>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</si>
  <si>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</si>
  <si>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</si>
  <si>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</si>
  <si>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</si>
  <si>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</si>
  <si>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</si>
  <si>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</si>
  <si>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</si>
  <si>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</si>
  <si>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</si>
  <si>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</si>
  <si>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</si>
  <si>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</si>
  <si>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</si>
  <si>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</si>
  <si>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</si>
  <si>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</si>
  <si>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</si>
  <si>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</si>
  <si>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</si>
  <si>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</si>
  <si>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</si>
  <si>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</si>
  <si>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</si>
  <si>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</si>
  <si>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</si>
  <si>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</si>
  <si>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</si>
  <si>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</si>
  <si>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</si>
  <si>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</si>
  <si>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</si>
  <si>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</si>
  <si>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</si>
  <si>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</si>
  <si>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</si>
  <si>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</si>
  <si>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</si>
  <si>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</si>
  <si>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</si>
  <si>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</si>
  <si>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</si>
  <si>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</si>
  <si>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</si>
  <si>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</si>
  <si>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</si>
  <si>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</si>
  <si>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</si>
  <si>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</si>
  <si>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</si>
  <si>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</si>
  <si>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</si>
  <si>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</si>
  <si>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</si>
  <si>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</si>
  <si>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</si>
  <si>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</si>
  <si>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</si>
  <si>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</si>
  <si>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</si>
  <si>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</si>
  <si>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</si>
  <si>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</si>
  <si>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</si>
  <si>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</si>
  <si>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</si>
  <si>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</si>
  <si>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</si>
  <si>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</si>
  <si>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</si>
  <si>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</si>
  <si>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</si>
  <si>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</si>
  <si>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</si>
  <si>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</si>
  <si>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</si>
  <si>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</si>
  <si>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</si>
  <si>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</si>
  <si>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</si>
  <si>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</si>
  <si>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</si>
  <si>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</si>
  <si>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</si>
  <si>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</si>
  <si>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</si>
  <si>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</si>
  <si>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</si>
  <si>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</si>
  <si>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</si>
  <si>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</si>
  <si>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</si>
  <si>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</si>
  <si>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</si>
  <si>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</si>
  <si>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</si>
  <si>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</si>
  <si>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</si>
  <si>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</si>
  <si>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</si>
  <si>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</si>
  <si>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</si>
  <si>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</si>
  <si>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</si>
  <si>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</si>
  <si>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</si>
  <si>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</si>
  <si>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</si>
  <si>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</si>
  <si>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</si>
  <si>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</si>
  <si>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</si>
  <si>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</si>
  <si>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</si>
  <si>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</si>
  <si>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</si>
  <si>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</si>
  <si>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</si>
  <si>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</si>
  <si>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</si>
  <si>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</si>
  <si>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</si>
  <si>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</si>
  <si>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</si>
  <si>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</si>
  <si>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</si>
  <si>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</si>
  <si>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</si>
  <si>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</si>
  <si>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</si>
  <si>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</si>
  <si>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</si>
  <si>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</si>
  <si>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</si>
  <si>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</si>
  <si>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</si>
  <si>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</si>
  <si>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</si>
  <si>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</si>
  <si>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</si>
  <si>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</si>
  <si>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</si>
  <si>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</si>
  <si>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</si>
  <si>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</si>
  <si>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</si>
  <si>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</si>
  <si>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</si>
  <si>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</si>
  <si>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</si>
  <si>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</si>
  <si>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</si>
  <si>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</si>
  <si>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</si>
  <si>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</si>
  <si>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</si>
  <si>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</si>
  <si>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</si>
  <si>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</si>
  <si>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</si>
  <si>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</si>
  <si>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</si>
  <si>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</si>
  <si>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</si>
  <si>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</si>
  <si>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</si>
  <si>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</si>
  <si>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</si>
  <si>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</si>
  <si>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</si>
  <si>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</si>
  <si>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</si>
  <si>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</si>
  <si>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</si>
  <si>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</si>
  <si>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</si>
  <si>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</si>
  <si>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</si>
  <si>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</si>
  <si>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</si>
  <si>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</si>
  <si>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</si>
  <si>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</si>
  <si>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</si>
  <si>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</si>
  <si>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</si>
  <si>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</si>
  <si>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</si>
  <si>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</si>
  <si>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</si>
  <si>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</si>
  <si>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</si>
  <si>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</si>
  <si>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</si>
  <si>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</si>
  <si>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</si>
  <si>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</si>
  <si>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</si>
  <si>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</si>
  <si>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</si>
  <si>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</si>
  <si>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</si>
  <si>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</si>
  <si>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</si>
  <si>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</si>
  <si>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</si>
  <si>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</si>
  <si>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</si>
  <si>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</si>
  <si>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</si>
  <si>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</si>
  <si>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</si>
  <si>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</si>
  <si>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</si>
  <si>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</si>
  <si>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</si>
  <si>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</si>
  <si>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</si>
  <si>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</si>
  <si>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</si>
  <si>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</si>
  <si>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</si>
  <si>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</si>
  <si>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</si>
  <si>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</si>
  <si>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</si>
  <si>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</si>
  <si>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</si>
  <si>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</si>
  <si>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</si>
  <si>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</si>
  <si>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</si>
  <si>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</si>
  <si>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</si>
  <si>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</si>
  <si>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</si>
  <si>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</si>
  <si>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</si>
  <si>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</si>
  <si>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</si>
  <si>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</si>
  <si>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</si>
  <si>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</si>
  <si>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</si>
  <si>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</si>
  <si>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</si>
  <si>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</si>
  <si>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</si>
  <si>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</si>
  <si>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</si>
  <si>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</si>
  <si>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</si>
  <si>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</si>
  <si>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</si>
  <si>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</si>
  <si>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</si>
  <si>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</si>
  <si>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</si>
  <si>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</si>
  <si>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</si>
  <si>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</si>
  <si>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</si>
  <si>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</si>
  <si>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</si>
  <si>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</si>
  <si>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</si>
  <si>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</si>
  <si>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</si>
  <si>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</si>
  <si>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</si>
  <si>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</si>
  <si>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</si>
  <si>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</si>
  <si>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</si>
  <si>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</si>
  <si>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</si>
  <si>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</si>
  <si>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</si>
  <si>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</si>
  <si>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</si>
  <si>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</si>
  <si>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</si>
  <si>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</si>
  <si>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</si>
  <si>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</si>
  <si>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</si>
  <si>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</si>
  <si>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</si>
  <si>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</si>
  <si>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</si>
  <si>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</si>
  <si>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</si>
  <si>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</si>
  <si>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</si>
  <si>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</si>
  <si>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</si>
  <si>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</si>
  <si>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</si>
  <si>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</si>
  <si>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</si>
  <si>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</si>
  <si>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</si>
  <si>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</si>
  <si>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</si>
  <si>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</si>
  <si>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</si>
  <si>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</si>
  <si>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</si>
  <si>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</si>
  <si>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</si>
  <si>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</si>
  <si>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</si>
  <si>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</si>
  <si>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</si>
  <si>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</si>
  <si>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</si>
  <si>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</si>
  <si>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</si>
  <si>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</si>
  <si>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</si>
  <si>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</si>
  <si>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</si>
  <si>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</si>
  <si>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</si>
  <si>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</si>
  <si>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</si>
  <si>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</si>
  <si>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</si>
  <si>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</si>
  <si>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</si>
  <si>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</si>
  <si>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</si>
  <si>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</si>
  <si>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</si>
  <si>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</si>
  <si>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</si>
  <si>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</si>
  <si>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</si>
  <si>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</si>
  <si>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</si>
  <si>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</si>
  <si>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</si>
  <si>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</si>
  <si>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</si>
  <si>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</si>
  <si>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</si>
  <si>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</si>
  <si>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</si>
  <si>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</si>
  <si>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</si>
  <si>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</si>
  <si>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</si>
  <si>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</si>
  <si>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</si>
  <si>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</si>
  <si>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</si>
  <si>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</si>
  <si>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</si>
  <si>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</si>
  <si>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</si>
  <si>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</si>
  <si>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</si>
  <si>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</si>
  <si>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</si>
  <si>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</si>
  <si>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</si>
  <si>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</si>
  <si>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</si>
  <si>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</si>
  <si>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</si>
  <si>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</si>
  <si>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</si>
  <si>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</si>
  <si>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</si>
  <si>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</si>
  <si>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</si>
  <si>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</si>
  <si>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</si>
  <si>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</si>
  <si>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</si>
  <si>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</si>
  <si>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</si>
  <si>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</si>
  <si>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</si>
  <si>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</si>
  <si>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</si>
  <si>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</si>
  <si>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</si>
  <si>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</si>
  <si>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</si>
  <si>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</si>
  <si>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</si>
  <si>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</si>
  <si>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</si>
  <si>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</si>
  <si>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</si>
  <si>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</si>
  <si>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</si>
  <si>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</si>
  <si>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</si>
  <si>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</si>
  <si>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</si>
  <si>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</si>
  <si>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</si>
  <si>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</si>
  <si>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</si>
  <si>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</si>
  <si>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</si>
  <si>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</si>
  <si>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</si>
  <si>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</si>
  <si>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</si>
  <si>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</si>
  <si>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</si>
  <si>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</si>
  <si>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</si>
  <si>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</si>
  <si>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</si>
  <si>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</si>
  <si>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</si>
  <si>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</si>
  <si>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</si>
  <si>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</si>
  <si>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</si>
  <si>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</si>
  <si>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</si>
  <si>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</si>
  <si>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</si>
  <si>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</si>
  <si>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</si>
  <si>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</si>
  <si>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</si>
  <si>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</si>
  <si>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</si>
  <si>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</si>
  <si>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</si>
  <si>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</si>
  <si>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</si>
  <si>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</si>
  <si>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</si>
  <si>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</si>
  <si>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</si>
  <si>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</si>
  <si>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</si>
  <si>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</si>
  <si>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</si>
  <si>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</si>
  <si>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</si>
  <si>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</si>
  <si>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</si>
  <si>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</si>
  <si>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</si>
  <si>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</si>
  <si>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</si>
  <si>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</si>
  <si>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</si>
  <si>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</si>
  <si>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</si>
  <si>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</si>
  <si>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</si>
  <si>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</si>
  <si>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</si>
  <si>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</si>
  <si>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</si>
  <si>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</si>
  <si>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</si>
  <si>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</si>
  <si>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</si>
  <si>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</si>
  <si>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</si>
  <si>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</si>
  <si>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</si>
  <si>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</si>
  <si>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</si>
  <si>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</si>
  <si>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</si>
  <si>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</si>
  <si>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</si>
  <si>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</si>
  <si>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</si>
  <si>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</si>
  <si>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</si>
  <si>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</si>
  <si>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</si>
  <si>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</si>
  <si>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</si>
  <si>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</si>
  <si>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</si>
  <si>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</si>
  <si>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</si>
  <si>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</si>
  <si>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</si>
  <si>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</si>
  <si>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</si>
  <si>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</si>
  <si>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</si>
  <si>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</si>
  <si>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</si>
  <si>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</si>
  <si>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</si>
  <si>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</si>
  <si>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</si>
  <si>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</si>
  <si>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</si>
  <si>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</si>
  <si>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</si>
  <si>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</si>
  <si>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</si>
  <si>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</si>
  <si>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</si>
  <si>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</si>
  <si>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</si>
  <si>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</si>
  <si>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</si>
  <si>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</si>
  <si>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</si>
  <si>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</si>
  <si>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</si>
  <si>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</si>
  <si>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</si>
  <si>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</si>
  <si>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</si>
  <si>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</si>
  <si>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</si>
  <si>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</si>
  <si>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</si>
  <si>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</si>
  <si>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</si>
  <si>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</si>
  <si>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</si>
  <si>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</si>
  <si>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</si>
  <si>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</si>
  <si>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</si>
  <si>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</si>
  <si>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</si>
  <si>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</si>
  <si>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</si>
  <si>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</si>
  <si>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</si>
  <si>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</si>
  <si>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</si>
  <si>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</si>
  <si>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</si>
  <si>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</si>
  <si>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</si>
  <si>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</si>
  <si>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</si>
  <si>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</si>
  <si>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</si>
  <si>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</si>
  <si>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</si>
  <si>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</si>
  <si>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</si>
  <si>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</si>
  <si>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</si>
  <si>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</si>
  <si>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</si>
  <si>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</si>
  <si>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</si>
  <si>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</si>
  <si>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</si>
  <si>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</si>
  <si>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</si>
  <si>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</si>
  <si>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</si>
  <si>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</si>
  <si>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</si>
  <si>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</si>
  <si>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</si>
  <si>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</si>
  <si>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</si>
  <si>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</si>
  <si>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</si>
  <si>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</si>
  <si>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</si>
  <si>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</si>
  <si>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</si>
  <si>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</si>
  <si>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</si>
  <si>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</si>
  <si>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</si>
  <si>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</si>
  <si>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</si>
  <si>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</si>
  <si>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</si>
  <si>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</si>
  <si>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</si>
  <si>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</si>
  <si>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</si>
  <si>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</si>
  <si>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</si>
  <si>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</si>
  <si>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</si>
  <si>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</si>
  <si>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</si>
  <si>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</si>
  <si>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</si>
  <si>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</si>
  <si>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</si>
  <si>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</si>
  <si>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</si>
  <si>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</si>
  <si>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</si>
  <si>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</si>
  <si>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</si>
  <si>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</si>
  <si>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</si>
  <si>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</si>
  <si>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</si>
  <si>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</si>
  <si>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</si>
  <si>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</si>
  <si>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</si>
  <si>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</si>
  <si>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</si>
  <si>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</si>
  <si>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</si>
  <si>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</si>
  <si>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</si>
  <si>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</si>
  <si>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</si>
  <si>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</si>
  <si>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</si>
  <si>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</si>
  <si>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</si>
  <si>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</si>
  <si>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</si>
  <si>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</si>
  <si>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</si>
  <si>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</si>
  <si>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</si>
  <si>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</si>
  <si>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</si>
  <si>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</si>
  <si>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</si>
  <si>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</si>
  <si>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</si>
  <si>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</si>
  <si>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</si>
  <si>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</si>
  <si>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</si>
  <si>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</si>
  <si>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</si>
  <si>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</si>
  <si>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</si>
  <si>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</si>
  <si>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</si>
  <si>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</si>
  <si>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</si>
  <si>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</si>
  <si>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</si>
  <si>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</si>
  <si>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</si>
  <si>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</si>
  <si>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</si>
  <si>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</si>
  <si>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</si>
  <si>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</si>
  <si>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</si>
  <si>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</si>
  <si>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</si>
  <si>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</si>
  <si>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</si>
  <si>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</si>
  <si>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</si>
  <si>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</si>
  <si>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</si>
  <si>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</si>
  <si>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</si>
  <si>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</si>
  <si>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</si>
  <si>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</si>
  <si>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</si>
  <si>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</si>
  <si>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</si>
  <si>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</si>
  <si>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</si>
  <si>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</si>
  <si>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</si>
  <si>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</si>
  <si>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</si>
  <si>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</si>
  <si>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</si>
  <si>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</si>
  <si>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</si>
  <si>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</si>
  <si>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</si>
  <si>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</si>
  <si>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</si>
  <si>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</si>
  <si>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</si>
  <si>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</si>
  <si>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</si>
  <si>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</si>
  <si>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</si>
  <si>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</si>
  <si>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</si>
  <si>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</si>
  <si>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</si>
  <si>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</si>
  <si>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</si>
  <si>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</si>
  <si>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</si>
  <si>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</si>
  <si>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</si>
  <si>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</si>
  <si>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</si>
  <si>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</si>
  <si>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</si>
  <si>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</si>
  <si>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</si>
  <si>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</si>
  <si>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</si>
  <si>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</si>
  <si>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</si>
  <si>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</si>
  <si>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</si>
  <si>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</si>
  <si>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</si>
  <si>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</si>
  <si>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</si>
  <si>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</si>
  <si>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</si>
  <si>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</si>
  <si>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</si>
  <si>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</si>
  <si>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</si>
  <si>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</si>
  <si>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</si>
  <si>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</si>
  <si>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</si>
  <si>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</si>
  <si>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</si>
  <si>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</si>
  <si>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</si>
  <si>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</si>
  <si>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</si>
  <si>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</si>
  <si>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</si>
  <si>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</si>
  <si>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</si>
  <si>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</si>
  <si>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</si>
  <si>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</si>
  <si>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</si>
  <si>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</si>
  <si>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</si>
  <si>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</si>
  <si>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</si>
  <si>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</si>
  <si>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</si>
  <si>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</si>
  <si>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</si>
  <si>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</si>
  <si>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</si>
  <si>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</si>
  <si>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</si>
  <si>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</si>
  <si>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</si>
  <si>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</si>
  <si>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</si>
  <si>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</si>
  <si>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</si>
  <si>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</si>
  <si>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</si>
  <si>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</si>
  <si>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</si>
  <si>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</si>
  <si>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</si>
  <si>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</si>
  <si>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</si>
  <si>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</si>
  <si>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</si>
  <si>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</si>
  <si>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</si>
  <si>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</si>
  <si>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</si>
  <si>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</si>
  <si>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</si>
  <si>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</si>
  <si>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</si>
  <si>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</si>
  <si>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</si>
  <si>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</si>
  <si>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</si>
  <si>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</si>
  <si>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</si>
  <si>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</si>
  <si>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</si>
  <si>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</si>
  <si>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</si>
  <si>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</si>
  <si>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</si>
  <si>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</si>
  <si>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</si>
  <si>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</si>
  <si>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</si>
  <si>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</si>
  <si>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</si>
  <si>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</si>
  <si>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</si>
  <si>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</si>
  <si>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</si>
  <si>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</si>
  <si>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</si>
  <si>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</si>
  <si>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</si>
  <si>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</si>
  <si>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</si>
  <si>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</si>
  <si>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</si>
  <si>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</si>
  <si>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</si>
  <si>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</si>
  <si>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</si>
  <si>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</si>
  <si>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</si>
  <si>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</si>
  <si>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</si>
  <si>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</si>
  <si>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</si>
  <si>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</si>
  <si>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</si>
  <si>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</si>
  <si>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</si>
  <si>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</si>
  <si>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</si>
  <si>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</si>
  <si>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</si>
  <si>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</si>
  <si>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</si>
  <si>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</si>
  <si>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</si>
  <si>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</si>
  <si>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</si>
  <si>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</si>
  <si>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</si>
  <si>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</si>
  <si>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</si>
  <si>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</si>
  <si>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</si>
  <si>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</si>
  <si>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</si>
  <si>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</si>
  <si>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</si>
  <si>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</si>
  <si>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</si>
  <si>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</si>
  <si>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</si>
  <si>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</si>
  <si>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</si>
  <si>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</si>
  <si>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</si>
  <si>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</si>
  <si>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</si>
  <si>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</si>
  <si>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</si>
  <si>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</si>
  <si>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</si>
  <si>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</si>
  <si>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</si>
  <si>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</si>
  <si>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</si>
  <si>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</si>
  <si>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Verification R acid</t>
  </si>
  <si>
    <t>R verification base</t>
  </si>
  <si>
    <t>R verification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</si>
</sst>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58345" y="203752"/>
          <a:ext cx="2697645" cy="799686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2">
      <c r="B33" s="620"/>
      <c r="C33" s="29"/>
      <c r="D33" s="29"/>
      <c r="E33" s="29" t="s">
        <v>3948</v>
      </c>
      <c r="F33" s="29"/>
    </row>
    <row r="34" spans="2:12" ht="12.75" customHeight="1" x14ac:dyDescent="0.2">
      <c r="B34" s="29"/>
      <c r="C34" s="29"/>
      <c r="D34" s="29"/>
      <c r="E34" s="29" t="s">
        <v>3949</v>
      </c>
      <c r="F34" s="29"/>
    </row>
    <row r="35" spans="2:12" ht="12.75" customHeight="1" x14ac:dyDescent="0.2">
      <c r="B35" s="29"/>
      <c r="C35" s="29"/>
      <c r="D35" s="29" t="s">
        <v>3943</v>
      </c>
      <c r="E35" s="29"/>
      <c r="F35" s="29"/>
    </row>
    <row r="36" spans="2:12" ht="12.75" customHeight="1" x14ac:dyDescent="0.2">
      <c r="B36" s="29"/>
      <c r="C36" s="29"/>
      <c r="D36" s="29" t="s">
        <v>3944</v>
      </c>
      <c r="E36" s="29"/>
      <c r="F36" s="29"/>
    </row>
    <row r="37" spans="2:12" ht="12.75" customHeight="1" x14ac:dyDescent="0.2">
      <c r="B37" s="29"/>
      <c r="C37" s="29"/>
      <c r="D37" s="94" t="s">
        <v>3940</v>
      </c>
      <c r="E37" s="29"/>
      <c r="F37" s="29"/>
    </row>
    <row r="38" spans="2:12" ht="12.75" customHeight="1" x14ac:dyDescent="0.2">
      <c r="B38" s="29"/>
      <c r="C38" s="29"/>
      <c r="D38" s="94"/>
      <c r="E38" s="29" t="s">
        <v>3941</v>
      </c>
      <c r="F38" s="29"/>
    </row>
    <row r="39" spans="2:12" ht="12.75" customHeight="1" x14ac:dyDescent="0.2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2">
      <c r="B40" s="29"/>
      <c r="C40" s="29"/>
      <c r="D40" s="29" t="s">
        <v>3936</v>
      </c>
      <c r="E40" s="29"/>
      <c r="F40" s="29"/>
    </row>
    <row r="41" spans="2:12" ht="12.75" customHeight="1" x14ac:dyDescent="0.2">
      <c r="B41" s="657">
        <v>45496</v>
      </c>
      <c r="C41" s="90" t="s">
        <v>4057</v>
      </c>
      <c r="D41" s="90" t="s">
        <v>4054</v>
      </c>
    </row>
    <row r="42" spans="2:12" ht="12.75" customHeight="1" x14ac:dyDescent="0.2">
      <c r="D42" s="90" t="s">
        <v>4055</v>
      </c>
    </row>
    <row r="43" spans="2:12" ht="12.75" customHeight="1" x14ac:dyDescent="0.2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A78" zoomScaleNormal="100" workbookViewId="0">
      <selection activeCell="I103" sqref="I103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1-HYDROXYANTHRAQUINONE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708</v>
      </c>
      <c r="J6" s="400"/>
      <c r="K6" s="121">
        <f>VLOOKUP(ChemName,ChemData,26,FALSE)</f>
        <v>0</v>
      </c>
      <c r="L6" s="393">
        <f>IF(ISBLANK(I6),IF(ISBLANK(J6),K6,J6),I6)</f>
        <v>708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4060</v>
      </c>
      <c r="J10" s="400"/>
      <c r="K10" s="343" t="s">
        <v>2199</v>
      </c>
      <c r="L10" s="344" t="str">
        <f>IF(ISBLANK(I10),IF(ISBLANK(J10),K10,J10),I10)</f>
        <v>R verification acid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Acid</v>
      </c>
      <c r="K14" s="350" t="s">
        <v>2061</v>
      </c>
      <c r="L14" s="351" t="str">
        <f>IF(I14="",IF(J14="",K14,J14),I14)</f>
        <v>Acid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224.22</v>
      </c>
      <c r="K15" s="345">
        <f>MEDIAN(substances!F$17:F$283)</f>
        <v>138</v>
      </c>
      <c r="L15" s="346">
        <f>IF(ISBLANK(I15),IF(ISNUMBER(J15)=FALSE,K15/1000,J15/1000),I15/1000)</f>
        <v>0.22422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51.258985241277919</v>
      </c>
      <c r="L17" s="346">
        <f t="shared" ref="L17:L23" si="0">IF(ISBLANK(I17), IF(ISNUMBER(J17)=FALSE, K17, J17), I17)</f>
        <v>51.258985241277919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4.2283410004967763</v>
      </c>
      <c r="L18" s="346">
        <f t="shared" si="0"/>
        <v>4.2283410004967763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2.9669768715870563E-7</v>
      </c>
      <c r="L19" s="346">
        <f>IF(ISBLANK(I19), IF(ISNUMBER(J19)=FALSE, K19, J19), I19)</f>
        <v>2.9669768715870563E-7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3311.3112148259115</v>
      </c>
      <c r="K20" s="345">
        <f>MEDIAN(substances!K$17:K$283)</f>
        <v>18</v>
      </c>
      <c r="L20" s="346">
        <f t="shared" si="0"/>
        <v>3311.3112148259115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1.0471285480508996</v>
      </c>
      <c r="L21" s="346">
        <f t="shared" si="0"/>
        <v>1.0471285480508996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>
        <f>IF(HLOOKUP(CaseName,CaseData,ROW()-2,FALSE)="",IF(ISBLANK(VLOOKUP(ChemName,ChemData,MATCH("pKa",substances!$3:$3,FALSE)-1,FALSE)),"",VLOOKUP(ChemName,ChemData,MATCH("pKa",substances!$3:$3,FALSE)-1,FALSE)),HLOOKUP(CaseName,CaseData,ROW()-2,FALSE))</f>
        <v>9.4700000000000006</v>
      </c>
      <c r="K22" s="345">
        <v>7</v>
      </c>
      <c r="L22" s="346">
        <f t="shared" si="0"/>
        <v>9.4700000000000006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3300.1324569844587</v>
      </c>
      <c r="L23" s="346">
        <f t="shared" si="0"/>
        <v>3300.1324569844587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0.99999966115595873</v>
      </c>
      <c r="L24" s="351">
        <f t="shared" ref="L24:L35" si="2">IF(ISBLANK(I24), IF(ISNUMBER(J24)=FALSE, K24, J24), I24)</f>
        <v>0.99999966115595873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0.9966230012016889</v>
      </c>
      <c r="L25" s="351">
        <f t="shared" si="2"/>
        <v>0.9966230012016889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0.99914958578168711</v>
      </c>
      <c r="L26" s="351">
        <f t="shared" si="2"/>
        <v>0.99914958578168711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0.96722610854541258</v>
      </c>
      <c r="L27" s="351">
        <f t="shared" si="2"/>
        <v>0.96722610854541258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0.99156045182276509</v>
      </c>
      <c r="L28" s="351">
        <f t="shared" si="2"/>
        <v>0.99156045182276509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0.99999148869206089</v>
      </c>
      <c r="L29" s="351">
        <f t="shared" si="2"/>
        <v>0.99999148869206089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0.99996611673250069</v>
      </c>
      <c r="L30" s="351">
        <f t="shared" si="2"/>
        <v>0.99996611673250069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0.99914958578168711</v>
      </c>
      <c r="L31" s="351">
        <f t="shared" si="2"/>
        <v>0.99914958578168711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0.9966230012016889</v>
      </c>
      <c r="L32" s="351">
        <f t="shared" si="2"/>
        <v>0.9966230012016889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0.99914958578168711</v>
      </c>
      <c r="L33" s="351">
        <f t="shared" si="2"/>
        <v>0.99914958578168711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0.9966230012016889</v>
      </c>
      <c r="L34" s="351">
        <f t="shared" si="2"/>
        <v>0.9966230012016889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2.7866666659699999E-5</v>
      </c>
      <c r="K35" s="345">
        <f>MEDIAN(substances!$H$17:$H$283)</f>
        <v>4</v>
      </c>
      <c r="L35" s="346">
        <f t="shared" si="2"/>
        <v>2.7866666659699999E-5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110.06446302834439</v>
      </c>
      <c r="L36" s="346">
        <f>IF(ISBLANK(I36),IF(ISNUMBER(J36)=FALSE,K36*1000,J36*1000),I36*1000)</f>
        <v>110064.4630283444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8.5</v>
      </c>
      <c r="K37" s="345">
        <f>10^(LOG(Kow)*-1.214+0.85)*(Molweight*1000000)</f>
        <v>84.604672413656203</v>
      </c>
      <c r="L37" s="346">
        <f>IF(ISBLANK(I37),IF(ISNUMBER(J37)=FALSE,K37/(1000*Molweight),J37/(1000*Molweight)),I37/(1000*Molweight))</f>
        <v>3.7909196325037912E-2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894.47981597766227</v>
      </c>
      <c r="J42" s="245">
        <f>1.26*Kow^0.81</f>
        <v>894.47981597766227</v>
      </c>
      <c r="K42" s="245">
        <f>MAX(IF(Pvap25&gt;100000,(100000/_Sol25)/(8.314*298),(Pvap25/_Sol25)/(8.314*298)),1E-20)</f>
        <v>2.9669768715870563E-7</v>
      </c>
      <c r="L42" s="245">
        <f>MAX(IF(Pvap25&gt;100000,(100000/_Sol25)/(8.314*298),(Pvap25/_Sol25)/(8.314*298)),1E-20)</f>
        <v>2.9669768715870563E-7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1025.1797048255585</v>
      </c>
      <c r="J43" s="245">
        <f>10^(0.11*LOG(Kow)+1.54)</f>
        <v>84.566820009935526</v>
      </c>
      <c r="K43" s="245">
        <f>MAX(IF(Pvap25&gt;100000,(100000/_Sol25)/(8.314*298),(Pvap25/_Sol25)/(8.314*298)),1E-20)</f>
        <v>2.9669768715870563E-7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1005.5415018560428</v>
      </c>
      <c r="J44" s="245">
        <f>IF(pKa&gt;0,10^(pKa^0.65*(Kow/(1+Kow))^0.14),1)</f>
        <v>20479.001087774792</v>
      </c>
      <c r="K44" s="245">
        <f>MAX(IF(Pvap25&gt;100000,(100000/_Sol25)/(8.314*298),(Pvap25/_Sol25)/(8.314*298)),1E-20)</f>
        <v>2.9669768715870563E-7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894.47981597766227</v>
      </c>
      <c r="J46" s="245">
        <f>1.26*Kow^0.81</f>
        <v>894.47981597766227</v>
      </c>
      <c r="K46" s="245">
        <f t="shared" ref="K46:L64" si="3">MAX(IF(Pvap25&gt;100000,(100000/_Sol25)/(8.314*298),(Pvap25/_Sol25)/(8.314*298)),1E-20)</f>
        <v>2.9669768715870563E-7</v>
      </c>
      <c r="L46" s="245">
        <f t="shared" si="3"/>
        <v>2.9669768715870563E-7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708.51113768487846</v>
      </c>
      <c r="J47" s="245">
        <f>10.47*Kow^0.52</f>
        <v>708.51113768487846</v>
      </c>
      <c r="K47" s="245">
        <f t="shared" si="3"/>
        <v>2.9669768715870563E-7</v>
      </c>
      <c r="L47" s="245">
        <f t="shared" si="3"/>
        <v>2.9669768715870563E-7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1310.4501426079098</v>
      </c>
      <c r="J48" s="245">
        <f>7.94*Kow^0.63</f>
        <v>1310.4501426079098</v>
      </c>
      <c r="K48" s="245">
        <f t="shared" si="3"/>
        <v>2.9669768715870563E-7</v>
      </c>
      <c r="L48" s="245">
        <f t="shared" si="3"/>
        <v>2.9669768715870563E-7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555.01549941353494</v>
      </c>
      <c r="J49" s="245">
        <f>12.3*Kow^0.47</f>
        <v>555.01549941353494</v>
      </c>
      <c r="K49" s="245">
        <f t="shared" si="3"/>
        <v>2.9669768715870563E-7</v>
      </c>
      <c r="L49" s="245">
        <f t="shared" si="3"/>
        <v>2.9669768715870563E-7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142.5893478168106</v>
      </c>
      <c r="J50" s="245">
        <f>3.16*Kow^0.47</f>
        <v>142.5893478168106</v>
      </c>
      <c r="K50" s="245">
        <f t="shared" si="3"/>
        <v>2.9669768715870563E-7</v>
      </c>
      <c r="L50" s="245">
        <f t="shared" si="3"/>
        <v>2.9669768715870563E-7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337.22161989416418</v>
      </c>
      <c r="J51" s="245">
        <f>13.18*Kow^0.4</f>
        <v>337.22161989416418</v>
      </c>
      <c r="K51" s="245">
        <f t="shared" si="3"/>
        <v>2.9669768715870563E-7</v>
      </c>
      <c r="L51" s="245">
        <f t="shared" si="3"/>
        <v>2.9669768715870563E-7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74.556769600191942</v>
      </c>
      <c r="J52" s="245">
        <f>3.16*Kow^0.39</f>
        <v>74.556769600191942</v>
      </c>
      <c r="K52" s="245">
        <f t="shared" si="3"/>
        <v>2.9669768715870563E-7</v>
      </c>
      <c r="L52" s="245">
        <f t="shared" si="3"/>
        <v>2.9669768715870563E-7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257.94775750000855</v>
      </c>
      <c r="J53" s="245">
        <f>17.78*Kow^0.33</f>
        <v>257.94775750000855</v>
      </c>
      <c r="K53" s="245">
        <f t="shared" si="3"/>
        <v>2.9669768715870563E-7</v>
      </c>
      <c r="L53" s="245">
        <f t="shared" si="3"/>
        <v>2.9669768715870563E-7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1077.5396448397864</v>
      </c>
      <c r="J54" s="245">
        <f>7.08*Kow^0.62</f>
        <v>1077.5396448397864</v>
      </c>
      <c r="K54" s="245">
        <f t="shared" si="3"/>
        <v>2.9669768715870563E-7</v>
      </c>
      <c r="L54" s="245">
        <f t="shared" si="3"/>
        <v>2.9669768715870563E-7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276.87203094109901</v>
      </c>
      <c r="J55" s="245">
        <f>13.8*Kow^0.37</f>
        <v>276.87203094109901</v>
      </c>
      <c r="K55" s="245">
        <f t="shared" si="3"/>
        <v>2.9669768715870563E-7</v>
      </c>
      <c r="L55" s="245">
        <f t="shared" si="3"/>
        <v>2.9669768715870563E-7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1809.7513781800767</v>
      </c>
      <c r="J56" s="245">
        <f>83.18*Kow^0.38</f>
        <v>1809.7513781800767</v>
      </c>
      <c r="K56" s="245">
        <f t="shared" si="3"/>
        <v>2.9669768715870563E-7</v>
      </c>
      <c r="L56" s="245">
        <f t="shared" si="3"/>
        <v>2.9669768715870563E-7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595.3781015365372</v>
      </c>
      <c r="J57" s="245">
        <f>11.22*Kow^0.49</f>
        <v>595.3781015365372</v>
      </c>
      <c r="K57" s="245">
        <f t="shared" si="3"/>
        <v>2.9669768715870563E-7</v>
      </c>
      <c r="L57" s="245">
        <f t="shared" si="3"/>
        <v>2.9669768715870563E-7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1822.335573550027</v>
      </c>
      <c r="J58" s="245">
        <f>3.55*Kow^0.77</f>
        <v>1822.335573550027</v>
      </c>
      <c r="K58" s="245">
        <f t="shared" si="3"/>
        <v>2.9669768715870563E-7</v>
      </c>
      <c r="L58" s="245">
        <f t="shared" si="3"/>
        <v>2.9669768715870563E-7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270.48693086304706</v>
      </c>
      <c r="J59" s="245">
        <f>2.09*Kow^0.6</f>
        <v>270.48693086304706</v>
      </c>
      <c r="K59" s="245">
        <f t="shared" si="3"/>
        <v>2.9669768715870563E-7</v>
      </c>
      <c r="L59" s="245">
        <f t="shared" si="3"/>
        <v>2.9669768715870563E-7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1219.8444867073501</v>
      </c>
      <c r="J60" s="245">
        <f>12.02*Kow^0.57</f>
        <v>1219.8444867073501</v>
      </c>
      <c r="K60" s="245">
        <f t="shared" si="3"/>
        <v>2.9669768715870563E-7</v>
      </c>
      <c r="L60" s="245">
        <f t="shared" si="3"/>
        <v>2.9669768715870563E-7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595.3781015365372</v>
      </c>
      <c r="J61" s="245">
        <f>11.22*Kow^0.49</f>
        <v>595.3781015365372</v>
      </c>
      <c r="K61" s="245">
        <f t="shared" si="3"/>
        <v>2.9669768715870563E-7</v>
      </c>
      <c r="L61" s="245">
        <f t="shared" si="3"/>
        <v>2.9669768715870563E-7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784.81658838907174</v>
      </c>
      <c r="J62" s="245">
        <f>14.79*Kow^0.49</f>
        <v>784.81658838907174</v>
      </c>
      <c r="K62" s="245">
        <f t="shared" si="3"/>
        <v>2.9669768715870563E-7</v>
      </c>
      <c r="L62" s="245">
        <f t="shared" si="3"/>
        <v>2.9669768715870563E-7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359.71774777736886</v>
      </c>
      <c r="J63" s="245">
        <f>31.62*Kow^0.3</f>
        <v>359.71774777736886</v>
      </c>
      <c r="K63" s="245">
        <f t="shared" si="3"/>
        <v>2.9669768715870563E-7</v>
      </c>
      <c r="L63" s="245">
        <f t="shared" si="3"/>
        <v>2.9669768715870563E-7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1159.6665312949469</v>
      </c>
      <c r="J64" s="247">
        <f>25.7*Kow^0.47</f>
        <v>1159.6665312949469</v>
      </c>
      <c r="K64" s="247">
        <f t="shared" si="3"/>
        <v>2.9669768715870563E-7</v>
      </c>
      <c r="L64" s="247">
        <f t="shared" si="3"/>
        <v>2.9669768715870563E-7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1.0300000000000001E-5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1.0300000000000001E-5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2.1400000000000001E-7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2.1400000000000001E-7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2.3799999999999998E-8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6.5846009179950364E-11</v>
      </c>
      <c r="L74" s="346">
        <f t="shared" si="4"/>
        <v>2.3799999999999998E-8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1.0700000000000001E-7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6.5846009179950351E-10</v>
      </c>
      <c r="L75" s="346">
        <f t="shared" si="4"/>
        <v>1.0700000000000001E-7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1.4142267408689941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1.4142267408689941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1.4142267408689941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>
        <v>100</v>
      </c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1.4142267408689941E-2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7.2816902647752066E-6</v>
      </c>
      <c r="L155" s="346">
        <f t="shared" ref="L155:L160" si="17">IF(ISBLANK(I155), IF(ISNUMBER(J155)=FALSE, K155, J155), I155)</f>
        <v>7.2816902647752066E-6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7.5555800412712927E-10</v>
      </c>
      <c r="L156" s="346">
        <f t="shared" si="17"/>
        <v>7.5555800412712927E-10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1-HYDROXYANTHRAQUINONE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R verification acid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1-HYDROXYANTHRAQUINONE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1-HYDROXYANTHRAQUINONE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1-HYDROXYANTHRAQUINONE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R verification acid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R verification acid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R verification acid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0.1139469034135067</v>
      </c>
      <c r="AY8" s="75"/>
      <c r="AZ8" s="295">
        <f>output!AF12</f>
        <v>4.614578339260135E-6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1.8801756672893113E-3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0.11866479764461885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12596.921397503011</v>
      </c>
      <c r="D11" s="117">
        <f>C11/$C$51</f>
        <v>1.0775690744055375E-3</v>
      </c>
      <c r="E11" s="517">
        <f>M.aC*Molweight</f>
        <v>6259.1169336290341</v>
      </c>
      <c r="F11" s="117">
        <f>E11/$E$51</f>
        <v>3.2483130221146318E-3</v>
      </c>
      <c r="G11" s="517">
        <f>M.aM*Molweight</f>
        <v>471.27473693185561</v>
      </c>
      <c r="H11" s="117">
        <f>G11/$G$51</f>
        <v>8.9415778021419688E-4</v>
      </c>
      <c r="I11" s="517">
        <f>M.aA*Molweight</f>
        <v>10.736660844139655</v>
      </c>
      <c r="J11" s="117">
        <f>I11/$I$51</f>
        <v>1.8876988011684114E-5</v>
      </c>
      <c r="K11" s="517">
        <f>M.aT*Molweight</f>
        <v>16.213119618173423</v>
      </c>
      <c r="L11" s="118">
        <f>K11/$K$51</f>
        <v>5.5092688114754583E-3</v>
      </c>
      <c r="M11" s="320">
        <f>C.aR*(Molweight*1000)</f>
        <v>5.4871809894598644E-8</v>
      </c>
      <c r="N11" s="320">
        <f>C.aC*(Molweight*1000)</f>
        <v>8.6941236012487891E-10</v>
      </c>
      <c r="O11" s="320">
        <f>C.aM*(Molweight*1000)</f>
        <v>6.0753844009057947E-12</v>
      </c>
      <c r="P11" s="320">
        <f>C.aA*(Molweight*1000)</f>
        <v>2.5262731397975656E-13</v>
      </c>
      <c r="Q11" s="321">
        <f>C.aT*(Molweight*1000)</f>
        <v>1.2716172249547782E-13</v>
      </c>
      <c r="R11" s="119" t="s">
        <v>1493</v>
      </c>
      <c r="S11" s="323">
        <f>F.aR</f>
        <v>5.798689003084139E-7</v>
      </c>
      <c r="T11" s="323">
        <f>F.aC</f>
        <v>9.1876901846057418E-9</v>
      </c>
      <c r="U11" s="323">
        <f>F.aM</f>
        <v>6.4202848024718003E-11</v>
      </c>
      <c r="V11" s="323">
        <f>F.aA</f>
        <v>2.4636086765519761E-12</v>
      </c>
      <c r="W11" s="324">
        <f>F.aT</f>
        <v>1.4051035729487379E-12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1.0775690744055375E-3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12295.513514372524</v>
      </c>
      <c r="D12" s="122">
        <f>C12/$C$51</f>
        <v>1.0517859641205253E-3</v>
      </c>
      <c r="E12" s="318">
        <f>FRgas.aC*E11</f>
        <v>6109.3543745322322</v>
      </c>
      <c r="F12" s="122">
        <f>E12/$E$51</f>
        <v>3.1705902896432808E-3</v>
      </c>
      <c r="G12" s="318">
        <f>FRgas.aM*G11</f>
        <v>459.9984959878052</v>
      </c>
      <c r="H12" s="122">
        <f>G12/$G$51</f>
        <v>8.7276317154636482E-4</v>
      </c>
      <c r="I12" s="318">
        <f>FRgas.aA*I11</f>
        <v>10.354063661934862</v>
      </c>
      <c r="J12" s="122">
        <f>I12/$I$51</f>
        <v>1.8204313096584592E-5</v>
      </c>
      <c r="K12" s="318">
        <f>FRgas.aT*K11</f>
        <v>15.830431442235474</v>
      </c>
      <c r="L12" s="123">
        <f>K12/$K$51</f>
        <v>5.3792301710492126E-3</v>
      </c>
      <c r="M12" s="320">
        <f>FRgas.aR*M11</f>
        <v>5.3558886241113924E-8</v>
      </c>
      <c r="N12" s="320">
        <f>FRgas.aC*N11</f>
        <v>8.4860983776535507E-10</v>
      </c>
      <c r="O12" s="320">
        <f>FRgas.aM*O11</f>
        <v>5.9300180297348213E-12</v>
      </c>
      <c r="P12" s="320">
        <f>FRgas.aA*P11</f>
        <v>2.4362502733964381E-13</v>
      </c>
      <c r="Q12" s="320">
        <f>FRgas.aT*Q11</f>
        <v>1.2416024660576843E-13</v>
      </c>
      <c r="R12" s="120" t="s">
        <v>1493</v>
      </c>
      <c r="S12" s="325">
        <f>S11*FRgas.aR</f>
        <v>5.6599431522369567E-7</v>
      </c>
      <c r="T12" s="325">
        <f>T11*FRgas.aC</f>
        <v>8.9678553406771524E-9</v>
      </c>
      <c r="U12" s="325">
        <f>U11*FRgas.aM</f>
        <v>6.2666659625708501E-11</v>
      </c>
      <c r="V12" s="325">
        <f>V11*FRgas.aA</f>
        <v>2.3758188365461287E-12</v>
      </c>
      <c r="W12" s="326">
        <f>W11*FRgas.aT</f>
        <v>1.371938054159071E-12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1.8801756672893113E-3</v>
      </c>
      <c r="AE12" s="325">
        <f>k.aR.aC*M.aR*Molweight</f>
        <v>0.11866479764461885</v>
      </c>
      <c r="AF12" s="325">
        <f>kesc.aR*M.aR*Molweight</f>
        <v>4.614578339260135E-6</v>
      </c>
      <c r="AG12" s="326">
        <f>KDEG.aR*M.aR*Molweight</f>
        <v>0.1139469034135067</v>
      </c>
      <c r="AH12" s="325">
        <f>SUM(AH13:AH15)</f>
        <v>4.1120791768932121E-3</v>
      </c>
      <c r="AI12" s="325">
        <f>SUM(AI13:AI15)</f>
        <v>1.3207451162259217E-4</v>
      </c>
      <c r="AJ12" s="325">
        <f>SUM(AJ18:AJ20)</f>
        <v>8.2564417177326238E-2</v>
      </c>
      <c r="AK12" s="325">
        <f>SUM(AK18:AK20)</f>
        <v>1.8264197412643345E-4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708</v>
      </c>
      <c r="BO12" s="409" t="str">
        <f>ChemName</f>
        <v>1-HYDROXYANTHRAQUINONE</v>
      </c>
      <c r="BP12" s="541" t="str">
        <f>substances!D6</f>
        <v>Acid</v>
      </c>
      <c r="BQ12" s="542">
        <f>substances!E6</f>
        <v>9.4700000000000006</v>
      </c>
      <c r="BR12" s="425">
        <f>engine!D45</f>
        <v>56181.078394001473</v>
      </c>
      <c r="BS12" s="425"/>
      <c r="BT12" s="425">
        <f>engine!F45</f>
        <v>9209335.7217349689</v>
      </c>
      <c r="BU12" s="425">
        <f>engine!G45</f>
        <v>460592.44196112343</v>
      </c>
      <c r="BV12" s="425">
        <f>engine!H45</f>
        <v>3322771.1057348922</v>
      </c>
      <c r="BW12" s="425">
        <f>engine!I45</f>
        <v>42009.818537878091</v>
      </c>
      <c r="BX12" s="425">
        <f>engine!J45</f>
        <v>2130527.136204415</v>
      </c>
      <c r="BY12" s="425">
        <f>engine!K45</f>
        <v>36028858.998636335</v>
      </c>
      <c r="BZ12" s="425">
        <f>engine!L45</f>
        <v>789028.13222517876</v>
      </c>
      <c r="CA12" s="425">
        <f>engine!M45</f>
        <v>27915.069724507332</v>
      </c>
      <c r="CB12" s="425">
        <f>engine!N45</f>
        <v>8973.6564021875183</v>
      </c>
      <c r="CC12" s="425">
        <f>engine!O45</f>
        <v>53874.037008831227</v>
      </c>
      <c r="CD12" s="425">
        <f>engine!P45</f>
        <v>6541465.4056825526</v>
      </c>
      <c r="CE12" s="425">
        <f>engine!Q45</f>
        <v>19438.002797503868</v>
      </c>
      <c r="CF12" s="425">
        <f>engine!R45</f>
        <v>29831.772042812445</v>
      </c>
      <c r="CG12" s="425">
        <f>engine!S45</f>
        <v>514571.13380204415</v>
      </c>
      <c r="CH12" s="425">
        <f>engine!T45</f>
        <v>1207075.507085735</v>
      </c>
      <c r="CI12" s="425">
        <f>engine!U45</f>
        <v>190568.37798561805</v>
      </c>
      <c r="CJ12" s="425">
        <f>engine!V45</f>
        <v>2101.8407676918009</v>
      </c>
      <c r="CK12" s="425">
        <f>engine!W45</f>
        <v>607472.05598895205</v>
      </c>
      <c r="CL12" s="611"/>
      <c r="CM12" s="425">
        <f>engine!Y45</f>
        <v>484.03095863558252</v>
      </c>
      <c r="CN12" s="425">
        <f>engine!Z45</f>
        <v>148515.98716281439</v>
      </c>
      <c r="CO12" s="425">
        <f>engine!AA45</f>
        <v>47.884492213627929</v>
      </c>
      <c r="CP12" s="425">
        <f>engine!AB45</f>
        <v>124967.14237589718</v>
      </c>
      <c r="CQ12" s="425"/>
      <c r="CR12" s="425">
        <f>engine!AD45</f>
        <v>398.37976993971324</v>
      </c>
      <c r="CS12" s="425">
        <f>engine!AE45</f>
        <v>1283515.2900568554</v>
      </c>
      <c r="CT12" s="425">
        <f>engine!AF45</f>
        <v>72.308980546665879</v>
      </c>
      <c r="CU12" s="425">
        <f>engine!AG45</f>
        <v>1244.6962638679915</v>
      </c>
      <c r="CV12" s="425"/>
      <c r="CW12" s="425">
        <f>engine!AI45</f>
        <v>2.5438850228457697</v>
      </c>
      <c r="CX12" s="425">
        <f>engine!AJ45</f>
        <v>1258.6569827546261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301.40788313048739</v>
      </c>
      <c r="D13" s="122">
        <f>C13/$C$51</f>
        <v>2.5783110285012327E-5</v>
      </c>
      <c r="E13" s="318">
        <f>(1-FRgas.aC)*E11</f>
        <v>149.76255909680202</v>
      </c>
      <c r="F13" s="122">
        <f>E13/$E$51</f>
        <v>7.7722732471351299E-5</v>
      </c>
      <c r="G13" s="318">
        <f>(1-FRgas.aM)*G11</f>
        <v>11.276240944050391</v>
      </c>
      <c r="H13" s="122">
        <f>G13/$G$51</f>
        <v>2.139460866783203E-5</v>
      </c>
      <c r="I13" s="318">
        <f>(1-FRgas.aA)*I11</f>
        <v>0.38259718220479288</v>
      </c>
      <c r="J13" s="122">
        <f>I13/$I$51</f>
        <v>6.7267491509952138E-7</v>
      </c>
      <c r="K13" s="318">
        <f>(1-FRgas.aT)*K11</f>
        <v>0.38268817593794868</v>
      </c>
      <c r="L13" s="123">
        <f>K13/$K$51</f>
        <v>1.3003864042624631E-4</v>
      </c>
      <c r="M13" s="320">
        <f>(1-FRgas.aR)*M11</f>
        <v>1.312923653484721E-9</v>
      </c>
      <c r="N13" s="320">
        <f>(1-FRgas.aC)*N11</f>
        <v>2.0802522359523843E-11</v>
      </c>
      <c r="O13" s="320">
        <f>(1-FRgas.aM)*O11</f>
        <v>1.4536637117097342E-13</v>
      </c>
      <c r="P13" s="320">
        <f>(1-FRgas.aA)*P11</f>
        <v>9.002286640112772E-15</v>
      </c>
      <c r="Q13" s="320">
        <f>(1-FRgas.aT)*Q11</f>
        <v>3.0014758897094014E-15</v>
      </c>
      <c r="R13" s="120" t="s">
        <v>1493</v>
      </c>
      <c r="S13" s="325">
        <f>S11*(1-FRgas.aR)</f>
        <v>1.3874585084718188E-8</v>
      </c>
      <c r="T13" s="325">
        <f>T11*(1-FRgas.aC)</f>
        <v>2.1983484392858868E-10</v>
      </c>
      <c r="U13" s="325">
        <f>U11*(1-FRgas.aM)</f>
        <v>1.5361883990094987E-12</v>
      </c>
      <c r="V13" s="325">
        <f>V11*(1-FRgas.aA)</f>
        <v>8.778984000584724E-14</v>
      </c>
      <c r="W13" s="326">
        <f>W11*(1-FRgas.aT)</f>
        <v>3.3165518789666854E-14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5.2442651814302548E-5</v>
      </c>
      <c r="AF13" s="330"/>
      <c r="AG13" s="326">
        <f>KDEG.w0R*M.w0R*Molweight</f>
        <v>1.900672999223537E-3</v>
      </c>
      <c r="AH13" s="325">
        <f>k.aR.w0R*M.aR*Molweight</f>
        <v>2.9906006588387613E-4</v>
      </c>
      <c r="AI13" s="325">
        <f>k.w0R.aR*M.w0R*Molweight</f>
        <v>4.1421793572090786E-8</v>
      </c>
      <c r="AJ13" s="325"/>
      <c r="AK13" s="325"/>
      <c r="AL13" s="325">
        <f>SUM(AL18:AL20)*AREAFRAC.w0R/(AREAFRAC.w0R+AREAFRAC.w1R)</f>
        <v>1.6540970069475352E-3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5.2442651814302548E-5</v>
      </c>
      <c r="AE14" s="325">
        <f>(WATERflow.w1R.w0R+WATERflow.w1R.w2R)*C.w1R*Molweight</f>
        <v>0.15000436683989105</v>
      </c>
      <c r="AF14" s="330"/>
      <c r="AG14" s="326">
        <f>KDEG.w1R*M.w1R*Molweight</f>
        <v>0.1791421156763488</v>
      </c>
      <c r="AH14" s="325">
        <f>k.aR.w1R*M.aR*Molweight</f>
        <v>3.289660724722638E-3</v>
      </c>
      <c r="AI14" s="325">
        <f>k.w1R.aR*M.w1R*Molweight</f>
        <v>1.3013614543628678E-4</v>
      </c>
      <c r="AJ14" s="325"/>
      <c r="AK14" s="325"/>
      <c r="AL14" s="325">
        <f>SUM(AL18:AL20)*AREAFRAC.w1R/(AREAFRAC.w0R+AREAFRAC.w1R)</f>
        <v>1.8195067076422888E-2</v>
      </c>
      <c r="AM14" s="325">
        <f>k.w1R.sd1R*M.w1R*Molweight</f>
        <v>5.4623473869034968E-2</v>
      </c>
      <c r="AN14" s="326">
        <f>k.sd1R.w1R*M.sd1R*Molweight</f>
        <v>4.526500224010542E-2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21876.077613966208</v>
      </c>
      <c r="D15" s="122">
        <f>C15/$C$51</f>
        <v>1.8713290305024811E-3</v>
      </c>
      <c r="E15" s="318">
        <f>M.w0C*Molweight</f>
        <v>2012.0732384984854</v>
      </c>
      <c r="F15" s="122">
        <f>E15/$E$51</f>
        <v>1.0442117907954645E-3</v>
      </c>
      <c r="G15" s="318"/>
      <c r="H15" s="122"/>
      <c r="I15" s="318"/>
      <c r="J15" s="122"/>
      <c r="K15" s="318"/>
      <c r="L15" s="123"/>
      <c r="M15" s="320">
        <f>C.w0R*Molweight</f>
        <v>3.8283375095535209E-7</v>
      </c>
      <c r="N15" s="320">
        <f>C.w0C*Molweight</f>
        <v>2.3088532330783804E-9</v>
      </c>
      <c r="O15" s="320"/>
      <c r="P15" s="320"/>
      <c r="Q15" s="320"/>
      <c r="R15" s="120" t="s">
        <v>1489</v>
      </c>
      <c r="S15" s="325">
        <f>F.w0R</f>
        <v>1.9887987397982042E-10</v>
      </c>
      <c r="T15" s="325">
        <f>F.w0C</f>
        <v>1.1994356267874655E-12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0.15002871484778665</v>
      </c>
      <c r="AE15" s="325">
        <f>k.w2R.w2C*M.w2R*Molweight</f>
        <v>0.14147039982710907</v>
      </c>
      <c r="AF15" s="330"/>
      <c r="AG15" s="326">
        <f>KDEG.w2R*M.w2R*Molweight</f>
        <v>8.9688235719448048E-3</v>
      </c>
      <c r="AH15" s="325">
        <f>k.aR.w2R*M.aR*Molweight</f>
        <v>5.2335838628669808E-4</v>
      </c>
      <c r="AI15" s="325">
        <f>k.w2R.aR*M.w2R*Molweight</f>
        <v>1.8969443927333051E-6</v>
      </c>
      <c r="AJ15" s="325"/>
      <c r="AK15" s="325"/>
      <c r="AL15" s="325"/>
      <c r="AM15" s="325">
        <f>k.w2R.sd2R*M.w2R*Molweight</f>
        <v>5.1112753206182038E-4</v>
      </c>
      <c r="AN15" s="326">
        <f>k.sd2R.w2R*M.sd2R*Molweight</f>
        <v>4.001746414350283E-4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21869.186398033497</v>
      </c>
      <c r="D16" s="122">
        <f>C16/$C$51</f>
        <v>1.8707395403453372E-3</v>
      </c>
      <c r="E16" s="318">
        <f>FRw.w0C*E15</f>
        <v>2011.4394122978472</v>
      </c>
      <c r="F16" s="122">
        <f>E16/$E$51</f>
        <v>1.0438828520772517E-3</v>
      </c>
      <c r="G16" s="318"/>
      <c r="H16" s="122"/>
      <c r="I16" s="318"/>
      <c r="J16" s="122"/>
      <c r="K16" s="318"/>
      <c r="L16" s="123"/>
      <c r="M16" s="320">
        <f>M15*FRw.w0R</f>
        <v>3.8271315392279816E-7</v>
      </c>
      <c r="N16" s="320">
        <f>N15*FRw.w0C</f>
        <v>2.3081259177677084E-9</v>
      </c>
      <c r="O16" s="320"/>
      <c r="P16" s="320"/>
      <c r="Q16" s="320"/>
      <c r="R16" s="120" t="s">
        <v>1489</v>
      </c>
      <c r="S16" s="325">
        <f>S15*FRw.w0R</f>
        <v>1.9881722453322171E-10</v>
      </c>
      <c r="T16" s="325">
        <f>T15*FRw.w0C</f>
        <v>1.1990577907764841E-12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2.1571412422579364E-3</v>
      </c>
      <c r="AG16" s="326">
        <f>KDEG.sd1R*M.sd1R*Molweight</f>
        <v>7.2013303866716128E-3</v>
      </c>
      <c r="AH16" s="325"/>
      <c r="AI16" s="325"/>
      <c r="AJ16" s="325"/>
      <c r="AK16" s="325"/>
      <c r="AL16" s="325"/>
      <c r="AM16" s="325">
        <f>k.w1R.sd1R*M.w1R*Molweight</f>
        <v>5.4623473869034968E-2</v>
      </c>
      <c r="AN16" s="326">
        <f>k.sd1R.w1R*M.sd1R*Molweight</f>
        <v>4.526500224010542E-2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6.8912159327127211</v>
      </c>
      <c r="D17" s="122">
        <f>C17/$C$51</f>
        <v>5.8949015714378364E-7</v>
      </c>
      <c r="E17" s="318">
        <f>(1-FRw.w0C)*E15</f>
        <v>0.6338262006381572</v>
      </c>
      <c r="F17" s="122">
        <f>E17/$E$51</f>
        <v>3.2893871821254464E-7</v>
      </c>
      <c r="G17" s="318"/>
      <c r="H17" s="122"/>
      <c r="I17" s="318"/>
      <c r="J17" s="122"/>
      <c r="K17" s="318"/>
      <c r="L17" s="123"/>
      <c r="M17" s="320">
        <f>M16*Kp.susp1R</f>
        <v>3.9113408951645737E-5</v>
      </c>
      <c r="N17" s="320">
        <f>N16*Kp.susp1C</f>
        <v>2.358912203779446E-7</v>
      </c>
      <c r="O17" s="320"/>
      <c r="P17" s="320"/>
      <c r="Q17" s="320"/>
      <c r="R17" s="120" t="s">
        <v>1494</v>
      </c>
      <c r="S17" s="325">
        <f>S15*(1-FRw.w0R)</f>
        <v>6.2649446598720299E-14</v>
      </c>
      <c r="T17" s="325">
        <f>T15*(1-FRw.w0C)</f>
        <v>3.7783601098142542E-16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1.990641972988319E-5</v>
      </c>
      <c r="AG17" s="326">
        <f>KDEG.sd2R*M.sd2R*Molweight</f>
        <v>9.1046470896908986E-5</v>
      </c>
      <c r="AH17" s="325"/>
      <c r="AI17" s="325"/>
      <c r="AJ17" s="325"/>
      <c r="AK17" s="325"/>
      <c r="AL17" s="325"/>
      <c r="AM17" s="325">
        <f>k.w2R.sd2R*M.w2R*Molweight</f>
        <v>5.1112753206182038E-4</v>
      </c>
      <c r="AN17" s="326">
        <f>k.sd2R.w2R*M.sd2R*Molweight</f>
        <v>4.001746414350283E-4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1.4664816291558948E-5</v>
      </c>
      <c r="AG18" s="326">
        <f>KDEG.s1R*M.s1R*Molweight</f>
        <v>2.0758989138593219E-2</v>
      </c>
      <c r="AH18" s="325"/>
      <c r="AI18" s="325"/>
      <c r="AJ18" s="325">
        <f>k.aR.s1R*M.aR*Molweight</f>
        <v>2.298184808028669E-2</v>
      </c>
      <c r="AK18" s="325">
        <f>k.s1R.aR*M.s1R*Molweight</f>
        <v>2.0192859102991782E-5</v>
      </c>
      <c r="AL18" s="325">
        <f>(k.s1R.w1R+k.s1R.w0R)*M.s1R*Molweight</f>
        <v>2.1880012662989167E-3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2064917.2555274148</v>
      </c>
      <c r="D19" s="122">
        <f>C19/$C$51</f>
        <v>0.17663768039417643</v>
      </c>
      <c r="E19" s="318">
        <f>M.w1C*Molweight</f>
        <v>12079.636578120138</v>
      </c>
      <c r="F19" s="122">
        <f>E19/$E$51</f>
        <v>6.269005870189014E-3</v>
      </c>
      <c r="G19" s="318"/>
      <c r="H19" s="122"/>
      <c r="I19" s="318"/>
      <c r="J19" s="122"/>
      <c r="K19" s="318"/>
      <c r="L19" s="123"/>
      <c r="M19" s="320">
        <f>C.w1R*Molweight</f>
        <v>1.0950387219232169E-4</v>
      </c>
      <c r="N19" s="320">
        <f>C.w1C*Molweight</f>
        <v>4.2004176127001559E-8</v>
      </c>
      <c r="O19" s="320"/>
      <c r="P19" s="320"/>
      <c r="Q19" s="320"/>
      <c r="R19" s="120" t="s">
        <v>1489</v>
      </c>
      <c r="S19" s="325">
        <f>F.w1R</f>
        <v>5.6886615267239502E-8</v>
      </c>
      <c r="T19" s="325">
        <f>F.w1C</f>
        <v>2.1820921572138264E-11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1.129371075403859E-4</v>
      </c>
      <c r="AG19" s="326">
        <f>KDEG.s2R*M.s2R*Molweight</f>
        <v>0.35105053576601719</v>
      </c>
      <c r="AH19" s="325"/>
      <c r="AI19" s="325"/>
      <c r="AJ19" s="325">
        <f>k.aR.s2R*M.aR*Molweight</f>
        <v>5.1070773511748178E-2</v>
      </c>
      <c r="AK19" s="325">
        <f>k.s2R.aR*M.s2R*Molweight</f>
        <v>1.5499007875635699E-4</v>
      </c>
      <c r="AL19" s="325">
        <f>(k.s2R.w1R+k.s2R.w0R)*M.s2R*Molweight</f>
        <v>1.6850230397080092E-2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2061213.223455379</v>
      </c>
      <c r="D20" s="122">
        <f>C20/$C$51</f>
        <v>0.17632082913461208</v>
      </c>
      <c r="E20" s="318">
        <f>FRw.w1C*E19</f>
        <v>12057.968222555708</v>
      </c>
      <c r="F20" s="122">
        <f>E20/$E$51</f>
        <v>6.257760577555227E-3</v>
      </c>
      <c r="G20" s="318"/>
      <c r="H20" s="122"/>
      <c r="I20" s="318"/>
      <c r="J20" s="122"/>
      <c r="K20" s="318"/>
      <c r="L20" s="123"/>
      <c r="M20" s="320">
        <f>M19*FRw.w1R</f>
        <v>1.0930744502143785E-4</v>
      </c>
      <c r="N20" s="320">
        <f>N19*FRw.w1C</f>
        <v>4.1928829371523884E-8</v>
      </c>
      <c r="O20" s="320"/>
      <c r="P20" s="320"/>
      <c r="Q20" s="320"/>
      <c r="R20" s="120" t="s">
        <v>1489</v>
      </c>
      <c r="S20" s="325">
        <f>S19*FRw.w1R</f>
        <v>5.6784572511358903E-8</v>
      </c>
      <c r="T20" s="325">
        <f>T19*FRw.w1C</f>
        <v>2.1781779377395E-11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5.4351993869725668E-6</v>
      </c>
      <c r="AG20" s="326">
        <f>KDEG.s3R*M.s3R*Molweight</f>
        <v>7.6879689296458897E-3</v>
      </c>
      <c r="AH20" s="325"/>
      <c r="AI20" s="325"/>
      <c r="AJ20" s="325">
        <f>k.aR.s3R*M.aR*Molweight</f>
        <v>8.5117955852913665E-3</v>
      </c>
      <c r="AK20" s="325">
        <f>k.s3R.aR*M.s3R*Molweight</f>
        <v>7.4590362670846809E-6</v>
      </c>
      <c r="AL20" s="325">
        <f>(k.s3R.w1R+k.s3R.w0R)*M.s3R*Molweight</f>
        <v>8.1093241999141848E-4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2.0192859102991782E-5</v>
      </c>
      <c r="BE20" s="2"/>
      <c r="BF20" s="296">
        <f>IF(output!AK20&lt;0,"",output!AK20)</f>
        <v>7.4590362670846809E-6</v>
      </c>
      <c r="BG20" s="75"/>
      <c r="BH20" s="296">
        <f>IF(output!AK19&lt;0,"",output!AK19)</f>
        <v>1.5499007875635699E-4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3704.0320720358764</v>
      </c>
      <c r="D21" s="122">
        <f>C21/$C$51</f>
        <v>3.1685125956436457E-4</v>
      </c>
      <c r="E21" s="318">
        <f>(1-FRw.w1C)*E19</f>
        <v>21.668355564429863</v>
      </c>
      <c r="F21" s="122">
        <f>E21/$E$51</f>
        <v>1.1245292633786603E-5</v>
      </c>
      <c r="G21" s="318"/>
      <c r="H21" s="122"/>
      <c r="I21" s="318"/>
      <c r="J21" s="122"/>
      <c r="K21" s="318"/>
      <c r="L21" s="123"/>
      <c r="M21" s="320">
        <f>M20*Kp.susp1R</f>
        <v>1.1171256474360619E-2</v>
      </c>
      <c r="N21" s="320">
        <f>N20*Kp.susp1C</f>
        <v>4.2851400148190609E-6</v>
      </c>
      <c r="O21" s="320"/>
      <c r="P21" s="320"/>
      <c r="Q21" s="320"/>
      <c r="R21" s="120" t="s">
        <v>1494</v>
      </c>
      <c r="S21" s="325">
        <f>S19*(1-FRw.w1R)</f>
        <v>1.020427558805992E-10</v>
      </c>
      <c r="T21" s="325">
        <f>T19*(1-FRw.w1C)</f>
        <v>3.9142194743263685E-14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1.8969443927333051E-6</v>
      </c>
      <c r="AV21" s="75"/>
      <c r="AW21" s="75"/>
      <c r="AX21" s="288">
        <f>IF(output!AI14&lt;0,"",output!AI14)</f>
        <v>1.3013614543628678E-4</v>
      </c>
      <c r="AY21" s="75"/>
      <c r="AZ21" s="75"/>
      <c r="BA21" s="296">
        <f>IF(output!AI13&lt;0,"",output!AI13)</f>
        <v>4.1421793572090786E-8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0.11872523449413076</v>
      </c>
      <c r="AE22" s="325">
        <f>(k.aC.aM+k.aC.aR)*M.aC*Molweight</f>
        <v>1.0528936059278959E-2</v>
      </c>
      <c r="AF22" s="325">
        <f>kesc.aC*M.aC*Molweight</f>
        <v>2.292876530177139E-6</v>
      </c>
      <c r="AG22" s="326">
        <f>KDEG.aC*M.aC*Molweight</f>
        <v>5.6617563147726348E-2</v>
      </c>
      <c r="AH22" s="325">
        <f>SUM(AH23:AH25)</f>
        <v>3.1649226682457531E-2</v>
      </c>
      <c r="AI22" s="325">
        <f>SUM(AI23:AI25)</f>
        <v>2.1121454086157574E-6</v>
      </c>
      <c r="AJ22" s="325">
        <f>SUM(AJ28:AJ30)</f>
        <v>1.9941199075422366E-2</v>
      </c>
      <c r="AK22" s="325">
        <f>SUM(AK28:AK30)</f>
        <v>1.187120187597732E-5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2.298184808028669E-2</v>
      </c>
      <c r="BE22" s="2"/>
      <c r="BF22" s="296">
        <f>IF(output!AJ20&lt;0,"",output!AJ20)</f>
        <v>8.5117955852913665E-3</v>
      </c>
      <c r="BG22" s="75"/>
      <c r="BH22" s="296">
        <f>IF(output!AJ19&lt;0,"",output!AJ19)</f>
        <v>5.1070773511748178E-2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745031.73732787755</v>
      </c>
      <c r="D23" s="122">
        <f>C23/$C$51</f>
        <v>6.3731695567639884E-2</v>
      </c>
      <c r="E23" s="318">
        <f>M.sd1C*Molweight</f>
        <v>4358.3889872563177</v>
      </c>
      <c r="F23" s="122">
        <f>E23/$E$51</f>
        <v>2.2618864374750122E-3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3.0391927486231769E-3</v>
      </c>
      <c r="N23" s="320">
        <f>C.sd1C*(Molweight*1000)/(FRACw.sdC*1000+FRACs.sdC*RHOsolid)</f>
        <v>1.1657924504520418E-6</v>
      </c>
      <c r="O23" s="320"/>
      <c r="P23" s="320"/>
      <c r="Q23" s="320"/>
      <c r="R23" s="120" t="s">
        <v>1495</v>
      </c>
      <c r="S23" s="325">
        <f>F.sd1R</f>
        <v>7.7718090172446952E-8</v>
      </c>
      <c r="T23" s="325">
        <f>F.sd1C</f>
        <v>2.9811588234288521E-11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4.8234632429758217E-6</v>
      </c>
      <c r="AF23" s="330"/>
      <c r="AG23" s="326">
        <f>KDEG.w0C*M.w0C*Molweight</f>
        <v>1.7481622365578058E-4</v>
      </c>
      <c r="AH23" s="325">
        <f>k.aC.w0C*M.aC*Molweight</f>
        <v>7.2239764273299023E-5</v>
      </c>
      <c r="AI23" s="325">
        <f>k.w0C.aC*M.w0C*Molweight</f>
        <v>3.8098092266688549E-9</v>
      </c>
      <c r="AJ23" s="325"/>
      <c r="AK23" s="325"/>
      <c r="AL23" s="325">
        <f>SUM(AL28:AL30)*AREAFRAC.w0C/(AREAFRAC.w1C+AREAFRAC.w0C)</f>
        <v>1.074037324346841E-4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5.2335838628669808E-4</v>
      </c>
      <c r="AV23" s="75"/>
      <c r="AW23" s="75"/>
      <c r="AX23" s="288">
        <f>IF(output!AH14&lt;0,"",output!AH14)</f>
        <v>3.289660724722638E-3</v>
      </c>
      <c r="AY23" s="291">
        <f>output!AL14</f>
        <v>1.8195067076422888E-2</v>
      </c>
      <c r="AZ23" s="87"/>
      <c r="BA23" s="296">
        <f>IF(output!AH13&lt;0,"",output!AH13)</f>
        <v>2.9906006588387613E-4</v>
      </c>
      <c r="BB23" s="291">
        <f>output!AL13</f>
        <v>1.6540970069475352E-3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596025.38986230211</v>
      </c>
      <c r="D24" s="122">
        <f>C24/$C$51</f>
        <v>5.098535645411191E-2</v>
      </c>
      <c r="E24" s="318">
        <f>E23*FRACw.sdC</f>
        <v>3486.7111898050543</v>
      </c>
      <c r="F24" s="122">
        <f>E24/$E$51</f>
        <v>1.8095091499800099E-3</v>
      </c>
      <c r="G24" s="318"/>
      <c r="H24" s="122"/>
      <c r="I24" s="318"/>
      <c r="J24" s="122"/>
      <c r="K24" s="318"/>
      <c r="L24" s="123"/>
      <c r="M24" s="320">
        <f>M25/Kp.sd1R</f>
        <v>1.4960341326856983E-4</v>
      </c>
      <c r="N24" s="320">
        <f>N25/Kp.sd1C</f>
        <v>5.7385807408682991E-8</v>
      </c>
      <c r="O24" s="320"/>
      <c r="P24" s="320"/>
      <c r="Q24" s="320"/>
      <c r="R24" s="120" t="s">
        <v>1489</v>
      </c>
      <c r="S24" s="325">
        <f>S23*FRACw.sdR</f>
        <v>6.2174472137957569E-8</v>
      </c>
      <c r="T24" s="325">
        <f>T23*FRACw.sdC</f>
        <v>2.3849270587430819E-11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4.8234632429758217E-6</v>
      </c>
      <c r="AE24" s="325">
        <f>(k.w1C.w0C+k.w1C.w1R+k.w1C.w2C)*M.w1C*Molweight</f>
        <v>8.7751614826526536E-4</v>
      </c>
      <c r="AF24" s="330"/>
      <c r="AG24" s="326">
        <f>KDEG.w1C*M.w1C*Molweight</f>
        <v>1.0479701534835287E-3</v>
      </c>
      <c r="AH24" s="325">
        <f>k.aC.w1C*M.aC*Molweight</f>
        <v>7.9463740700628908E-4</v>
      </c>
      <c r="AI24" s="325">
        <f>k.w1C.aC*M.w1C*Molweight</f>
        <v>7.6128829779487554E-7</v>
      </c>
      <c r="AJ24" s="518"/>
      <c r="AK24" s="518"/>
      <c r="AL24" s="325">
        <f>SUM(AL28:AL30)*AREAFRAC.w1C/(AREAFRAC.w1C+AREAFRAC.w0C)</f>
        <v>1.1814410567815249E-3</v>
      </c>
      <c r="AM24" s="325">
        <f>k.w1C.sd1C*M.w1C*Molweight</f>
        <v>3.1954389998249693E-4</v>
      </c>
      <c r="AN24" s="326">
        <f>k.sd1C.w1C*M.sd1C*Molweight</f>
        <v>2.6488956299829656E-4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5.2442651814302548E-5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149006.34746557547</v>
      </c>
      <c r="D25" s="122">
        <f>C25/$C$51</f>
        <v>1.2746339113527972E-2</v>
      </c>
      <c r="E25" s="318">
        <f>E23*FRACs.sdC</f>
        <v>871.67779745126336</v>
      </c>
      <c r="F25" s="122">
        <f>E25/$E$51</f>
        <v>4.5237728749500237E-4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7.66253568519055E-3</v>
      </c>
      <c r="N25" s="320">
        <f>C.sd1C*FRACs.sdC/(FRACw.sdC/(Kp.sd1C*RHOsolid/1000)+FRACs.sdC)*(Molweight*1000)/(FRACs.sdC*RHOsolid)</f>
        <v>2.9392430793214167E-6</v>
      </c>
      <c r="O25" s="320"/>
      <c r="P25" s="320"/>
      <c r="Q25" s="320"/>
      <c r="R25" s="120" t="s">
        <v>1494</v>
      </c>
      <c r="S25" s="325">
        <f>S23*(1-FRACw.sdR)</f>
        <v>1.5543618034489386E-8</v>
      </c>
      <c r="T25" s="325">
        <f>T23*(1-FRACw.sdC)</f>
        <v>5.9623176468577031E-12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0.14317447496167515</v>
      </c>
      <c r="AE25" s="325">
        <f>(k.w2C.w2M+k.w2C.w2R)*M.w2C*Molweight</f>
        <v>4.6506914568825337E-2</v>
      </c>
      <c r="AF25" s="330"/>
      <c r="AG25" s="326">
        <f>KDEG.w2C*M.w2C*Molweight</f>
        <v>0.12737779385988965</v>
      </c>
      <c r="AH25" s="325">
        <f>k.aC.w2C*M.aC*Molweight</f>
        <v>3.0782349511177941E-2</v>
      </c>
      <c r="AI25" s="325">
        <f>k.w2C.aC*M.w2C*Molweight</f>
        <v>1.3470473015942132E-6</v>
      </c>
      <c r="AJ25" s="325"/>
      <c r="AK25" s="325"/>
      <c r="AL25" s="325"/>
      <c r="AM25" s="325">
        <f>k.w2C.sd2C*M.w2C*Molweight</f>
        <v>3.6295895940434365E-4</v>
      </c>
      <c r="AN25" s="326">
        <f>k.sd2C.w2C*M.sd2C*Molweight</f>
        <v>2.9218996256788097E-4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0.15000436683989105</v>
      </c>
      <c r="AT25" s="75"/>
      <c r="AU25" s="75"/>
      <c r="AV25" s="87"/>
      <c r="AW25" s="75"/>
      <c r="AX25" s="289">
        <f>output!AD14</f>
        <v>5.2442651814302548E-5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1.252700538429667E-5</v>
      </c>
      <c r="AG26" s="326">
        <f>KDEG.sd1C*M.sd1C*Molweight</f>
        <v>4.2127331599903682E-5</v>
      </c>
      <c r="AH26" s="325"/>
      <c r="AI26" s="325"/>
      <c r="AJ26" s="325"/>
      <c r="AK26" s="325"/>
      <c r="AL26" s="325"/>
      <c r="AM26" s="325">
        <f>k.w1C.sd1C*M.w1C*Molweight</f>
        <v>3.1954389998249693E-4</v>
      </c>
      <c r="AN26" s="326">
        <f>k.sd1C.w1C*M.sd1C*Molweight</f>
        <v>2.6488956299829656E-4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0.14147039982710907</v>
      </c>
      <c r="AT26" s="75"/>
      <c r="AU26" s="285">
        <f>output!AD15</f>
        <v>0.15002871484778665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103274.03733652309</v>
      </c>
      <c r="D27" s="122">
        <f>C27/$C$51</f>
        <v>8.8342941351447386E-3</v>
      </c>
      <c r="E27" s="318">
        <f>M.w2C*Molweight</f>
        <v>1466727.3732621421</v>
      </c>
      <c r="F27" s="122">
        <f>E27/$E$51</f>
        <v>0.76119198234838104</v>
      </c>
      <c r="G27" s="318">
        <f>M.w2M*Molweight</f>
        <v>136207.38439384283</v>
      </c>
      <c r="H27" s="122">
        <f>G27/$G$51</f>
        <v>0.25842864667704607</v>
      </c>
      <c r="I27" s="318">
        <f>M.w2A*Molweight</f>
        <v>28020.132663523666</v>
      </c>
      <c r="J27" s="122">
        <f>I27/$I$51</f>
        <v>4.9264451588208767E-2</v>
      </c>
      <c r="K27" s="318">
        <f>M.w2T*Molweight</f>
        <v>279.08579628448109</v>
      </c>
      <c r="L27" s="123">
        <f>K27/$K$51</f>
        <v>9.4834227428534035E-2</v>
      </c>
      <c r="M27" s="320">
        <f>C.w2R*Molweight</f>
        <v>1.0327403733652299E-5</v>
      </c>
      <c r="N27" s="320">
        <f>C.w2C*Molweight</f>
        <v>1.9749063169191417E-9</v>
      </c>
      <c r="O27" s="320">
        <f>C.w2M*Molweight</f>
        <v>3.5118038527670412E-11</v>
      </c>
      <c r="P27" s="320">
        <f>C.w2A*Molweight</f>
        <v>1.0988287319028888E-11</v>
      </c>
      <c r="Q27" s="320">
        <f>C.w2T*Molweight</f>
        <v>3.1270117230754184E-14</v>
      </c>
      <c r="R27" s="120" t="s">
        <v>1489</v>
      </c>
      <c r="S27" s="325">
        <f>F.w2R</f>
        <v>5.3650252830687149E-9</v>
      </c>
      <c r="T27" s="325">
        <f>F.w2C</f>
        <v>1.0259521749341185E-12</v>
      </c>
      <c r="U27" s="325">
        <f>F.w2M</f>
        <v>1.8243613734088212E-14</v>
      </c>
      <c r="V27" s="325">
        <f>F.w2A</f>
        <v>1.668518098406398E-16</v>
      </c>
      <c r="W27" s="326">
        <f>F.w2T</f>
        <v>1.0251693332696094E-16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6.1155977114414704E-6</v>
      </c>
      <c r="AG27" s="326">
        <f>KDEG.sd2C*M.sd2C*Molweight</f>
        <v>6.4653399125021193E-5</v>
      </c>
      <c r="AH27" s="325"/>
      <c r="AI27" s="325"/>
      <c r="AJ27" s="325"/>
      <c r="AK27" s="325"/>
      <c r="AL27" s="325"/>
      <c r="AM27" s="325">
        <f>k.w2C.sd2C*M.w2C*Molweight</f>
        <v>3.6295895940434365E-4</v>
      </c>
      <c r="AN27" s="326">
        <f>k.sd2C.w2C*M.sd2C*Molweight</f>
        <v>2.9218996256788097E-4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1.900672999223537E-3</v>
      </c>
      <c r="BB27" s="264">
        <f>IF(ISERROR(output!D15),0,output!D15)</f>
        <v>1.8713290305024811E-3</v>
      </c>
      <c r="BC27" s="86"/>
      <c r="BD27" s="295">
        <f>output!AG18</f>
        <v>2.0758989138593219E-2</v>
      </c>
      <c r="BE27" s="75"/>
      <c r="BF27" s="295">
        <f>output!AG19</f>
        <v>0.35105053576601719</v>
      </c>
      <c r="BG27" s="75"/>
      <c r="BH27" s="256">
        <f>output!AG20</f>
        <v>7.6879689296458897E-3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103195.48630725274</v>
      </c>
      <c r="D28" s="122">
        <f>C28/$C$51</f>
        <v>8.8275747028935189E-3</v>
      </c>
      <c r="E28" s="318">
        <f>FRw.w2C*E27</f>
        <v>1465611.7691103134</v>
      </c>
      <c r="F28" s="122">
        <f>E28/$E$51</f>
        <v>0.76061301385612612</v>
      </c>
      <c r="G28" s="318">
        <f>FRw.w2M*G27</f>
        <v>136103.78400681142</v>
      </c>
      <c r="H28" s="122">
        <f>G28/$G$51</f>
        <v>0.25823208385532465</v>
      </c>
      <c r="I28" s="318">
        <f>FRw.w2A*I27</f>
        <v>27998.820334522334</v>
      </c>
      <c r="J28" s="122">
        <f>I28/$I$51</f>
        <v>4.9226980666392431E-2</v>
      </c>
      <c r="K28" s="318">
        <f>FRw.w2T*K27</f>
        <v>278.87352147545579</v>
      </c>
      <c r="L28" s="123">
        <f>K28/$K$51</f>
        <v>9.4762095783769373E-2</v>
      </c>
      <c r="M28" s="320">
        <f>M27*FRw.w2R</f>
        <v>1.0319548630725262E-5</v>
      </c>
      <c r="N28" s="320">
        <f>N27*FRw.w2C</f>
        <v>1.973404187943579E-9</v>
      </c>
      <c r="O28" s="320">
        <f>O27*FRw.w2M</f>
        <v>3.509132747672819E-11</v>
      </c>
      <c r="P28" s="320">
        <f>P27*FRw.w2A</f>
        <v>1.0979929542949935E-11</v>
      </c>
      <c r="Q28" s="320">
        <f>Q27*FRw.w2T</f>
        <v>3.1246332938426418E-14</v>
      </c>
      <c r="R28" s="120" t="s">
        <v>1489</v>
      </c>
      <c r="S28" s="325">
        <f>S27*FRw.w2R</f>
        <v>5.3609446034621526E-9</v>
      </c>
      <c r="T28" s="325">
        <f>T27*FRw.w2C</f>
        <v>1.0251718277974937E-12</v>
      </c>
      <c r="U28" s="325">
        <f>U27*FRw.w2M</f>
        <v>1.8229737500783284E-14</v>
      </c>
      <c r="V28" s="325">
        <f>V27*FRw.w2A</f>
        <v>1.6672490106727699E-16</v>
      </c>
      <c r="W28" s="326">
        <f>W27*FRw.w2T</f>
        <v>1.0243895815683921E-16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3.5418892432366373E-6</v>
      </c>
      <c r="AG28" s="326">
        <f>KDEG.s1C*M.s1C*Molweight</f>
        <v>5.0137716605949591E-3</v>
      </c>
      <c r="AH28" s="325"/>
      <c r="AI28" s="325"/>
      <c r="AJ28" s="325">
        <f>k.aC.s1C*M.aC*Molweight</f>
        <v>5.5506430416124106E-3</v>
      </c>
      <c r="AK28" s="325">
        <f>k.s1C.aC*M.s1C*Molweight</f>
        <v>4.877038281635137E-6</v>
      </c>
      <c r="AL28" s="325">
        <f>(k.s1C.w1C+k.s1C.w0C)*M.s1C*Molweight</f>
        <v>5.2845245349257932E-4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78.551029270356196</v>
      </c>
      <c r="D29" s="122">
        <f>C29/$C$51</f>
        <v>6.7194322512196007E-6</v>
      </c>
      <c r="E29" s="318">
        <f>(1-FRw.w2C)*E27</f>
        <v>1115.6041518287952</v>
      </c>
      <c r="F29" s="122">
        <f>E29/$E$51</f>
        <v>5.7896849225494949E-4</v>
      </c>
      <c r="G29" s="318">
        <f>(1-FRw.w2M)*G27</f>
        <v>103.60038703140347</v>
      </c>
      <c r="H29" s="122">
        <f>G29/$G$51</f>
        <v>1.9656282172139021E-4</v>
      </c>
      <c r="I29" s="318">
        <f>(1-FRw.w2A)*I27</f>
        <v>21.312329001330898</v>
      </c>
      <c r="J29" s="122">
        <f>I29/$I$51</f>
        <v>3.7470921816328353E-5</v>
      </c>
      <c r="K29" s="318">
        <f>(1-FRw.w2T)*K27</f>
        <v>0.21227480902530774</v>
      </c>
      <c r="L29" s="123">
        <f>K29/$K$51</f>
        <v>7.2131644764660734E-5</v>
      </c>
      <c r="M29" s="320">
        <f>M28*Kp.susp2R</f>
        <v>1.0261265473640953E-3</v>
      </c>
      <c r="N29" s="320">
        <f>N28*Kp.susp2C</f>
        <v>1.9622587173040684E-7</v>
      </c>
      <c r="O29" s="320">
        <f>O28*Kp.susp2M</f>
        <v>3.4893137282097616E-9</v>
      </c>
      <c r="P29" s="320">
        <f>P28*Kp.susp2A</f>
        <v>1.0917916660291381E-9</v>
      </c>
      <c r="Q29" s="320">
        <f>Q28*Kp.susp2T</f>
        <v>3.106985865683461E-12</v>
      </c>
      <c r="R29" s="120" t="s">
        <v>1494</v>
      </c>
      <c r="S29" s="325">
        <f>S27*(1-FRw.w2R)</f>
        <v>4.080679606562574E-12</v>
      </c>
      <c r="T29" s="325">
        <f>T27*(1-FRw.w2C)</f>
        <v>7.8034713662477152E-16</v>
      </c>
      <c r="U29" s="325">
        <f>U27*(1-FRw.w2M)</f>
        <v>1.3876233304927959E-17</v>
      </c>
      <c r="V29" s="325">
        <f>V27*(1-FRw.w2A)</f>
        <v>1.2690877336281789E-19</v>
      </c>
      <c r="W29" s="326">
        <f>W27*(1-FRw.w2T)</f>
        <v>7.7975170121729796E-20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3.7837339327972411E-6</v>
      </c>
      <c r="AG29" s="326">
        <f>KDEG.s2C*M.s2C*Molweight</f>
        <v>1.1761252375172986E-2</v>
      </c>
      <c r="AH29" s="325"/>
      <c r="AI29" s="325"/>
      <c r="AJ29" s="325">
        <f>k.aC.s2C*M.aC*Molweight</f>
        <v>1.2334762314694247E-2</v>
      </c>
      <c r="AK29" s="325">
        <f>k.s2C.aC*M.s2C*Molweight</f>
        <v>5.1926353791877954E-6</v>
      </c>
      <c r="AL29" s="325">
        <f>(k.s2C.w1C+k.s2C.w0C)*M.s2C*Molweight</f>
        <v>5.6453357020928006E-4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1.3127252234755419E-6</v>
      </c>
      <c r="AG30" s="326">
        <f>KDEG.s3C*M.s3C*Molweight</f>
        <v>1.8568207001627272E-3</v>
      </c>
      <c r="AH30" s="325"/>
      <c r="AI30" s="325"/>
      <c r="AJ30" s="325">
        <f>k.aC.s3C*M.aC*Molweight</f>
        <v>2.0557937191157073E-3</v>
      </c>
      <c r="AK30" s="325">
        <f>k.s3C.aC*M.s3C*Molweight</f>
        <v>1.8015282151543883E-6</v>
      </c>
      <c r="AL30" s="325">
        <f>(k.s3C.w1C+k.s3C.w0C)*M.s3C*Molweight</f>
        <v>1.9585876551434967E-4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0.17663768039417643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356972.48667541437</v>
      </c>
      <c r="H31" s="122">
        <f>G31/$G$51</f>
        <v>0.67729012669181976</v>
      </c>
      <c r="I31" s="318">
        <f>M.w3A*Molweight</f>
        <v>252859.81547427789</v>
      </c>
      <c r="J31" s="122">
        <f>I31/$I$51</f>
        <v>0.44457320340429241</v>
      </c>
      <c r="K31" s="318">
        <f>M.w3T*Molweight</f>
        <v>2364.7951007703819</v>
      </c>
      <c r="L31" s="123">
        <f>K31/$K$51</f>
        <v>0.80356477969857865</v>
      </c>
      <c r="M31" s="320"/>
      <c r="N31" s="320"/>
      <c r="O31" s="320">
        <f>C.w3M*Molweight</f>
        <v>3.0679133382218705E-12</v>
      </c>
      <c r="P31" s="320">
        <f>C.w3A*Molweight</f>
        <v>3.3053570650232404E-12</v>
      </c>
      <c r="Q31" s="320">
        <f>C.w3T*Molweight</f>
        <v>8.8321012166961045E-15</v>
      </c>
      <c r="R31" s="120" t="s">
        <v>1489</v>
      </c>
      <c r="S31" s="325"/>
      <c r="T31" s="325"/>
      <c r="U31" s="325">
        <f>F.w3M</f>
        <v>1.5937628711260985E-15</v>
      </c>
      <c r="V31" s="325">
        <f>F.w3A</f>
        <v>5.0190242797310953E-17</v>
      </c>
      <c r="W31" s="326">
        <f>F.w3T</f>
        <v>2.8955437707106015E-17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0.1791421156763488</v>
      </c>
      <c r="AY31" s="75"/>
      <c r="AZ31" s="75"/>
      <c r="BA31" s="87"/>
      <c r="BB31" s="2"/>
      <c r="BC31" s="86"/>
      <c r="BD31" s="277">
        <f>IF(ISERROR(output!D39),0,output!D39)</f>
        <v>4.0864116883893714E-2</v>
      </c>
      <c r="BE31" s="75"/>
      <c r="BF31" s="277">
        <f>IF(ISERROR(output!D43),0,output!D43)</f>
        <v>0.69104377048044385</v>
      </c>
      <c r="BG31" s="75"/>
      <c r="BH31" s="273">
        <f>IF(ISERROR(output!D47),0,output!D47)</f>
        <v>1.5133784156991128E-2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356700.97064899834</v>
      </c>
      <c r="H32" s="122">
        <f>G32/$G$51</f>
        <v>0.67677497459804681</v>
      </c>
      <c r="I32" s="318">
        <f>FRw.w3A*I31</f>
        <v>252667.48834851739</v>
      </c>
      <c r="J32" s="122">
        <f>I32/$I$51</f>
        <v>0.44423505759713633</v>
      </c>
      <c r="K32" s="318">
        <f>FRw.w3T*K31</f>
        <v>2362.9964193789137</v>
      </c>
      <c r="L32" s="123">
        <f>K32/$K$51</f>
        <v>0.80295358212987078</v>
      </c>
      <c r="M32" s="320"/>
      <c r="N32" s="320"/>
      <c r="O32" s="320">
        <f>O31*FRw.w3M</f>
        <v>3.0655798596763934E-12</v>
      </c>
      <c r="P32" s="320">
        <f>P31*FRw.w3A</f>
        <v>3.3028429849479396E-12</v>
      </c>
      <c r="Q32" s="320">
        <f>Q31*FRw.w3T</f>
        <v>8.8253834523955686E-15</v>
      </c>
      <c r="R32" s="120" t="s">
        <v>1489</v>
      </c>
      <c r="S32" s="325"/>
      <c r="T32" s="325"/>
      <c r="U32" s="325">
        <f>U31*FRw.w3M</f>
        <v>1.5925506427948686E-15</v>
      </c>
      <c r="V32" s="325">
        <f>V31*FRw.w3A</f>
        <v>5.0152067711561077E-17</v>
      </c>
      <c r="W32" s="326">
        <f>W31*FRw.w3T</f>
        <v>2.8933413977875259E-17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8.6626746006956447E-3</v>
      </c>
      <c r="AE32" s="325">
        <f>(k.aM.aA+k.aM.aC+k.aM.aT)*M.aM*Molweight</f>
        <v>5.4883279401153726E-4</v>
      </c>
      <c r="AF32" s="325">
        <f>kesc.aM*M.aM*Molweight</f>
        <v>1.7264013358988967E-7</v>
      </c>
      <c r="AG32" s="326">
        <f>KDEG.aM*M.aM*Molweight</f>
        <v>4.2629699143033892E-3</v>
      </c>
      <c r="AH32" s="325">
        <f>AH33</f>
        <v>2.2503254270465302E-3</v>
      </c>
      <c r="AI32" s="325">
        <f>AI33</f>
        <v>2.5018663038497684E-7</v>
      </c>
      <c r="AJ32" s="325">
        <f>AJ36</f>
        <v>1.6020316270414915E-3</v>
      </c>
      <c r="AK32" s="325">
        <f>AK36</f>
        <v>1.4076152105075603E-6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4.526500224010542E-2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271.51602641601875</v>
      </c>
      <c r="H33" s="122">
        <f>G33/$G$51</f>
        <v>5.1515209377291809E-4</v>
      </c>
      <c r="I33" s="318">
        <f>(1-FRw.w3A)*I31</f>
        <v>192.32712576050793</v>
      </c>
      <c r="J33" s="122">
        <f>I33/$I$51</f>
        <v>3.3814580715608821E-4</v>
      </c>
      <c r="K33" s="318">
        <f>(1-FRw.w3T)*K31</f>
        <v>1.7986813914683257</v>
      </c>
      <c r="L33" s="123">
        <f>K33/$K$51</f>
        <v>6.1119756870788619E-4</v>
      </c>
      <c r="M33" s="320"/>
      <c r="N33" s="320"/>
      <c r="O33" s="320">
        <f>O32*Kp.susp3M</f>
        <v>3.0482659558507896E-10</v>
      </c>
      <c r="P33" s="320">
        <f>P32*Kp.susp3A</f>
        <v>3.2841890570093297E-10</v>
      </c>
      <c r="Q33" s="320">
        <f>Q32*Kp.susp3T</f>
        <v>8.7755391008166868E-13</v>
      </c>
      <c r="R33" s="120" t="s">
        <v>1494</v>
      </c>
      <c r="S33" s="325"/>
      <c r="T33" s="325"/>
      <c r="U33" s="325">
        <f>U31*(1-FRw.w3M)</f>
        <v>1.2122283312299514E-18</v>
      </c>
      <c r="V33" s="325">
        <f>V31*(1-FRw.w3A)</f>
        <v>3.8175085749877858E-20</v>
      </c>
      <c r="W33" s="326">
        <f>W31*(1-FRw.w3T)</f>
        <v>2.2023729230758807E-20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4.9451459838755304E-2</v>
      </c>
      <c r="AE33" s="325">
        <f>(k.w2M.w2C+k.w2M.w2A+k.w2M.w2T+k.w2M.w3M)*M.w2M*Molweight</f>
        <v>4.0025140661151336E-2</v>
      </c>
      <c r="AF33" s="330"/>
      <c r="AG33" s="326">
        <f>KDEG.w2M*M.w2M*Molweight</f>
        <v>1.1828916844257195E-2</v>
      </c>
      <c r="AH33" s="325">
        <f>k.aM.w2M*M.aM*Molweight</f>
        <v>2.2503254270465302E-3</v>
      </c>
      <c r="AI33" s="325">
        <f>k.w2M.aM*M.w2M*Molweight</f>
        <v>2.5018663038497684E-7</v>
      </c>
      <c r="AJ33" s="325"/>
      <c r="AK33" s="325"/>
      <c r="AL33" s="325">
        <f>AL36</f>
        <v>1.5252242623709706E-4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8.9688235719448048E-3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3.4426679455453461E-2</v>
      </c>
      <c r="AE34" s="325">
        <f>(k.w3M.w2M+k.w3M.w3A+k.w3M.w3T)*M.w3M*Molweight</f>
        <v>3.4243897609742375E-3</v>
      </c>
      <c r="AF34" s="330"/>
      <c r="AG34" s="326">
        <f>KDEG.w3M*M.w3M*Molweight</f>
        <v>3.1001240346570126E-2</v>
      </c>
      <c r="AH34" s="325"/>
      <c r="AI34" s="325"/>
      <c r="AJ34" s="325"/>
      <c r="AK34" s="325"/>
      <c r="AL34" s="325"/>
      <c r="AM34" s="325">
        <f>k.w3M.sdM*M.w3M*Molweight</f>
        <v>5.8891363481099807E-6</v>
      </c>
      <c r="AN34" s="326">
        <f>k.sdM.w3M*M.sdM*Molweight</f>
        <v>4.8397884390137904E-6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5.4623473869034968E-2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9419.4415125630258</v>
      </c>
      <c r="D35" s="122">
        <f>C35/$C$51</f>
        <v>8.0576027680236302E-4</v>
      </c>
      <c r="E35" s="318">
        <f>M.sd2C*Molweight</f>
        <v>6688.8799274394069</v>
      </c>
      <c r="F35" s="122">
        <f>E35/$E$51</f>
        <v>3.471348434940479E-3</v>
      </c>
      <c r="G35" s="318">
        <f>M.sdM*Molweight</f>
        <v>108.52942154527031</v>
      </c>
      <c r="H35" s="122">
        <f>G35/$G$51</f>
        <v>2.0591476489621738E-4</v>
      </c>
      <c r="I35" s="318">
        <f>M.sdA*Molweight</f>
        <v>89.324712015882511</v>
      </c>
      <c r="J35" s="122">
        <f>I35/$I$51</f>
        <v>1.5704896916729106E-4</v>
      </c>
      <c r="K35" s="318">
        <f>M.sdT*Molweight</f>
        <v>0.57038989982247845</v>
      </c>
      <c r="L35" s="123">
        <f>K35/$K$51</f>
        <v>1.9382027391879686E-4</v>
      </c>
      <c r="M35" s="320">
        <f>C.sd2R*(Molweight*1000)/(FRACw.sdR*1000+FRACs.sdR*RHOsolid)</f>
        <v>2.4152414134776966E-4</v>
      </c>
      <c r="N35" s="320">
        <f>C.sd2C*(Molweight*1000)/(FRACw.sdC*1000+FRACs.sdC*RHOsolid)</f>
        <v>4.618658907290484E-8</v>
      </c>
      <c r="O35" s="320">
        <f>C.sdM*(Molweight*1000)/(FRACw.sdM*1000+FRACs.sdM*RHOsolid)</f>
        <v>7.1748442672857535E-11</v>
      </c>
      <c r="P35" s="320">
        <f>C.sdA*(Molweight*1000)/(FRACw.sdA*1000+FRACs.sdA*RHOsolid)</f>
        <v>8.9818714948097035E-11</v>
      </c>
      <c r="Q35" s="320">
        <f>C.sdT*(Molweight*1000)/(FRACw.sdT*1000+FRACs.sdT*RHOsolid)</f>
        <v>1.6386982685412008E-13</v>
      </c>
      <c r="R35" s="120" t="s">
        <v>1495</v>
      </c>
      <c r="S35" s="325">
        <f>F.sd2R</f>
        <v>6.2182633009578166E-9</v>
      </c>
      <c r="T35" s="325">
        <f>F.sd2C</f>
        <v>1.1891166250537447E-12</v>
      </c>
      <c r="U35" s="325">
        <f>F.sdM</f>
        <v>1.8472302830013801E-15</v>
      </c>
      <c r="V35" s="325">
        <f>F.sdA</f>
        <v>6.7592062002818446E-17</v>
      </c>
      <c r="W35" s="326">
        <f>F.sdT</f>
        <v>2.6625209572811618E-17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3.2384466509871546E-10</v>
      </c>
      <c r="AG35" s="326">
        <f>KDEG.sdM*M.sdM*Molweight</f>
        <v>1.049024064431092E-6</v>
      </c>
      <c r="AH35" s="325"/>
      <c r="AI35" s="325"/>
      <c r="AJ35" s="325"/>
      <c r="AK35" s="325"/>
      <c r="AL35" s="325"/>
      <c r="AM35" s="325">
        <f>k.w3M.sdM*M.w3M*Molweight</f>
        <v>5.8891363481099807E-6</v>
      </c>
      <c r="AN35" s="326">
        <f>k.sdM.w3M*M.sdM*Molweight</f>
        <v>4.8397884390137904E-6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7.2013303866716128E-3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7535.5532100504206</v>
      </c>
      <c r="D36" s="122">
        <f>C36/$C$51</f>
        <v>6.446082214418904E-4</v>
      </c>
      <c r="E36" s="318">
        <f>E35*FRACw.sdC</f>
        <v>5351.1039419515255</v>
      </c>
      <c r="F36" s="122">
        <f>E36/$E$51</f>
        <v>2.7770787479523833E-3</v>
      </c>
      <c r="G36" s="318">
        <f>G35*FRACw.sdM</f>
        <v>86.823537236216254</v>
      </c>
      <c r="H36" s="122">
        <f>G36/$G$51</f>
        <v>1.6473181191697391E-4</v>
      </c>
      <c r="I36" s="318">
        <f>I35*FRACw.sdA</f>
        <v>71.459769612706012</v>
      </c>
      <c r="J36" s="122">
        <f>I36/$I$51</f>
        <v>1.2563917533383286E-4</v>
      </c>
      <c r="K36" s="318">
        <f>K35*FRACw.sdT</f>
        <v>0.45631191985798281</v>
      </c>
      <c r="L36" s="123">
        <f>K36/$K$51</f>
        <v>1.550562191350375E-4</v>
      </c>
      <c r="M36" s="320">
        <f>M37/Kp.sd2R</f>
        <v>1.1969843988211884E-5</v>
      </c>
      <c r="N36" s="320">
        <f>N37/Kp.sd2C</f>
        <v>2.2889896739319385E-9</v>
      </c>
      <c r="O36" s="320">
        <f>O37/Kp.sdM</f>
        <v>3.5558253531048095E-12</v>
      </c>
      <c r="P36" s="320">
        <f>P37/Kp.sdA</f>
        <v>4.4513811296500619E-12</v>
      </c>
      <c r="Q36" s="320">
        <f>Q37/Kp.sdT</f>
        <v>8.1213258884740674E-15</v>
      </c>
      <c r="R36" s="120" t="s">
        <v>1489</v>
      </c>
      <c r="S36" s="325">
        <f>S35*FRACw.sdR</f>
        <v>4.9746106407662538E-9</v>
      </c>
      <c r="T36" s="325">
        <f>T35*FRACw.sdC</f>
        <v>9.5129330004299579E-13</v>
      </c>
      <c r="U36" s="325">
        <f>U35*FRACw.sdM</f>
        <v>1.4777842264011041E-15</v>
      </c>
      <c r="V36" s="325">
        <f>V35*FRACw.sdA</f>
        <v>5.4073649602254759E-17</v>
      </c>
      <c r="W36" s="326">
        <f>W35*FRACw.sdT</f>
        <v>2.1300167658249297E-17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1.0222632845607811E-6</v>
      </c>
      <c r="AG36" s="326">
        <f>KDEG.sM*M.sM*Molweight</f>
        <v>1.4470793223093259E-3</v>
      </c>
      <c r="AH36" s="325"/>
      <c r="AI36" s="325"/>
      <c r="AJ36" s="325">
        <f>k.aM.sM*M.aM*Molweight</f>
        <v>1.6020316270414915E-3</v>
      </c>
      <c r="AK36" s="325">
        <f>k.sM.aM*M.sM*Molweight</f>
        <v>1.4076152105075603E-6</v>
      </c>
      <c r="AL36" s="325">
        <f>k.sM.w2M*M.sM*Molweight</f>
        <v>1.5252242623709706E-4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1883.8883025126047</v>
      </c>
      <c r="D37" s="122">
        <f>C37/$C$51</f>
        <v>1.6115205536047257E-4</v>
      </c>
      <c r="E37" s="318">
        <f>E35*FRACs.sdC</f>
        <v>1337.7759854878811</v>
      </c>
      <c r="F37" s="122">
        <f>E37/$E$51</f>
        <v>6.9426968698809571E-4</v>
      </c>
      <c r="G37" s="318">
        <f>G35*FRACs.sdM</f>
        <v>21.705884309054056</v>
      </c>
      <c r="H37" s="122">
        <f>G37/$G$51</f>
        <v>4.1182952979243464E-5</v>
      </c>
      <c r="I37" s="318">
        <f>I35*FRACs.sdA</f>
        <v>17.864942403176499</v>
      </c>
      <c r="J37" s="122">
        <f>I37/$I$51</f>
        <v>3.1409793833458207E-5</v>
      </c>
      <c r="K37" s="318">
        <f>K35*FRACs.sdT</f>
        <v>0.11407797996449566</v>
      </c>
      <c r="L37" s="123">
        <f>K37/$K$51</f>
        <v>3.876405478375936E-5</v>
      </c>
      <c r="M37" s="320">
        <f>C.sd2R*FRACs.sdR/(FRACw.sdR/(Kp.sd2R*RHOsolid/1000)+FRACs.sdR)*(Molweight*1000)/(FRACs.sdR*RHOsolid)</f>
        <v>6.088110171230622E-4</v>
      </c>
      <c r="N37" s="320">
        <f>C.sd2C*FRACs.sdC/(FRACw.sdC/(Kp.sd2C*RHOsolid/1000)+FRACs.sdC)*(Molweight*1000)/(FRACs.sdC*RHOsolid)</f>
        <v>1.1642274811126151E-7</v>
      </c>
      <c r="O37" s="320">
        <f>C.sdM*FRACs.sdM/(FRACw.sdM/(Kp.sdM*RHOsolid/1000)+FRACs.sdM)*(Molweight*1000)/(FRACs.sdM*RHOsolid)</f>
        <v>1.8085663038446198E-10</v>
      </c>
      <c r="P37" s="320">
        <f>C.sdA*FRACs.sdA/(FRACw.sdA/(Kp.sdA*RHOsolid/1000)+FRACs.sdA)*(Molweight*1000)/(FRACs.sdA*RHOsolid)</f>
        <v>2.2640644905761223E-10</v>
      </c>
      <c r="Q37" s="320">
        <f>C.sdT*FRACs.sdT/(FRACw.sdT/(Kp.sdT*RHOsolid/1000)+FRACs.sdT)*(Molweight*1000)/(FRACs.sdT*RHOsolid)</f>
        <v>4.1306742839915383E-13</v>
      </c>
      <c r="R37" s="120" t="s">
        <v>1494</v>
      </c>
      <c r="S37" s="325">
        <f>S35*(1-FRACw.sdR)</f>
        <v>1.243652660191563E-9</v>
      </c>
      <c r="T37" s="325">
        <f>T35*(1-FRACw.sdC)</f>
        <v>2.378233250107489E-13</v>
      </c>
      <c r="U37" s="325">
        <f>U35*(1-FRACw.sdM)</f>
        <v>3.6944605660027592E-16</v>
      </c>
      <c r="V37" s="325">
        <f>V35*(1-FRACw.sdA)</f>
        <v>1.3518412400563687E-17</v>
      </c>
      <c r="W37" s="326">
        <f>W35*(1-FRACw.sdT)</f>
        <v>5.3250419145623227E-18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8.8342941351447386E-3</v>
      </c>
      <c r="AW37" s="75"/>
      <c r="AX37" s="75"/>
      <c r="AY37" s="300">
        <f>IF(ISERROR(output!D23),0,output!D23)</f>
        <v>6.3731695567639884E-2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1.7876532279215667E-4</v>
      </c>
      <c r="AE38" s="325">
        <f>k.aA.aM*M.aA*Molweight</f>
        <v>7.4334396557645838E-6</v>
      </c>
      <c r="AF38" s="325">
        <f>kesc.aA*M.aA*Molweight</f>
        <v>3.9331167516191882E-9</v>
      </c>
      <c r="AG38" s="326">
        <f>KDEG.aA*M.aA*Molweight</f>
        <v>8.0245611991513227E-5</v>
      </c>
      <c r="AH38" s="325">
        <f>AH39</f>
        <v>6.188550800308046E-5</v>
      </c>
      <c r="AI38" s="325">
        <f>AI39</f>
        <v>1.6302701999343871E-9</v>
      </c>
      <c r="AJ38" s="325">
        <f>AJ42</f>
        <v>2.9583906038488943E-5</v>
      </c>
      <c r="AK38" s="325">
        <f>AK42</f>
        <v>3.8544574324219696E-7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477706.79447975394</v>
      </c>
      <c r="D39" s="122">
        <f>C39/$C$51</f>
        <v>4.0864116883893714E-2</v>
      </c>
      <c r="E39" s="318">
        <f>M.s1C*Molweight</f>
        <v>115377.13962109433</v>
      </c>
      <c r="F39" s="122">
        <f>E39/$E$51</f>
        <v>5.9877626358426382E-2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9.1066679225521759E-5</v>
      </c>
      <c r="N39" s="320">
        <f>C.s1C*(Molweight*1000)/(FRACw.s1C*1000+(1-FRACa.s1C-FRACw.s1C)*RHOsolid)</f>
        <v>1.4422137404888693E-6</v>
      </c>
      <c r="O39" s="320"/>
      <c r="P39" s="320"/>
      <c r="Q39" s="320"/>
      <c r="R39" s="120" t="s">
        <v>1495</v>
      </c>
      <c r="S39" s="325">
        <f>F.s1R</f>
        <v>2.598101493358071E-9</v>
      </c>
      <c r="T39" s="325">
        <f>F.s1C</f>
        <v>4.1145869211134544E-11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7.5372173599076815E-3</v>
      </c>
      <c r="AE39" s="325">
        <f>(k.w2A.w2M+k.w2A.w3A)*M.w2A*Molweight</f>
        <v>7.5447356617271578E-3</v>
      </c>
      <c r="AF39" s="330"/>
      <c r="AG39" s="326">
        <f>KDEG.w2A*M.w2A*Molweight</f>
        <v>5.2960066561070162E-4</v>
      </c>
      <c r="AH39" s="325">
        <f>k.aA.w2A*M.aA*Molweight</f>
        <v>6.188550800308046E-5</v>
      </c>
      <c r="AI39" s="325">
        <f>k.w2A.aA*M.w2A*Molweight</f>
        <v>1.6302701999343871E-9</v>
      </c>
      <c r="AJ39" s="325"/>
      <c r="AK39" s="325"/>
      <c r="AL39" s="325">
        <f>AL42</f>
        <v>4.7523508969729762E-4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3086.4446101421008</v>
      </c>
      <c r="D40" s="122">
        <f>C40/$C$51</f>
        <v>2.6402143482565847E-4</v>
      </c>
      <c r="E40" s="318">
        <f>E39*FRw.s1C</f>
        <v>745.44711281520529</v>
      </c>
      <c r="F40" s="122">
        <f>E40/$E$51</f>
        <v>3.868669637477811E-4</v>
      </c>
      <c r="G40" s="318"/>
      <c r="H40" s="122"/>
      <c r="I40" s="318"/>
      <c r="J40" s="122"/>
      <c r="K40" s="318"/>
      <c r="L40" s="123"/>
      <c r="M40" s="320">
        <f>M41/Kp.s1R</f>
        <v>5.0012146536551725E-6</v>
      </c>
      <c r="N40" s="320">
        <f>N41/Kp.s1C</f>
        <v>7.9203728015310708E-8</v>
      </c>
      <c r="O40" s="320"/>
      <c r="P40" s="320"/>
      <c r="Q40" s="320"/>
      <c r="R40" s="120" t="s">
        <v>1489</v>
      </c>
      <c r="S40" s="325">
        <f>S39*FRACw.s1R</f>
        <v>5.1962029867161422E-10</v>
      </c>
      <c r="T40" s="325">
        <f>T39*FRACw.s1C</f>
        <v>8.2291738422269094E-12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7.5447356617271578E-3</v>
      </c>
      <c r="AE40" s="325">
        <f>(k.w3A.w2A+k.w3A.w3M)*M.w3A*Molweight</f>
        <v>2.7653151405106044E-3</v>
      </c>
      <c r="AF40" s="330"/>
      <c r="AG40" s="326">
        <f>KDEG.w3A*M.w3A*Molweight</f>
        <v>4.7792324251093084E-3</v>
      </c>
      <c r="AH40" s="325"/>
      <c r="AI40" s="325"/>
      <c r="AJ40" s="325"/>
      <c r="AK40" s="325"/>
      <c r="AL40" s="325"/>
      <c r="AM40" s="325">
        <f>k.w3A.sdA*M.w3A*Molweight</f>
        <v>4.1715425862497213E-6</v>
      </c>
      <c r="AN40" s="326">
        <f>k.sdA.w3A*M.sdA*Molweight</f>
        <v>3.9834464790052037E-6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4.001746414350283E-4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474620.34971789143</v>
      </c>
      <c r="D41" s="122">
        <f>C41/$C$51</f>
        <v>4.0600095436089549E-2</v>
      </c>
      <c r="E41" s="318">
        <f>E39*FRs.s1C</f>
        <v>114631.69247163518</v>
      </c>
      <c r="F41" s="122">
        <f>E41/$E$51</f>
        <v>5.9490759375661374E-2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1.0254207446899133E-4</v>
      </c>
      <c r="N41" s="320">
        <f>C.s1C*FRs.s1C*(Molweight*1000)/(FRACs.s1C*RHOsolid)</f>
        <v>1.6239484082995546E-6</v>
      </c>
      <c r="O41" s="320"/>
      <c r="P41" s="320"/>
      <c r="Q41" s="320"/>
      <c r="R41" s="120" t="s">
        <v>1494</v>
      </c>
      <c r="S41" s="325">
        <f>S39*(1-FRACw.s1R)</f>
        <v>2.0784811946864569E-9</v>
      </c>
      <c r="T41" s="325">
        <f>T39*(1-FRACw.s1C)</f>
        <v>3.2916695368907638E-11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1.8883120246888538E-10</v>
      </c>
      <c r="AG41" s="326">
        <f>KDEG.sdA*M.sdA*Molweight</f>
        <v>1.8790727604204887E-7</v>
      </c>
      <c r="AH41" s="325"/>
      <c r="AI41" s="325"/>
      <c r="AJ41" s="325"/>
      <c r="AK41" s="325"/>
      <c r="AL41" s="325"/>
      <c r="AM41" s="325">
        <f>k.w3A.sdA*M.w3A*Molweight</f>
        <v>4.1715425862497213E-6</v>
      </c>
      <c r="AN41" s="326">
        <f>k.sdA.w3A*M.sdA*Molweight</f>
        <v>3.9834464790052037E-6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3.1709791983764585E-3</v>
      </c>
      <c r="AD42" s="330"/>
      <c r="AE42" s="330"/>
      <c r="AF42" s="325">
        <f>(FRACinf.sA*RAINrate.A/Kslw.A*SYSTEMAREA.A*AREAFRAC.sA*CORRleach.sA)*C.sA*Molweight</f>
        <v>3.1552412583093413E-6</v>
      </c>
      <c r="AG42" s="326">
        <f>KDEG.sA*M.sA*Molweight</f>
        <v>2.7217873277160997E-3</v>
      </c>
      <c r="AH42" s="325"/>
      <c r="AI42" s="325"/>
      <c r="AJ42" s="325">
        <f>k.aA.sA*M.aA*Molweight</f>
        <v>2.9583906038488943E-5</v>
      </c>
      <c r="AK42" s="325">
        <f>k.sA.aA*M.sA*Molweight</f>
        <v>3.8544574324219696E-7</v>
      </c>
      <c r="AL42" s="325">
        <f>k.sA.w2A*M.sA*Molweight</f>
        <v>4.7523508969729762E-4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5.1112753206182038E-4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8078390.7646742389</v>
      </c>
      <c r="D43" s="122">
        <f>C43/$C$51</f>
        <v>0.69104377048044385</v>
      </c>
      <c r="E43" s="318">
        <f>M.s2C*Molweight</f>
        <v>270650.47019876348</v>
      </c>
      <c r="F43" s="122">
        <f>E43/$E$51</f>
        <v>0.14046030072781468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1.7325088475650909E-4</v>
      </c>
      <c r="N43" s="320">
        <f>C.s2C*(Molweight*1000)/(FRACw.s2C*1000+(1-FRACa.s2C-FRACw.s2C)*RHOsolid)</f>
        <v>3.8060209050627939E-7</v>
      </c>
      <c r="O43" s="320"/>
      <c r="P43" s="320"/>
      <c r="Q43" s="320"/>
      <c r="R43" s="120" t="s">
        <v>1495</v>
      </c>
      <c r="S43" s="325">
        <f>F.s2R</f>
        <v>4.9465853773323575E-9</v>
      </c>
      <c r="T43" s="325">
        <f>F.s2C</f>
        <v>1.0866788577307716E-11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8.0576027680236302E-4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52234.249818374454</v>
      </c>
      <c r="D44" s="122">
        <f>C44/$C$51</f>
        <v>4.4682355674784567E-3</v>
      </c>
      <c r="E44" s="318">
        <f>E43*FRw.s2C</f>
        <v>1750.0050054081291</v>
      </c>
      <c r="F44" s="122">
        <f>E44/$E$51</f>
        <v>9.0820543985860704E-4</v>
      </c>
      <c r="G44" s="318"/>
      <c r="H44" s="122"/>
      <c r="I44" s="318"/>
      <c r="J44" s="122"/>
      <c r="K44" s="318"/>
      <c r="L44" s="123"/>
      <c r="M44" s="320">
        <f>M45/Kp.s2R</f>
        <v>9.5219279685243126E-6</v>
      </c>
      <c r="N44" s="320">
        <f>N45/Kp.s2C</f>
        <v>2.0918021258961595E-8</v>
      </c>
      <c r="O44" s="320"/>
      <c r="P44" s="320"/>
      <c r="Q44" s="320"/>
      <c r="R44" s="120" t="s">
        <v>1489</v>
      </c>
      <c r="S44" s="325">
        <f>S43*FRACw.s2R</f>
        <v>9.893170754664715E-10</v>
      </c>
      <c r="T44" s="325">
        <f>T43*FRACw.s2C</f>
        <v>2.1733577154615435E-12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3.0963062170746597E-4</v>
      </c>
      <c r="AE44" s="325">
        <f>k.aT.aM*M.aT*Molweight</f>
        <v>6.4807690502343876E-6</v>
      </c>
      <c r="AF44" s="325">
        <f>kesc.aT*M.aT*Molweight</f>
        <v>5.9392853413125979E-9</v>
      </c>
      <c r="AG44" s="326">
        <f>KDEG.aT*M.aT*Molweight</f>
        <v>1.6305344385502543E-4</v>
      </c>
      <c r="AH44" s="325">
        <f>AH45</f>
        <v>1.0748563894398408E-4</v>
      </c>
      <c r="AI44" s="325">
        <f>AI45</f>
        <v>3.0933510231657408E-9</v>
      </c>
      <c r="AJ44" s="325">
        <f>AJ48</f>
        <v>3.2679883908042784E-5</v>
      </c>
      <c r="AK44" s="325">
        <f>AK48</f>
        <v>7.1959984138883041E-8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9.1046470896908986E-5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8026156.5122967688</v>
      </c>
      <c r="D45" s="122">
        <f>C45/$C$51</f>
        <v>0.68657553469405452</v>
      </c>
      <c r="E45" s="318">
        <f>E43*FRs.s2C</f>
        <v>268900.4651076179</v>
      </c>
      <c r="F45" s="122">
        <f>E45/$E$51</f>
        <v>0.13955209524346066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1.9508141226603977E-4</v>
      </c>
      <c r="N45" s="320">
        <f>C.s2C*FRs.s2C*(Molweight*1000)/(FRACs.s2C*RHOsolid)</f>
        <v>4.2855996626927771E-7</v>
      </c>
      <c r="O45" s="320"/>
      <c r="P45" s="320"/>
      <c r="Q45" s="320"/>
      <c r="R45" s="120" t="s">
        <v>1494</v>
      </c>
      <c r="S45" s="325">
        <f>S43*(1-FRACw.s2R)</f>
        <v>3.957268301865886E-9</v>
      </c>
      <c r="T45" s="325">
        <f>T43*(1-FRACw.s2C)</f>
        <v>8.693430861846174E-12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1.7912884071185546E-5</v>
      </c>
      <c r="AE45" s="325">
        <f>(k.w2T.w2M+k.w2T.w3T)*M.w2T*Molweight</f>
        <v>6.8111211155017718E-5</v>
      </c>
      <c r="AF45" s="330"/>
      <c r="AG45" s="326">
        <f>KDEG.w2T*M.w2T*Molweight</f>
        <v>5.9678933595747544E-5</v>
      </c>
      <c r="AH45" s="325">
        <f>k.aT.w2T*M.aT*Molweight</f>
        <v>1.0748563894398408E-4</v>
      </c>
      <c r="AI45" s="325">
        <f>k.w2T.aT*M.w2T*Molweight</f>
        <v>3.0933510231657408E-9</v>
      </c>
      <c r="AJ45" s="325"/>
      <c r="AK45" s="325"/>
      <c r="AL45" s="325">
        <f>AL48</f>
        <v>2.3947150866187948E-6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5.2360769430368512E-4</v>
      </c>
      <c r="AE46" s="325">
        <f>(k.w3T.w2T+k.w3T.w3M)*M.w3T*Molweight</f>
        <v>1.7912884071185546E-5</v>
      </c>
      <c r="AF46" s="330"/>
      <c r="AG46" s="326">
        <f>KDEG.w3T*M.w3T*Molweight</f>
        <v>5.0568123374708745E-4</v>
      </c>
      <c r="AH46" s="325"/>
      <c r="AI46" s="325"/>
      <c r="AJ46" s="325"/>
      <c r="AK46" s="325"/>
      <c r="AL46" s="325"/>
      <c r="AM46" s="325">
        <f>k.w3T.sdT*M.w3T*Molweight</f>
        <v>3.9013092895426278E-8</v>
      </c>
      <c r="AN46" s="326">
        <f>k.sdT.w3T*M.sdT*Molweight</f>
        <v>2.5436607483313081E-8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176915.88780752959</v>
      </c>
      <c r="D47" s="122">
        <f>C47/$C$51</f>
        <v>1.5133784156991128E-2</v>
      </c>
      <c r="E47" s="318">
        <f>M.s3C*Molweight</f>
        <v>42729.241711935276</v>
      </c>
      <c r="F47" s="122">
        <f>E47/$E$51</f>
        <v>2.2175325009863339E-2</v>
      </c>
      <c r="G47" s="318">
        <f>M.sM*Molweight</f>
        <v>33300.254641646243</v>
      </c>
      <c r="H47" s="122">
        <f>G47/$G$51</f>
        <v>6.318115408602383E-2</v>
      </c>
      <c r="I47" s="318">
        <f>M.sA*Molweight</f>
        <v>287789.79833654815</v>
      </c>
      <c r="J47" s="122">
        <f>I47/$I$51</f>
        <v>0.50598641905031982</v>
      </c>
      <c r="K47" s="318">
        <f>M.sT*Molweight</f>
        <v>282.21606867324226</v>
      </c>
      <c r="L47" s="123">
        <f>K47/$K$51</f>
        <v>9.589790378749298E-2</v>
      </c>
      <c r="M47" s="320">
        <f>C.s3R*(Molweight*1000)/(FRACw.s3R*1000+(1-FRACa.s3R-FRACw.s3R)*RHOsolid)</f>
        <v>9.1060217262586339E-5</v>
      </c>
      <c r="N47" s="320">
        <f>C.s3C*(Molweight*1000)/(FRACw.s3C*1000+(1-FRACa.s3C-FRACw.s3C)*RHOsolid)</f>
        <v>1.4421114030388243E-6</v>
      </c>
      <c r="O47" s="320">
        <f>C.sM*(Molweight*1000)/(FRACw.sM*1000+(1-FRACa.sM-FRACw.sM)*RHOsolid)</f>
        <v>1.0100857088068695E-8</v>
      </c>
      <c r="P47" s="320">
        <f>C.sA*(Molweight*1000)/(FRACw.sA*1000+(1-FRACa.sA-FRACw.sA)*RHOsolid)</f>
        <v>1.9916249019830314E-7</v>
      </c>
      <c r="Q47" s="320">
        <f>C.sT*(Molweight*1000)/(FRACw.sT*1000+(1-FRACa.sT-FRACw.sT)*RHOsolid)</f>
        <v>8.6802327927179439E-11</v>
      </c>
      <c r="R47" s="120" t="s">
        <v>1495</v>
      </c>
      <c r="S47" s="325">
        <f>F.s3R</f>
        <v>2.5999124899181452E-9</v>
      </c>
      <c r="T47" s="325">
        <f>F.s3C</f>
        <v>4.1174549779539243E-11</v>
      </c>
      <c r="U47" s="325">
        <f>F.sM</f>
        <v>2.8817402927055485E-13</v>
      </c>
      <c r="V47" s="325">
        <f>F.sA</f>
        <v>1.6608272343199041E-13</v>
      </c>
      <c r="W47" s="326">
        <f>F.sT</f>
        <v>1.5628362047970039E-14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1.2057963382007471E-12</v>
      </c>
      <c r="AG47" s="326">
        <f>KDEG.sdT*M.sdT*Molweight</f>
        <v>1.3575279615774987E-8</v>
      </c>
      <c r="AH47" s="325"/>
      <c r="AI47" s="325"/>
      <c r="AJ47" s="325"/>
      <c r="AK47" s="325"/>
      <c r="AL47" s="325"/>
      <c r="AM47" s="325">
        <f>k.w3T.sdT*M.w3T*Molweight</f>
        <v>3.9013092895426278E-8</v>
      </c>
      <c r="AN47" s="326">
        <f>k.sdT.w3T*M.sdT*Molweight</f>
        <v>2.5436607483313081E-8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1.990641972988319E-5</v>
      </c>
      <c r="AW47" s="75"/>
      <c r="AX47" s="290">
        <f>output!AF16</f>
        <v>2.1571412422579364E-3</v>
      </c>
      <c r="AY47" s="75"/>
      <c r="AZ47" s="75"/>
      <c r="BA47" s="75"/>
      <c r="BB47" s="75"/>
      <c r="BC47" s="2"/>
      <c r="BD47" s="295">
        <f>output!AF18</f>
        <v>1.4664816291558948E-5</v>
      </c>
      <c r="BE47" s="75"/>
      <c r="BF47" s="295">
        <f>output!AF20</f>
        <v>5.4351993869725668E-6</v>
      </c>
      <c r="BG47" s="75"/>
      <c r="BH47" s="299">
        <f>output!AF19</f>
        <v>1.129371075403859E-4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1143.9244460651755</v>
      </c>
      <c r="D48" s="122">
        <f>C48/$C$51</f>
        <v>9.7853877756247528E-5</v>
      </c>
      <c r="E48" s="318">
        <f>E47*FRw.s3C</f>
        <v>276.28397178939088</v>
      </c>
      <c r="F48" s="122">
        <f>E48/$E$51</f>
        <v>1.4338393624556951E-4</v>
      </c>
      <c r="G48" s="318">
        <f>G47*FRw.sM</f>
        <v>215.15162154434142</v>
      </c>
      <c r="H48" s="122">
        <f>G48/$G$51</f>
        <v>4.0821092507954779E-4</v>
      </c>
      <c r="I48" s="318">
        <f>I47*FRw.sA</f>
        <v>1859.3984478915331</v>
      </c>
      <c r="J48" s="122">
        <f>I48/$I$51</f>
        <v>3.2691581413741792E-3</v>
      </c>
      <c r="K48" s="318">
        <f>K47*FRw.sT</f>
        <v>1.8233867986064189</v>
      </c>
      <c r="L48" s="123">
        <f>K48/$K$51</f>
        <v>6.1959254340900006E-4</v>
      </c>
      <c r="M48" s="320">
        <f>M49/Kp.s3R</f>
        <v>5.0047007309147105E-6</v>
      </c>
      <c r="N48" s="320">
        <f>N49/Kp.s3C</f>
        <v>7.9258936666453677E-8</v>
      </c>
      <c r="O48" s="320">
        <f>O49/Kp.sM</f>
        <v>5.5472050713768027E-10</v>
      </c>
      <c r="P48" s="320">
        <f>P49/Kp.sA</f>
        <v>1.0937637928773723E-8</v>
      </c>
      <c r="Q48" s="320">
        <f>Q49/Kp.sT</f>
        <v>4.7670243100821374E-12</v>
      </c>
      <c r="R48" s="120" t="s">
        <v>1489</v>
      </c>
      <c r="S48" s="325">
        <f>S47*FRACw.s3R</f>
        <v>5.1998249798362904E-10</v>
      </c>
      <c r="T48" s="325">
        <f>T47*FRACw.s3C</f>
        <v>8.2349099559078492E-12</v>
      </c>
      <c r="U48" s="325">
        <f>U47*FRACw.sM</f>
        <v>5.7634805854110976E-14</v>
      </c>
      <c r="V48" s="325">
        <f>V47*FRACw.sA</f>
        <v>3.3216544686398085E-14</v>
      </c>
      <c r="W48" s="326">
        <f>W47*FRACw.sT</f>
        <v>3.1256724095940077E-15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1.6089489248195225E-8</v>
      </c>
      <c r="AG48" s="326">
        <f>KDEG.sT*M.sT*Molweight</f>
        <v>3.0197119348036925E-5</v>
      </c>
      <c r="AH48" s="325"/>
      <c r="AI48" s="325"/>
      <c r="AJ48" s="325">
        <f>k.aT.sT*M.aT*Molweight</f>
        <v>3.2679883908042784E-5</v>
      </c>
      <c r="AK48" s="325">
        <f>k.sT.aT*M.sT*Molweight</f>
        <v>7.1959984138883041E-8</v>
      </c>
      <c r="AL48" s="333">
        <f>k.sT.w2T*M.sT*Molweight</f>
        <v>2.3947150866187948E-6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175771.9633054205</v>
      </c>
      <c r="D49" s="122">
        <f>C49/$C$51</f>
        <v>1.5035930274440756E-2</v>
      </c>
      <c r="E49" s="318">
        <f>E47*FRs.s3C</f>
        <v>42452.957726609995</v>
      </c>
      <c r="F49" s="122">
        <f>E49/$E$51</f>
        <v>2.2031941066593008E-2</v>
      </c>
      <c r="G49" s="318">
        <f>G47*FRs.sM</f>
        <v>33085.103009525687</v>
      </c>
      <c r="H49" s="122">
        <f>G49/$G$51</f>
        <v>6.2772943140877835E-2</v>
      </c>
      <c r="I49" s="318">
        <f>I47*FRs.sA</f>
        <v>285930.39988576149</v>
      </c>
      <c r="J49" s="122">
        <f>I49/$I$51</f>
        <v>0.50271726090385549</v>
      </c>
      <c r="K49" s="318">
        <f>K47*FRs.sT</f>
        <v>280.39268133365948</v>
      </c>
      <c r="L49" s="123">
        <f>K49/$K$51</f>
        <v>9.5278311060258525E-2</v>
      </c>
      <c r="M49" s="320">
        <f>C.s3R*FRs.s3R*(Molweight*1000)/(FRACs.s3R*RHOsolid)</f>
        <v>1.0253428610078341E-4</v>
      </c>
      <c r="N49" s="320">
        <f>C.s3C*FRs.s3C*(Molweight*1000)/(FRACs.s3C*RHOsolid)</f>
        <v>1.6238250647040596E-6</v>
      </c>
      <c r="O49" s="320">
        <f>C.sM*FRs.sM*(Molweight*1000)/(FRACs.sM*RHOsolid)</f>
        <v>1.1373675295223711E-8</v>
      </c>
      <c r="P49" s="320">
        <f>C.sA*FRs.sA*(Molweight*1000)/(FRACs.sA*RHOsolid)</f>
        <v>2.2425913716530308E-7</v>
      </c>
      <c r="Q49" s="320">
        <f>C.sT*FRs.sT*(Molweight*1000)/(FRACs.sT*RHOsolid)</f>
        <v>9.7740368220883431E-11</v>
      </c>
      <c r="R49" s="120" t="s">
        <v>1494</v>
      </c>
      <c r="S49" s="325">
        <f>S47*(1-FRACw.s3R)</f>
        <v>2.0799299919345162E-9</v>
      </c>
      <c r="T49" s="325">
        <f>T47*(1-FRACw.s3C)</f>
        <v>3.2939639823631397E-11</v>
      </c>
      <c r="U49" s="325">
        <f>U47*(1-FRACw.sM)</f>
        <v>2.305392234164439E-13</v>
      </c>
      <c r="V49" s="325">
        <f>V47*(1-FRACw.sA)</f>
        <v>1.3286617874559234E-13</v>
      </c>
      <c r="W49" s="326">
        <f>W47*(1-FRACw.sT)</f>
        <v>1.2502689638376031E-14</v>
      </c>
      <c r="X49" s="29"/>
      <c r="Y49" s="437"/>
      <c r="Z49" s="29"/>
      <c r="AA49" s="124"/>
      <c r="AB49" s="125"/>
      <c r="AC49" s="334">
        <f>SUM(AC11:AC48)</f>
        <v>0.9544647387113141</v>
      </c>
      <c r="AD49" s="335"/>
      <c r="AE49" s="335"/>
      <c r="AF49" s="335">
        <f>SUM(AF11:AF48)</f>
        <v>2.3486498120208867E-3</v>
      </c>
      <c r="AG49" s="336">
        <f>SUM(AG11:AG48)</f>
        <v>0.95211608889929311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11690128.917677369</v>
      </c>
      <c r="D51" s="130">
        <f>C51/SUM($C$51,$E$51,$G$51,$I$51,$K$51)</f>
        <v>0.79439389921797332</v>
      </c>
      <c r="E51" s="317">
        <f>SUM(E11,E15,E19,E23,E27,E31,E35,E39,E43,E47)</f>
        <v>1926882.3204588785</v>
      </c>
      <c r="F51" s="130">
        <f>E51/SUM($C$51,$E$51,$G$51,$I$51,$K$51)</f>
        <v>0.13093983570778533</v>
      </c>
      <c r="G51" s="317">
        <f>SUM(G11,G15,G19,G23,G27,G31,G35,G39,G43,G47)</f>
        <v>527059.92986938055</v>
      </c>
      <c r="H51" s="130">
        <f>G51/SUM($C$51,$E$51,$G$51,$I$51,$K$51)</f>
        <v>3.5815960265190648E-2</v>
      </c>
      <c r="I51" s="317">
        <f>SUM(I11,I15,I19,I23,I27,I31,I35,I39,I43,I47)</f>
        <v>568769.80784720974</v>
      </c>
      <c r="J51" s="130">
        <f>I51/SUM($C$51,$E$51,$G$51,$I$51,$K$51)</f>
        <v>3.8650323584538605E-2</v>
      </c>
      <c r="K51" s="317">
        <f>SUM(K11,K15,K19,K23,K27,K31,K35,K39,K43,K47)</f>
        <v>2942.8804752461015</v>
      </c>
      <c r="L51" s="130">
        <f>K51/SUM($C$51,$E$51,$G$51,$I$51,$K$51)</f>
        <v>1.9998122451225076E-4</v>
      </c>
      <c r="M51" s="199"/>
      <c r="N51" s="199"/>
      <c r="O51" s="199"/>
      <c r="P51" s="199"/>
      <c r="Q51" s="199"/>
      <c r="R51" s="199"/>
      <c r="S51" s="328">
        <f>SUM(S11,S15,S19,S23,S27,S35,S39,S43,S47)</f>
        <v>7.3640037356671526E-7</v>
      </c>
      <c r="T51" s="328">
        <f>SUM(T11,T15,T19,T23,T27,T35,T39,T43,T47)</f>
        <v>9.3359244064069265E-9</v>
      </c>
      <c r="U51" s="328">
        <f>SUM(U11,U15,U19,U23,U27,U35,U39,U43,U47)</f>
        <v>6.4511112898005653E-11</v>
      </c>
      <c r="V51" s="328">
        <f>SUM(V11,V15,V19,V23,V27,V35,V39,V43,V47)</f>
        <v>2.6299258438558098E-12</v>
      </c>
      <c r="W51" s="328">
        <f>SUM(W11,W15,W19,W23,W27,W35,W39,W43,W47)</f>
        <v>1.4208610771396077E-12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5.4871809894598644E-8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3.8283375095535209E-7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1.0950387219232169E-4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1.0327403733652299E-5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3.0391927486231769E-3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2.4152414134776966E-4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9.1066679225521759E-5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1.7325088475650909E-4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9.1060217262586339E-5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1-HYDROXYANTHRAQUINONE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R verification acid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5.6617563147726348E-2</v>
      </c>
      <c r="AY72" s="75"/>
      <c r="AZ72" s="256">
        <f>output!AF22</f>
        <v>2.292876530177139E-6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0.11872523449413076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1.0528936059278959E-2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3.2483130221146318E-3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4.877038281635137E-6</v>
      </c>
      <c r="BE84" s="2"/>
      <c r="BF84" s="304">
        <f>IF(output!AK30&lt;0,"",output!AK30)</f>
        <v>1.8015282151543883E-6</v>
      </c>
      <c r="BG84" s="75"/>
      <c r="BH84" s="311">
        <f>IF(output!AK29&lt;0,"",output!AK29)</f>
        <v>5.1926353791877954E-6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1.3470473015942132E-6</v>
      </c>
      <c r="AV85" s="87"/>
      <c r="AW85" s="75"/>
      <c r="AX85" s="304">
        <f>output!AL24</f>
        <v>1.1814410567815249E-3</v>
      </c>
      <c r="AY85" s="87"/>
      <c r="AZ85" s="201"/>
      <c r="BA85" s="311">
        <f>IF(output!AI23&lt;0,"",output!AI23)</f>
        <v>3.8098092266688549E-9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5.5506430416124106E-3</v>
      </c>
      <c r="BE86" s="87"/>
      <c r="BF86" s="304">
        <f>IF(output!AJ30&lt;0,"",output!AJ30)</f>
        <v>2.0557937191157073E-3</v>
      </c>
      <c r="BG86" s="75"/>
      <c r="BH86" s="311">
        <f>IF(output!AJ29&lt;0,"",output!AJ29)</f>
        <v>1.2334762314694247E-2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3.0782349511177941E-2</v>
      </c>
      <c r="AV87" s="200"/>
      <c r="AW87" s="84"/>
      <c r="AX87" s="304">
        <f>IF(output!AH24&lt;0,"",output!AH24)</f>
        <v>7.9463740700628908E-4</v>
      </c>
      <c r="AY87" s="291">
        <f>output!AL24</f>
        <v>1.1814410567815249E-3</v>
      </c>
      <c r="AZ87" s="75"/>
      <c r="BA87" s="311">
        <f>IF(output!AH23&lt;0,"",output!AH23)</f>
        <v>7.2239764273299023E-5</v>
      </c>
      <c r="BB87" s="291">
        <f>output!AL23</f>
        <v>1.074037324346841E-4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4.8234632429758217E-6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8.7751614826526536E-4</v>
      </c>
      <c r="AT89" s="83"/>
      <c r="AU89" s="302"/>
      <c r="AV89" s="75"/>
      <c r="AW89" s="81"/>
      <c r="AX89" s="265">
        <f>output!AD24</f>
        <v>4.8234632429758217E-6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4.6506914568825337E-2</v>
      </c>
      <c r="AT90" s="81"/>
      <c r="AU90" s="278">
        <f>output!AD25</f>
        <v>0.14317447496167515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1.7481622365578058E-4</v>
      </c>
      <c r="BB91" s="309">
        <f>IF(ISERROR(output!F15),0,output!F15)</f>
        <v>1.0442117907954645E-3</v>
      </c>
      <c r="BC91" s="2"/>
      <c r="BD91" s="295">
        <f>output!AG28</f>
        <v>5.0137716605949591E-3</v>
      </c>
      <c r="BE91" s="2"/>
      <c r="BF91" s="312">
        <f>output!AG30</f>
        <v>1.8568207001627272E-3</v>
      </c>
      <c r="BG91" s="75"/>
      <c r="BH91" s="295">
        <f>output!AG29</f>
        <v>1.1761252375172986E-2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6.269005870189014E-3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1.0479701534835287E-3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2.6488956299829656E-4</v>
      </c>
      <c r="AZ96" s="75"/>
      <c r="BA96" s="75"/>
      <c r="BB96" s="43"/>
      <c r="BC96" s="2"/>
      <c r="BD96" s="277">
        <f>IF(ISERROR(output!F39),0,output!F39)</f>
        <v>5.9877626358426382E-2</v>
      </c>
      <c r="BE96" s="43"/>
      <c r="BF96" s="277">
        <f>IF(ISERROR(output!F47),0,output!F47)</f>
        <v>2.2175325009863339E-2</v>
      </c>
      <c r="BG96" s="43"/>
      <c r="BH96" s="277">
        <f>IF(ISERROR(output!F43),0,output!F43)</f>
        <v>0.14046030072781468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0.12737779385988965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3.1954389998249693E-4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4.2127331599903682E-5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0.76119198234838104</v>
      </c>
      <c r="AW101" s="56"/>
      <c r="AX101" s="307"/>
      <c r="AY101" s="276">
        <f>IF(ISERROR(output!F23),0,output!F23)</f>
        <v>2.2618864374750122E-3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2.9218996256788097E-4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3.6295895940434365E-4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3.471348434940479E-3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6.4653399125021193E-5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6.1155977114414704E-6</v>
      </c>
      <c r="AW111" s="75"/>
      <c r="AX111" s="290">
        <f>output!AF26</f>
        <v>1.252700538429667E-5</v>
      </c>
      <c r="AY111" s="75"/>
      <c r="AZ111" s="75"/>
      <c r="BA111" s="75"/>
      <c r="BB111" s="76"/>
      <c r="BC111" s="2"/>
      <c r="BD111" s="295">
        <f>output!AF28</f>
        <v>3.5418892432366373E-6</v>
      </c>
      <c r="BE111" s="76"/>
      <c r="BF111" s="295">
        <f>output!AF30</f>
        <v>1.3127252234755419E-6</v>
      </c>
      <c r="BG111" s="43"/>
      <c r="BH111" s="294">
        <f>output!AF29</f>
        <v>3.7837339327972411E-6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8.6941236012487891E-10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2.3088532330783804E-9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4.2004176127001559E-8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1.9749063169191417E-9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1.1657924504520418E-6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4.618658907290484E-8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1.4422137404888693E-6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3.8060209050627939E-7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1.4421114030388243E-6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1-HYDROXYANTHRAQUINONE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R verification acid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5.4883279401153726E-4</v>
      </c>
      <c r="AT136" s="81">
        <f>output!AD32</f>
        <v>8.6626746006956447E-3</v>
      </c>
      <c r="AU136" s="268">
        <f>output!AF32</f>
        <v>1.7264013358988967E-7</v>
      </c>
      <c r="AV136" s="221"/>
      <c r="AW136" s="221"/>
      <c r="AX136" s="221"/>
      <c r="AY136" s="279">
        <f>output!AE38</f>
        <v>7.4334396557645838E-6</v>
      </c>
      <c r="AZ136" s="266">
        <f>output!AD38</f>
        <v>1.7876532279215667E-4</v>
      </c>
      <c r="BA136" s="268">
        <f>output!AF38</f>
        <v>3.9331167516191882E-9</v>
      </c>
      <c r="BB136" s="75"/>
      <c r="BC136" s="75"/>
      <c r="BD136" s="75"/>
      <c r="BE136" s="279">
        <f>output!AE44</f>
        <v>6.4807690502343876E-6</v>
      </c>
      <c r="BF136" s="266">
        <f>output!AD44</f>
        <v>3.0963062170746597E-4</v>
      </c>
      <c r="BG136" s="268">
        <f>output!AF44</f>
        <v>5.9392853413125979E-9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4.2629699143033892E-3</v>
      </c>
      <c r="AV141" s="223" t="s">
        <v>446</v>
      </c>
      <c r="AW141" s="221"/>
      <c r="AX141" s="221"/>
      <c r="AY141" s="2"/>
      <c r="AZ141" s="202"/>
      <c r="BA141" s="269">
        <f>output!AG38</f>
        <v>8.0245611991513227E-5</v>
      </c>
      <c r="BB141" s="47" t="s">
        <v>446</v>
      </c>
      <c r="BC141" s="75"/>
      <c r="BD141" s="75"/>
      <c r="BE141" s="2"/>
      <c r="BF141" s="202"/>
      <c r="BG141" s="269">
        <f>output!AG44</f>
        <v>1.6305344385502543E-4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8.9415778021419688E-4</v>
      </c>
      <c r="AW142" s="221"/>
      <c r="AX142" s="221"/>
      <c r="AY142" s="203"/>
      <c r="AZ142" s="202"/>
      <c r="BA142" s="75"/>
      <c r="BB142" s="277">
        <f>IF(ISERROR(output!J11),0,output!J11)</f>
        <v>1.8876988011684114E-5</v>
      </c>
      <c r="BC142" s="75"/>
      <c r="BD142" s="75"/>
      <c r="BE142" s="203"/>
      <c r="BF142" s="75"/>
      <c r="BG142" s="75"/>
      <c r="BH142" s="277">
        <f>IF(ISERROR(output!L11),0,output!L11)</f>
        <v>5.5092688114754583E-3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1.4076152105075603E-6</v>
      </c>
      <c r="AY144" s="2"/>
      <c r="AZ144" s="75"/>
      <c r="BA144" s="75"/>
      <c r="BB144" s="75"/>
      <c r="BC144" s="75"/>
      <c r="BD144" s="270">
        <f>k.sA.aA*M.sA*Molweight</f>
        <v>3.8544574324219696E-7</v>
      </c>
      <c r="BE144" s="2"/>
      <c r="BF144" s="75"/>
      <c r="BG144" s="75"/>
      <c r="BH144" s="75"/>
      <c r="BI144" s="75"/>
      <c r="BJ144" s="270">
        <f>k.sT.aT*M.sT*Molweight</f>
        <v>7.1959984138883041E-8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2.5018663038497684E-7</v>
      </c>
      <c r="AV145" s="221"/>
      <c r="AW145" s="221"/>
      <c r="AX145" s="221"/>
      <c r="AY145" s="2"/>
      <c r="AZ145" s="75"/>
      <c r="BA145" s="270">
        <f>k.w2A.aA*M.w2A*Molweight</f>
        <v>1.6302701999343871E-9</v>
      </c>
      <c r="BB145" s="75"/>
      <c r="BC145" s="75"/>
      <c r="BD145" s="221"/>
      <c r="BE145" s="2"/>
      <c r="BF145" s="75"/>
      <c r="BG145" s="270">
        <f>k.w2T.aT*M.w2T*Molweight</f>
        <v>3.0933510231657408E-9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1.6020316270414915E-3</v>
      </c>
      <c r="AY146" s="2"/>
      <c r="AZ146" s="75"/>
      <c r="BA146" s="221"/>
      <c r="BB146" s="75"/>
      <c r="BC146" s="75"/>
      <c r="BD146" s="270">
        <f>IF(output!AJ42&lt;0,"",output!AJ42)</f>
        <v>2.9583906038488943E-5</v>
      </c>
      <c r="BE146" s="2"/>
      <c r="BF146" s="75"/>
      <c r="BG146" s="221"/>
      <c r="BH146" s="75"/>
      <c r="BI146" s="75"/>
      <c r="BJ146" s="270">
        <f>IF(output!AJ48&lt;0,"",output!AJ48)</f>
        <v>3.2679883908042784E-5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4.0025140661151336E-2</v>
      </c>
      <c r="AT147" s="81">
        <f>output!AD33</f>
        <v>4.9451459838755304E-2</v>
      </c>
      <c r="AU147" s="270">
        <f>IF(output!AH33&lt;0,"",output!AH33)</f>
        <v>2.2503254270465302E-3</v>
      </c>
      <c r="AV147" s="272">
        <f>output!AL33</f>
        <v>1.5252242623709706E-4</v>
      </c>
      <c r="AW147" s="221"/>
      <c r="AX147" s="221"/>
      <c r="AY147" s="279">
        <f>output!AE39</f>
        <v>7.5447356617271578E-3</v>
      </c>
      <c r="AZ147" s="266">
        <f>output!AD39</f>
        <v>7.5372173599076815E-3</v>
      </c>
      <c r="BA147" s="270">
        <f>IF(output!AH39&lt;0,"",output!AH39)</f>
        <v>6.188550800308046E-5</v>
      </c>
      <c r="BB147" s="272">
        <f>output!AL39</f>
        <v>4.7523508969729762E-4</v>
      </c>
      <c r="BC147" s="75"/>
      <c r="BD147" s="75"/>
      <c r="BE147" s="279">
        <f>output!AE45</f>
        <v>6.8111211155017718E-5</v>
      </c>
      <c r="BF147" s="266">
        <f>output!AD45</f>
        <v>1.7912884071185546E-5</v>
      </c>
      <c r="BG147" s="270">
        <f>IF(output!AH45&lt;0,"",output!AH45)</f>
        <v>1.0748563894398408E-4</v>
      </c>
      <c r="BH147" s="272">
        <f>output!AL45</f>
        <v>2.3947150866187948E-6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0.25842864667704607</v>
      </c>
      <c r="AW150" s="221"/>
      <c r="AX150" s="221"/>
      <c r="AY150" s="2"/>
      <c r="AZ150" s="75"/>
      <c r="BA150" s="59"/>
      <c r="BB150" s="273">
        <f>IF(ISERROR(output!J27),0,output!J27)</f>
        <v>4.9264451588208767E-2</v>
      </c>
      <c r="BC150" s="78"/>
      <c r="BD150" s="75"/>
      <c r="BE150" s="2"/>
      <c r="BF150" s="75"/>
      <c r="BG150" s="59"/>
      <c r="BH150" s="273">
        <f>IF(ISERROR(output!L27),0,output!L27)</f>
        <v>9.4834227428534035E-2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1.4470793223093259E-3</v>
      </c>
      <c r="AY151" s="2"/>
      <c r="AZ151" s="75"/>
      <c r="BA151" s="59"/>
      <c r="BB151" s="49"/>
      <c r="BC151" s="75"/>
      <c r="BD151" s="274">
        <f>output!AJ42</f>
        <v>2.9583906038488943E-5</v>
      </c>
      <c r="BE151" s="2"/>
      <c r="BF151" s="75"/>
      <c r="BG151" s="59"/>
      <c r="BH151" s="59"/>
      <c r="BI151" s="75"/>
      <c r="BJ151" s="274">
        <f>output!AG48</f>
        <v>3.0197119348036925E-5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1.1828916844257195E-2</v>
      </c>
      <c r="AW152" s="221"/>
      <c r="AX152" s="221"/>
      <c r="AY152" s="2"/>
      <c r="AZ152" s="75"/>
      <c r="BA152" s="59"/>
      <c r="BB152" s="257">
        <f>output!AG39</f>
        <v>5.2960066561070162E-4</v>
      </c>
      <c r="BC152" s="2"/>
      <c r="BD152" s="75"/>
      <c r="BE152" s="2"/>
      <c r="BF152" s="75"/>
      <c r="BG152" s="59"/>
      <c r="BH152" s="257">
        <f>output!AG45</f>
        <v>5.9678933595747544E-5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2.9642027602409574E-3</v>
      </c>
      <c r="AU153" s="224"/>
      <c r="AV153" s="225"/>
      <c r="AW153" s="221"/>
      <c r="AX153" s="221"/>
      <c r="AY153" s="2"/>
      <c r="AZ153" s="275">
        <f>k.w3A.w2A*M.w3A*Molweight</f>
        <v>2.2695115807571191E-3</v>
      </c>
      <c r="BA153" s="59"/>
      <c r="BB153" s="49"/>
      <c r="BC153" s="2"/>
      <c r="BD153" s="75"/>
      <c r="BE153" s="2"/>
      <c r="BF153" s="275">
        <f>k.w3T.w2T*M.w3T*Molweight</f>
        <v>1.7912884071185546E-5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3.3930875895699979E-2</v>
      </c>
      <c r="AU155" s="221"/>
      <c r="AV155" s="223" t="s">
        <v>2166</v>
      </c>
      <c r="AW155" s="221"/>
      <c r="AX155" s="271">
        <f>IF(ISERROR(output!H47),0,output!H47)</f>
        <v>6.318115408602383E-2</v>
      </c>
      <c r="AY155" s="2"/>
      <c r="AZ155" s="275">
        <f>k.w2A.w3A*M.w2A*Molweight</f>
        <v>7.5447356617271578E-3</v>
      </c>
      <c r="BA155" s="75"/>
      <c r="BB155" s="223" t="s">
        <v>2166</v>
      </c>
      <c r="BC155" s="47"/>
      <c r="BD155" s="271">
        <f>IF(ISERROR(output!J47),0,output!J47)</f>
        <v>0.50598641905031982</v>
      </c>
      <c r="BE155" s="2"/>
      <c r="BF155" s="275">
        <f>k.w2T.w3T*M.w2T*Molweight</f>
        <v>6.3420693570404599E-5</v>
      </c>
      <c r="BG155" s="75"/>
      <c r="BH155" s="223" t="s">
        <v>2166</v>
      </c>
      <c r="BI155" s="47"/>
      <c r="BJ155" s="271">
        <f>IF(ISERROR(output!L47),0,output!L47)</f>
        <v>9.589790378749298E-2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0.67729012669181976</v>
      </c>
      <c r="AW156" s="221"/>
      <c r="AX156" s="221"/>
      <c r="AY156" s="203"/>
      <c r="AZ156" s="2"/>
      <c r="BA156" s="75"/>
      <c r="BB156" s="273">
        <f>IF(ISERROR(output!J31),0,output!J31)</f>
        <v>0.44457320340429241</v>
      </c>
      <c r="BC156" s="75"/>
      <c r="BD156" s="75"/>
      <c r="BE156" s="203"/>
      <c r="BF156" s="2"/>
      <c r="BG156" s="75"/>
      <c r="BH156" s="273">
        <f>IF(ISERROR(output!L31),0,output!L31)</f>
        <v>0.80356477969857865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3.4243897609742375E-3</v>
      </c>
      <c r="AT157" s="266">
        <f>output!AD34</f>
        <v>3.4426679455453461E-2</v>
      </c>
      <c r="AU157" s="221"/>
      <c r="AV157" s="225"/>
      <c r="AW157" s="226"/>
      <c r="AX157" s="221"/>
      <c r="AY157" s="279">
        <f>output!AE40</f>
        <v>2.7653151405106044E-3</v>
      </c>
      <c r="AZ157" s="266">
        <f>output!AD40</f>
        <v>7.5447356617271578E-3</v>
      </c>
      <c r="BA157" s="75"/>
      <c r="BB157" s="2"/>
      <c r="BC157" s="76"/>
      <c r="BD157" s="75"/>
      <c r="BE157" s="279">
        <f>output!AE46</f>
        <v>1.7912884071185546E-5</v>
      </c>
      <c r="BF157" s="266">
        <f>output!AD46</f>
        <v>5.2360769430368512E-4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3.1001240346570126E-2</v>
      </c>
      <c r="AW158" s="226"/>
      <c r="AX158" s="221"/>
      <c r="AY158" s="2"/>
      <c r="AZ158" s="75"/>
      <c r="BA158" s="75"/>
      <c r="BB158" s="274">
        <f>output!AG40</f>
        <v>4.7792324251093084E-3</v>
      </c>
      <c r="BC158" s="2"/>
      <c r="BD158" s="75"/>
      <c r="BE158" s="2"/>
      <c r="BF158" s="75"/>
      <c r="BG158" s="75"/>
      <c r="BH158" s="274">
        <f>output!AG46</f>
        <v>5.0568123374708745E-4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4.8397884390137904E-6</v>
      </c>
      <c r="AU159" s="221"/>
      <c r="AV159" s="221"/>
      <c r="AW159" s="226"/>
      <c r="AX159" s="221"/>
      <c r="AY159" s="2"/>
      <c r="AZ159" s="272">
        <f>k.sdA.w3A*M.sdA*Molweight</f>
        <v>3.9834464790052037E-6</v>
      </c>
      <c r="BA159" s="2"/>
      <c r="BB159" s="75"/>
      <c r="BC159" s="2"/>
      <c r="BD159" s="75"/>
      <c r="BE159" s="2"/>
      <c r="BF159" s="275">
        <f>k.sdT.w3T*M.sdT*Molweight</f>
        <v>2.5436607483313081E-8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5.8891363481099807E-6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4.1715425862497213E-6</v>
      </c>
      <c r="BA161" s="75"/>
      <c r="BB161" s="262" t="s">
        <v>2158</v>
      </c>
      <c r="BC161" s="75"/>
      <c r="BD161" s="280">
        <f>output!AC42</f>
        <v>3.1709791983764585E-3</v>
      </c>
      <c r="BE161" s="2"/>
      <c r="BF161" s="275">
        <f>IF(output!AM47&lt;0,"",output!AM47)</f>
        <v>3.9013092895426278E-8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2.0591476489621738E-4</v>
      </c>
      <c r="AW162" s="221"/>
      <c r="AX162" s="221"/>
      <c r="AY162" s="2"/>
      <c r="AZ162" s="75"/>
      <c r="BA162" s="47"/>
      <c r="BB162" s="276">
        <f>IF(ISERROR(output!J35),0,output!J35)</f>
        <v>1.5704896916729106E-4</v>
      </c>
      <c r="BC162" s="75"/>
      <c r="BD162" s="75"/>
      <c r="BE162" s="2"/>
      <c r="BF162" s="75"/>
      <c r="BG162" s="47"/>
      <c r="BH162" s="276">
        <f>IF(ISERROR(output!L35),0,output!L35)</f>
        <v>1.9382027391879686E-4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1.049024064431092E-6</v>
      </c>
      <c r="AV164" s="269">
        <f>output!AF35</f>
        <v>3.2384466509871546E-10</v>
      </c>
      <c r="AW164" s="221"/>
      <c r="AX164" s="274">
        <f>output!AF36</f>
        <v>1.0222632845607811E-6</v>
      </c>
      <c r="AY164" s="2"/>
      <c r="AZ164" s="2"/>
      <c r="BA164" s="269">
        <f>output!AG41</f>
        <v>1.8790727604204887E-7</v>
      </c>
      <c r="BB164" s="269">
        <f>output!AF41</f>
        <v>1.8883120246888538E-10</v>
      </c>
      <c r="BC164" s="75"/>
      <c r="BD164" s="274">
        <f>output!AF42</f>
        <v>3.1552412583093413E-6</v>
      </c>
      <c r="BE164" s="2"/>
      <c r="BF164" s="2"/>
      <c r="BG164" s="269">
        <f>output!AG47</f>
        <v>1.3575279615774987E-8</v>
      </c>
      <c r="BH164" s="269">
        <f>output!AF47</f>
        <v>1.2057963382007471E-12</v>
      </c>
      <c r="BI164" s="75"/>
      <c r="BJ164" s="274">
        <f>output!AF48</f>
        <v>1.6089489248195225E-8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471.27473693185561</v>
      </c>
      <c r="BA172" s="128">
        <f>output!I11</f>
        <v>10.736660844139655</v>
      </c>
      <c r="BB172" s="128">
        <f>output!K11</f>
        <v>16.213119618173423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136207.38439384283</v>
      </c>
      <c r="BA173" s="128">
        <f>output!I27</f>
        <v>28020.132663523666</v>
      </c>
      <c r="BB173" s="128">
        <f>output!K27</f>
        <v>279.08579628448109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356972.48667541437</v>
      </c>
      <c r="BA174" s="128">
        <f>output!I31</f>
        <v>252859.81547427789</v>
      </c>
      <c r="BB174" s="128">
        <f>output!K31</f>
        <v>2364.7951007703819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108.52942154527031</v>
      </c>
      <c r="BA175" s="128">
        <f>output!I35</f>
        <v>89.324712015882511</v>
      </c>
      <c r="BB175" s="128">
        <f>output!K35</f>
        <v>0.57038989982247845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33300.254641646243</v>
      </c>
      <c r="BA176" s="128">
        <f>output!I47</f>
        <v>287789.79833654815</v>
      </c>
      <c r="BB176" s="128">
        <f>output!K47</f>
        <v>282.21606867324226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1-HYDROXYANTHRAQUINONE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R verification acid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0.48889647363216221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1.4666894208964867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1.4666894208964867</v>
      </c>
      <c r="G11" s="508">
        <f>2*Scale*(M.tot/Emis.tot)/(3600*24*365)</f>
        <v>2.9333788417929734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1.4142267408689941</v>
      </c>
      <c r="H15" s="482">
        <v>0</v>
      </c>
      <c r="I15" s="482">
        <v>1.4142267408689941</v>
      </c>
      <c r="J15" s="482">
        <v>0</v>
      </c>
      <c r="K15" s="482">
        <v>0</v>
      </c>
      <c r="L15" s="482">
        <v>0</v>
      </c>
      <c r="M15" s="482">
        <v>0</v>
      </c>
      <c r="N15" s="482">
        <v>1.4142267408689941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1.4142267408689941E-2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5" activePane="bottomLeft" state="frozen"/>
      <selection pane="bottomLeft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708</v>
      </c>
      <c r="B6" s="439" t="str">
        <f t="shared" ref="B6:Z6" si="0">IF(ISBLANK(VLOOKUP($A6,$A$8:$Z$1041,COLUMN(),0)),"",VLOOKUP($A6,$A$8:$Z$1041,COLUMN(),0))</f>
        <v>1-HYDROXYANTHRAQUINONE</v>
      </c>
      <c r="C6" s="439" t="str">
        <f t="shared" si="0"/>
        <v>129-43-1</v>
      </c>
      <c r="D6" s="439" t="str">
        <f t="shared" si="0"/>
        <v>Acid</v>
      </c>
      <c r="E6" s="544">
        <f t="shared" si="0"/>
        <v>9.4700000000000006</v>
      </c>
      <c r="F6" s="544">
        <f t="shared" si="0"/>
        <v>224.22</v>
      </c>
      <c r="G6" s="544" t="str">
        <f t="shared" si="0"/>
        <v/>
      </c>
      <c r="H6" s="545">
        <f t="shared" si="0"/>
        <v>2.7866666659699999E-5</v>
      </c>
      <c r="I6" s="545">
        <f t="shared" si="0"/>
        <v>8.5</v>
      </c>
      <c r="J6" s="545" t="str">
        <f t="shared" si="0"/>
        <v/>
      </c>
      <c r="K6" s="545">
        <f t="shared" si="0"/>
        <v>3311.3112148259115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1.0271107499999999E-5</v>
      </c>
      <c r="R6" s="545">
        <f t="shared" si="0"/>
        <v>2.1393431498763744E-7</v>
      </c>
      <c r="S6" s="545">
        <f t="shared" si="0"/>
        <v>2.3770479443070826E-8</v>
      </c>
      <c r="T6" s="545">
        <f t="shared" si="0"/>
        <v>1.0696715749381872E-7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100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1018"/>
  <sheetViews>
    <sheetView zoomScaleNormal="100" workbookViewId="0">
      <pane xSplit="7" ySplit="3" topLeftCell="H45" activePane="bottomRight" state="frozen"/>
      <selection pane="topRight" activeCell="H1" sqref="H1"/>
      <selection pane="bottomLeft" activeCell="A4" sqref="A4"/>
      <selection pane="bottomRight" activeCell="L144" sqref="L144:M144"/>
    </sheetView>
  </sheetViews>
  <sheetFormatPr defaultColWidth="9.140625" defaultRowHeight="12.75" customHeight="1" x14ac:dyDescent="0.2"/>
  <cols>
    <col min="1" max="5" width="1.7109375" customWidth="1"/>
    <col min="6" max="6" width="60.7109375" customWidth="1"/>
    <col min="7" max="7" width="22.7109375" style="79" customWidth="1"/>
    <col min="8" max="8" width="10.7109375" style="79" customWidth="1"/>
    <col min="9" max="9" width="9.140625" style="528" customWidth="1"/>
    <col min="10" max="14" width="9.140625" style="430" customWidth="1"/>
    <col min="15" max="19" width="9.140625" style="179" customWidth="1"/>
    <col min="20" max="20" width="3.140625" customWidth="1"/>
    <col min="21" max="16384" width="9.140625" style="18"/>
  </cols>
  <sheetData>
    <row r="1" spans="1:21" ht="12.75" customHeight="1" x14ac:dyDescent="0.2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42"/>
      <c r="N1" s="342"/>
      <c r="O1" s="360"/>
      <c r="P1" s="360"/>
      <c r="Q1" s="360"/>
      <c r="R1" s="360"/>
      <c r="S1" s="360"/>
      <c r="T1" s="158"/>
    </row>
    <row r="2" spans="1:21" ht="12.75" customHeight="1" thickBot="1" x14ac:dyDescent="0.2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7"/>
      <c r="N2" s="427"/>
      <c r="O2" s="421"/>
      <c r="P2" s="421"/>
      <c r="Q2" s="421"/>
      <c r="R2" s="421"/>
      <c r="S2" s="421"/>
      <c r="T2" s="158"/>
    </row>
    <row r="3" spans="1:21" ht="33.75" customHeight="1" x14ac:dyDescent="0.2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4059</v>
      </c>
      <c r="M3" s="428" t="s">
        <v>4060</v>
      </c>
      <c r="N3" s="428" t="s">
        <v>2201</v>
      </c>
      <c r="O3" s="423" t="s">
        <v>2203</v>
      </c>
      <c r="P3" s="423" t="s">
        <v>2206</v>
      </c>
      <c r="Q3" s="423" t="s">
        <v>2204</v>
      </c>
      <c r="R3" s="423" t="s">
        <v>2205</v>
      </c>
      <c r="S3" s="423" t="s">
        <v>2207</v>
      </c>
      <c r="T3" s="158"/>
      <c r="U3" s="18" t="s">
        <v>4058</v>
      </c>
    </row>
    <row r="4" spans="1:21" ht="12.75" customHeight="1" x14ac:dyDescent="0.2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29"/>
      <c r="M4" s="429"/>
      <c r="N4" s="433"/>
      <c r="O4" s="422"/>
      <c r="P4" s="422"/>
      <c r="Q4" s="422"/>
      <c r="R4" s="422"/>
      <c r="S4" s="422"/>
      <c r="T4" s="158"/>
    </row>
    <row r="5" spans="1:21" ht="26.45" customHeight="1" x14ac:dyDescent="0.2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49"/>
      <c r="N5" s="449"/>
      <c r="O5" s="450"/>
      <c r="P5" s="450"/>
      <c r="Q5" s="450"/>
      <c r="R5" s="450"/>
      <c r="S5" s="450"/>
      <c r="T5" s="158"/>
    </row>
    <row r="6" spans="1:21" ht="12.75" customHeight="1" x14ac:dyDescent="0.2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1"/>
      <c r="N6" s="451"/>
      <c r="O6" s="452"/>
      <c r="P6" s="452"/>
      <c r="Q6" s="452"/>
      <c r="R6" s="452"/>
      <c r="S6" s="452"/>
      <c r="T6" s="158"/>
    </row>
    <row r="7" spans="1:21" ht="12.75" customHeight="1" x14ac:dyDescent="0.2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49"/>
      <c r="M7" s="449"/>
      <c r="N7" s="451"/>
      <c r="O7" s="452"/>
      <c r="P7" s="452"/>
      <c r="Q7" s="452"/>
      <c r="R7" s="452"/>
      <c r="S7" s="452"/>
      <c r="T7" s="158"/>
    </row>
    <row r="8" spans="1:2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49"/>
      <c r="N8" s="449"/>
      <c r="O8" s="450"/>
      <c r="P8" s="450"/>
      <c r="Q8" s="450"/>
      <c r="R8" s="450"/>
      <c r="S8" s="450"/>
      <c r="T8" s="158"/>
    </row>
    <row r="9" spans="1:21" ht="12.75" customHeight="1" x14ac:dyDescent="0.2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49"/>
      <c r="M9" s="449"/>
      <c r="N9" s="453"/>
      <c r="O9" s="454"/>
      <c r="P9" s="454"/>
      <c r="Q9" s="454"/>
      <c r="R9" s="454"/>
      <c r="S9" s="454"/>
      <c r="T9" s="158"/>
    </row>
    <row r="10" spans="1:21" ht="26.45" customHeight="1" x14ac:dyDescent="0.2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49"/>
      <c r="N10" s="449"/>
      <c r="O10" s="450"/>
      <c r="P10" s="450"/>
      <c r="Q10" s="450"/>
      <c r="R10" s="450"/>
      <c r="S10" s="450"/>
      <c r="T10" s="158"/>
    </row>
    <row r="11" spans="1:21" ht="13.5" customHeight="1" x14ac:dyDescent="0.2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5"/>
      <c r="N11" s="455"/>
      <c r="O11" s="456"/>
      <c r="P11" s="456"/>
      <c r="Q11" s="456"/>
      <c r="R11" s="456"/>
      <c r="S11" s="456"/>
      <c r="T11" s="158"/>
    </row>
    <row r="12" spans="1:2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 t="s">
        <v>754</v>
      </c>
      <c r="M12" s="457" t="s">
        <v>754</v>
      </c>
      <c r="N12" s="457"/>
      <c r="O12" s="458"/>
      <c r="P12" s="458"/>
      <c r="Q12" s="458"/>
      <c r="R12" s="458"/>
      <c r="S12" s="458"/>
      <c r="T12" s="158"/>
    </row>
    <row r="13" spans="1:2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42"/>
      <c r="N13" s="342"/>
      <c r="O13" s="360"/>
      <c r="P13" s="360"/>
      <c r="Q13" s="360"/>
      <c r="R13" s="360"/>
      <c r="S13" s="360"/>
      <c r="T13" s="158"/>
    </row>
    <row r="14" spans="1:2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1"/>
      <c r="N14" s="451"/>
      <c r="O14" s="452"/>
      <c r="P14" s="452"/>
      <c r="Q14" s="452"/>
      <c r="R14" s="452"/>
      <c r="S14" s="452"/>
      <c r="T14" s="158"/>
    </row>
    <row r="15" spans="1:2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1"/>
      <c r="N15" s="451"/>
      <c r="O15" s="452"/>
      <c r="P15" s="452"/>
      <c r="Q15" s="452"/>
      <c r="R15" s="452"/>
      <c r="S15" s="452"/>
      <c r="T15" s="158"/>
    </row>
    <row r="16" spans="1:2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59"/>
      <c r="N16" s="459"/>
      <c r="O16" s="460"/>
      <c r="P16" s="460"/>
      <c r="Q16" s="460"/>
      <c r="R16" s="460"/>
      <c r="S16" s="460"/>
      <c r="T16" s="158"/>
    </row>
    <row r="17" spans="1:20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1"/>
      <c r="N17" s="451"/>
      <c r="O17" s="452"/>
      <c r="P17" s="452"/>
      <c r="Q17" s="452"/>
      <c r="R17" s="452"/>
      <c r="S17" s="452"/>
      <c r="T17" s="158"/>
    </row>
    <row r="18" spans="1:20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1"/>
      <c r="N18" s="451"/>
      <c r="O18" s="452"/>
      <c r="P18" s="452"/>
      <c r="Q18" s="452"/>
      <c r="R18" s="452"/>
      <c r="S18" s="452"/>
      <c r="T18" s="158"/>
    </row>
    <row r="19" spans="1:20" ht="12.75" customHeight="1" x14ac:dyDescent="0.2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1"/>
      <c r="N19" s="451"/>
      <c r="O19" s="452"/>
      <c r="P19" s="452"/>
      <c r="Q19" s="452"/>
      <c r="R19" s="452"/>
      <c r="S19" s="452"/>
      <c r="T19" s="158"/>
    </row>
    <row r="20" spans="1:20" ht="12.75" customHeight="1" x14ac:dyDescent="0.2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1"/>
      <c r="N20" s="451"/>
      <c r="O20" s="452"/>
      <c r="P20" s="452"/>
      <c r="Q20" s="452"/>
      <c r="R20" s="452"/>
      <c r="S20" s="452"/>
      <c r="T20" s="158"/>
    </row>
    <row r="21" spans="1:20" ht="12.75" customHeight="1" x14ac:dyDescent="0.2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1"/>
      <c r="N21" s="451"/>
      <c r="O21" s="452"/>
      <c r="P21" s="452"/>
      <c r="Q21" s="452"/>
      <c r="R21" s="452"/>
      <c r="S21" s="452"/>
      <c r="T21" s="158"/>
    </row>
    <row r="22" spans="1:20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1"/>
      <c r="N22" s="451"/>
      <c r="O22" s="452"/>
      <c r="P22" s="452"/>
      <c r="Q22" s="452"/>
      <c r="R22" s="452"/>
      <c r="S22" s="452"/>
      <c r="T22" s="158"/>
    </row>
    <row r="23" spans="1:20" ht="12.75" customHeight="1" x14ac:dyDescent="0.2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1"/>
      <c r="N23" s="451"/>
      <c r="O23" s="452"/>
      <c r="P23" s="452"/>
      <c r="Q23" s="452"/>
      <c r="R23" s="452"/>
      <c r="S23" s="452"/>
      <c r="T23" s="158"/>
    </row>
    <row r="24" spans="1:20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/>
      <c r="M24" s="451"/>
      <c r="N24" s="451">
        <v>1</v>
      </c>
      <c r="O24" s="452">
        <v>1</v>
      </c>
      <c r="P24" s="452">
        <v>1</v>
      </c>
      <c r="Q24" s="452">
        <v>1</v>
      </c>
      <c r="R24" s="452">
        <v>1</v>
      </c>
      <c r="S24" s="452"/>
      <c r="T24" s="158"/>
    </row>
    <row r="25" spans="1:20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/>
      <c r="M25" s="451"/>
      <c r="N25" s="451">
        <v>1</v>
      </c>
      <c r="O25" s="452">
        <v>1</v>
      </c>
      <c r="P25" s="452">
        <v>1</v>
      </c>
      <c r="Q25" s="452">
        <v>1</v>
      </c>
      <c r="R25" s="452">
        <v>1</v>
      </c>
      <c r="S25" s="452"/>
      <c r="T25" s="158"/>
    </row>
    <row r="26" spans="1:20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/>
      <c r="M26" s="451"/>
      <c r="N26" s="451">
        <v>1</v>
      </c>
      <c r="O26" s="452">
        <v>1</v>
      </c>
      <c r="P26" s="452">
        <v>1</v>
      </c>
      <c r="Q26" s="452">
        <v>1</v>
      </c>
      <c r="R26" s="452">
        <v>1</v>
      </c>
      <c r="S26" s="452"/>
      <c r="T26" s="158"/>
    </row>
    <row r="27" spans="1:20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/>
      <c r="M27" s="451"/>
      <c r="N27" s="451">
        <v>1</v>
      </c>
      <c r="O27" s="452">
        <v>1</v>
      </c>
      <c r="P27" s="452">
        <v>1</v>
      </c>
      <c r="Q27" s="452">
        <v>1</v>
      </c>
      <c r="R27" s="452">
        <v>1</v>
      </c>
      <c r="S27" s="452"/>
      <c r="T27" s="158"/>
    </row>
    <row r="28" spans="1:20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/>
      <c r="M28" s="451"/>
      <c r="N28" s="451">
        <v>1</v>
      </c>
      <c r="O28" s="452">
        <v>1</v>
      </c>
      <c r="P28" s="452">
        <v>1</v>
      </c>
      <c r="Q28" s="452">
        <v>1</v>
      </c>
      <c r="R28" s="452">
        <v>1</v>
      </c>
      <c r="S28" s="452"/>
      <c r="T28" s="158"/>
    </row>
    <row r="29" spans="1:20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/>
      <c r="M29" s="451"/>
      <c r="N29" s="451">
        <v>1</v>
      </c>
      <c r="O29" s="452">
        <v>1</v>
      </c>
      <c r="P29" s="452">
        <v>1</v>
      </c>
      <c r="Q29" s="452">
        <v>1</v>
      </c>
      <c r="R29" s="452">
        <v>1</v>
      </c>
      <c r="S29" s="452"/>
      <c r="T29" s="158"/>
    </row>
    <row r="30" spans="1:20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/>
      <c r="M30" s="451"/>
      <c r="N30" s="451">
        <v>1</v>
      </c>
      <c r="O30" s="452">
        <v>1</v>
      </c>
      <c r="P30" s="452">
        <v>1</v>
      </c>
      <c r="Q30" s="452">
        <v>1</v>
      </c>
      <c r="R30" s="452">
        <v>1</v>
      </c>
      <c r="S30" s="452"/>
      <c r="T30" s="158"/>
    </row>
    <row r="31" spans="1:20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/>
      <c r="M31" s="451"/>
      <c r="N31" s="451">
        <v>1</v>
      </c>
      <c r="O31" s="452">
        <v>1</v>
      </c>
      <c r="P31" s="452">
        <v>1</v>
      </c>
      <c r="Q31" s="452">
        <v>1</v>
      </c>
      <c r="R31" s="452">
        <v>1</v>
      </c>
      <c r="S31" s="452"/>
      <c r="T31" s="158"/>
    </row>
    <row r="32" spans="1:20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/>
      <c r="M32" s="451"/>
      <c r="N32" s="451">
        <v>1</v>
      </c>
      <c r="O32" s="452">
        <v>1</v>
      </c>
      <c r="P32" s="452">
        <v>1</v>
      </c>
      <c r="Q32" s="452">
        <v>1</v>
      </c>
      <c r="R32" s="452">
        <v>1</v>
      </c>
      <c r="S32" s="452"/>
      <c r="T32" s="158"/>
    </row>
    <row r="33" spans="1:20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/>
      <c r="M33" s="451"/>
      <c r="N33" s="451">
        <v>1</v>
      </c>
      <c r="O33" s="452">
        <v>1</v>
      </c>
      <c r="P33" s="452">
        <v>1</v>
      </c>
      <c r="Q33" s="452">
        <v>1</v>
      </c>
      <c r="R33" s="452">
        <v>1</v>
      </c>
      <c r="S33" s="452"/>
      <c r="T33" s="158"/>
    </row>
    <row r="34" spans="1:20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/>
      <c r="M34" s="451"/>
      <c r="N34" s="451">
        <v>1</v>
      </c>
      <c r="O34" s="452">
        <v>1</v>
      </c>
      <c r="P34" s="452">
        <v>1</v>
      </c>
      <c r="Q34" s="452">
        <v>1</v>
      </c>
      <c r="R34" s="452">
        <v>1</v>
      </c>
      <c r="S34" s="452"/>
      <c r="T34" s="158"/>
    </row>
    <row r="35" spans="1:20" ht="12.75" customHeight="1" x14ac:dyDescent="0.2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1"/>
      <c r="N35" s="451"/>
      <c r="O35" s="452"/>
      <c r="P35" s="452"/>
      <c r="Q35" s="452"/>
      <c r="R35" s="452"/>
      <c r="S35" s="452"/>
      <c r="T35" s="158"/>
    </row>
    <row r="36" spans="1:20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/>
      <c r="M36" s="451"/>
      <c r="N36" s="451">
        <v>50</v>
      </c>
      <c r="O36" s="452">
        <v>50</v>
      </c>
      <c r="P36" s="452">
        <v>50</v>
      </c>
      <c r="Q36" s="452"/>
      <c r="R36" s="452">
        <v>50</v>
      </c>
      <c r="S36" s="452">
        <v>50</v>
      </c>
      <c r="T36" s="158"/>
    </row>
    <row r="37" spans="1:20" ht="12.75" customHeight="1" x14ac:dyDescent="0.2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1"/>
      <c r="N37" s="451"/>
      <c r="O37" s="452"/>
      <c r="P37" s="452"/>
      <c r="Q37" s="452"/>
      <c r="R37" s="452"/>
      <c r="S37" s="452"/>
      <c r="T37" s="158"/>
    </row>
    <row r="38" spans="1:20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1"/>
      <c r="N38" s="451"/>
      <c r="O38" s="452"/>
      <c r="P38" s="452"/>
      <c r="Q38" s="452"/>
      <c r="R38" s="452"/>
      <c r="S38" s="452"/>
      <c r="T38" s="158"/>
    </row>
    <row r="39" spans="1:20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1"/>
      <c r="N39" s="451"/>
      <c r="O39" s="452"/>
      <c r="P39" s="452"/>
      <c r="Q39" s="452"/>
      <c r="R39" s="452"/>
      <c r="S39" s="452"/>
      <c r="T39" s="158"/>
    </row>
    <row r="40" spans="1:20" ht="12.75" customHeight="1" x14ac:dyDescent="0.2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42"/>
      <c r="N40" s="342"/>
      <c r="O40" s="360"/>
      <c r="P40" s="360"/>
      <c r="Q40" s="360"/>
      <c r="R40" s="360"/>
      <c r="S40" s="360"/>
      <c r="T40" s="158"/>
    </row>
    <row r="41" spans="1:20" ht="12.75" customHeight="1" x14ac:dyDescent="0.2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59"/>
      <c r="N41" s="459"/>
      <c r="O41" s="460"/>
      <c r="P41" s="460"/>
      <c r="Q41" s="460"/>
      <c r="R41" s="460"/>
      <c r="S41" s="460"/>
      <c r="T41" s="158"/>
    </row>
    <row r="42" spans="1:20" ht="12.75" customHeight="1" x14ac:dyDescent="0.2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59"/>
      <c r="N42" s="459"/>
      <c r="O42" s="460"/>
      <c r="P42" s="460"/>
      <c r="Q42" s="460"/>
      <c r="R42" s="460"/>
      <c r="S42" s="460"/>
      <c r="T42" s="158"/>
    </row>
    <row r="43" spans="1:20" ht="12.75" customHeight="1" x14ac:dyDescent="0.2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59"/>
      <c r="N43" s="459"/>
      <c r="O43" s="460"/>
      <c r="P43" s="460"/>
      <c r="Q43" s="460"/>
      <c r="R43" s="460"/>
      <c r="S43" s="460"/>
      <c r="T43" s="158"/>
    </row>
    <row r="44" spans="1:20" ht="12.75" customHeight="1" x14ac:dyDescent="0.2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59"/>
      <c r="N44" s="459"/>
      <c r="O44" s="460"/>
      <c r="P44" s="460"/>
      <c r="Q44" s="460"/>
      <c r="R44" s="460"/>
      <c r="S44" s="460"/>
      <c r="T44" s="158"/>
    </row>
    <row r="45" spans="1:20" ht="12.75" customHeight="1" x14ac:dyDescent="0.2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59"/>
      <c r="N45" s="459"/>
      <c r="O45" s="460"/>
      <c r="P45" s="460"/>
      <c r="Q45" s="460"/>
      <c r="R45" s="460"/>
      <c r="S45" s="460"/>
      <c r="T45" s="158"/>
    </row>
    <row r="46" spans="1:20" ht="12.75" customHeight="1" x14ac:dyDescent="0.2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59"/>
      <c r="N46" s="459"/>
      <c r="O46" s="460"/>
      <c r="P46" s="460"/>
      <c r="Q46" s="460"/>
      <c r="R46" s="460"/>
      <c r="S46" s="460"/>
      <c r="T46" s="158"/>
    </row>
    <row r="47" spans="1:20" ht="12.75" customHeight="1" x14ac:dyDescent="0.2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59"/>
      <c r="N47" s="459"/>
      <c r="O47" s="460"/>
      <c r="P47" s="460"/>
      <c r="Q47" s="460"/>
      <c r="R47" s="460"/>
      <c r="S47" s="460"/>
      <c r="T47" s="158"/>
    </row>
    <row r="48" spans="1:20" ht="12.75" customHeight="1" x14ac:dyDescent="0.2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59"/>
      <c r="N48" s="459"/>
      <c r="O48" s="460"/>
      <c r="P48" s="460"/>
      <c r="Q48" s="460"/>
      <c r="R48" s="460"/>
      <c r="S48" s="460"/>
      <c r="T48" s="158"/>
    </row>
    <row r="49" spans="1:20" ht="12.75" customHeight="1" x14ac:dyDescent="0.2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59"/>
      <c r="N49" s="459"/>
      <c r="O49" s="460"/>
      <c r="P49" s="460"/>
      <c r="Q49" s="460"/>
      <c r="R49" s="460"/>
      <c r="S49" s="460"/>
      <c r="T49" s="158"/>
    </row>
    <row r="50" spans="1:20" ht="12.75" customHeight="1" x14ac:dyDescent="0.2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59"/>
      <c r="N50" s="459"/>
      <c r="O50" s="460"/>
      <c r="P50" s="460"/>
      <c r="Q50" s="460"/>
      <c r="R50" s="460"/>
      <c r="S50" s="460"/>
      <c r="T50" s="158"/>
    </row>
    <row r="51" spans="1:20" ht="12.75" customHeight="1" x14ac:dyDescent="0.2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59"/>
      <c r="N51" s="459"/>
      <c r="O51" s="460"/>
      <c r="P51" s="460"/>
      <c r="Q51" s="460"/>
      <c r="R51" s="460"/>
      <c r="S51" s="460"/>
      <c r="T51" s="158"/>
    </row>
    <row r="52" spans="1:20" ht="12.75" customHeight="1" x14ac:dyDescent="0.2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59"/>
      <c r="N52" s="459"/>
      <c r="O52" s="460"/>
      <c r="P52" s="460"/>
      <c r="Q52" s="460"/>
      <c r="R52" s="460"/>
      <c r="S52" s="460"/>
      <c r="T52" s="158"/>
    </row>
    <row r="53" spans="1:20" ht="12.75" customHeight="1" x14ac:dyDescent="0.2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59"/>
      <c r="N53" s="459"/>
      <c r="O53" s="460"/>
      <c r="P53" s="460"/>
      <c r="Q53" s="460"/>
      <c r="R53" s="460"/>
      <c r="S53" s="460"/>
      <c r="T53" s="158"/>
    </row>
    <row r="54" spans="1:20" ht="12.75" customHeight="1" x14ac:dyDescent="0.2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59"/>
      <c r="N54" s="459"/>
      <c r="O54" s="460"/>
      <c r="P54" s="460"/>
      <c r="Q54" s="460"/>
      <c r="R54" s="460"/>
      <c r="S54" s="460"/>
      <c r="T54" s="158"/>
    </row>
    <row r="55" spans="1:20" ht="12.75" customHeight="1" x14ac:dyDescent="0.2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59"/>
      <c r="N55" s="459"/>
      <c r="O55" s="460"/>
      <c r="P55" s="460"/>
      <c r="Q55" s="460"/>
      <c r="R55" s="460"/>
      <c r="S55" s="460"/>
      <c r="T55" s="158"/>
    </row>
    <row r="56" spans="1:20" ht="12.75" customHeight="1" x14ac:dyDescent="0.2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59"/>
      <c r="N56" s="459"/>
      <c r="O56" s="460"/>
      <c r="P56" s="460"/>
      <c r="Q56" s="460"/>
      <c r="R56" s="460"/>
      <c r="S56" s="460"/>
      <c r="T56" s="158"/>
    </row>
    <row r="57" spans="1:20" ht="12.75" customHeight="1" x14ac:dyDescent="0.2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59"/>
      <c r="N57" s="459"/>
      <c r="O57" s="460"/>
      <c r="P57" s="460"/>
      <c r="Q57" s="460"/>
      <c r="R57" s="460"/>
      <c r="S57" s="460"/>
      <c r="T57" s="158"/>
    </row>
    <row r="58" spans="1:20" ht="12.75" customHeight="1" x14ac:dyDescent="0.2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59"/>
      <c r="N58" s="459"/>
      <c r="O58" s="460"/>
      <c r="P58" s="460"/>
      <c r="Q58" s="460"/>
      <c r="R58" s="460"/>
      <c r="S58" s="460"/>
      <c r="T58" s="158"/>
    </row>
    <row r="59" spans="1:20" ht="12.75" customHeight="1" x14ac:dyDescent="0.2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59"/>
      <c r="N59" s="459"/>
      <c r="O59" s="460"/>
      <c r="P59" s="460"/>
      <c r="Q59" s="460"/>
      <c r="R59" s="460"/>
      <c r="S59" s="460"/>
      <c r="T59" s="158"/>
    </row>
    <row r="60" spans="1:20" ht="12.75" customHeight="1" x14ac:dyDescent="0.2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59"/>
      <c r="N60" s="459"/>
      <c r="O60" s="460"/>
      <c r="P60" s="460"/>
      <c r="Q60" s="460"/>
      <c r="R60" s="460"/>
      <c r="S60" s="460"/>
      <c r="T60" s="158"/>
    </row>
    <row r="61" spans="1:20" ht="12.75" customHeight="1" x14ac:dyDescent="0.2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59"/>
      <c r="N61" s="459"/>
      <c r="O61" s="460"/>
      <c r="P61" s="460"/>
      <c r="Q61" s="460"/>
      <c r="R61" s="460"/>
      <c r="S61" s="460"/>
      <c r="T61" s="158"/>
    </row>
    <row r="62" spans="1:20" ht="12.75" customHeight="1" x14ac:dyDescent="0.2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59"/>
      <c r="N62" s="459"/>
      <c r="O62" s="460"/>
      <c r="P62" s="460"/>
      <c r="Q62" s="460"/>
      <c r="R62" s="460"/>
      <c r="S62" s="460"/>
      <c r="T62" s="158"/>
    </row>
    <row r="63" spans="1:20" ht="12.75" customHeight="1" x14ac:dyDescent="0.2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59"/>
      <c r="N63" s="459"/>
      <c r="O63" s="460"/>
      <c r="P63" s="460"/>
      <c r="Q63" s="460"/>
      <c r="R63" s="460"/>
      <c r="S63" s="460"/>
      <c r="T63" s="158"/>
    </row>
    <row r="64" spans="1:20" ht="12.75" customHeight="1" x14ac:dyDescent="0.2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59"/>
      <c r="N64" s="459"/>
      <c r="O64" s="460"/>
      <c r="P64" s="460"/>
      <c r="Q64" s="460"/>
      <c r="R64" s="460"/>
      <c r="S64" s="460"/>
      <c r="T64" s="158"/>
    </row>
    <row r="65" spans="1:27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59"/>
      <c r="N65" s="459"/>
      <c r="O65" s="460"/>
      <c r="P65" s="460"/>
      <c r="Q65" s="460"/>
      <c r="R65" s="460"/>
      <c r="S65" s="460"/>
      <c r="T65" s="158"/>
    </row>
    <row r="66" spans="1:27" ht="12.75" customHeight="1" x14ac:dyDescent="0.2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>
        <v>0.74199999999999999</v>
      </c>
      <c r="M66" s="451">
        <v>1.0300000000000001E-5</v>
      </c>
      <c r="N66" s="451"/>
      <c r="O66" s="452"/>
      <c r="P66" s="452"/>
      <c r="Q66" s="452"/>
      <c r="R66" s="452"/>
      <c r="S66" s="452"/>
      <c r="T66" s="158"/>
    </row>
    <row r="67" spans="1:27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1"/>
      <c r="N67" s="451"/>
      <c r="O67" s="452"/>
      <c r="P67" s="452"/>
      <c r="Q67" s="452"/>
      <c r="R67" s="452"/>
      <c r="S67" s="452"/>
      <c r="T67" s="158"/>
    </row>
    <row r="68" spans="1:27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1"/>
      <c r="N68" s="451"/>
      <c r="O68" s="452"/>
      <c r="P68" s="452"/>
      <c r="Q68" s="452"/>
      <c r="R68" s="452"/>
      <c r="S68" s="452"/>
      <c r="T68" s="158"/>
    </row>
    <row r="69" spans="1:27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1"/>
      <c r="N69" s="451"/>
      <c r="O69" s="452"/>
      <c r="P69" s="452"/>
      <c r="Q69" s="452"/>
      <c r="R69" s="452"/>
      <c r="S69" s="452"/>
      <c r="T69" s="158"/>
    </row>
    <row r="70" spans="1:27" ht="12.75" customHeight="1" x14ac:dyDescent="0.2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1">
        <v>2.1400000000000001E-7</v>
      </c>
      <c r="N70" s="451"/>
      <c r="O70" s="452"/>
      <c r="P70" s="452"/>
      <c r="Q70" s="452"/>
      <c r="R70" s="452"/>
      <c r="S70" s="452"/>
      <c r="T70" s="158"/>
    </row>
    <row r="71" spans="1:27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1"/>
      <c r="N71" s="451"/>
      <c r="O71" s="452"/>
      <c r="P71" s="452"/>
      <c r="Q71" s="452"/>
      <c r="R71" s="452"/>
      <c r="S71" s="452"/>
      <c r="T71" s="158"/>
    </row>
    <row r="72" spans="1:27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1"/>
      <c r="N72" s="451"/>
      <c r="O72" s="452"/>
      <c r="P72" s="452"/>
      <c r="Q72" s="452"/>
      <c r="R72" s="452"/>
      <c r="S72" s="452"/>
      <c r="T72" s="158"/>
    </row>
    <row r="73" spans="1:27" ht="12.75" customHeight="1" x14ac:dyDescent="0.2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1"/>
      <c r="N73" s="451"/>
      <c r="O73" s="452"/>
      <c r="P73" s="452"/>
      <c r="Q73" s="452"/>
      <c r="R73" s="452"/>
      <c r="S73" s="452"/>
      <c r="T73" s="158"/>
    </row>
    <row r="74" spans="1:27" ht="12.75" customHeight="1" x14ac:dyDescent="0.2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>
        <v>0.23799999999999999</v>
      </c>
      <c r="M74" s="451">
        <v>2.3799999999999998E-8</v>
      </c>
      <c r="N74" s="451"/>
      <c r="O74" s="452"/>
      <c r="P74" s="452"/>
      <c r="Q74" s="452"/>
      <c r="R74" s="452"/>
      <c r="S74" s="452"/>
      <c r="T74" s="158"/>
    </row>
    <row r="75" spans="1:27" ht="12.75" customHeight="1" x14ac:dyDescent="0.2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>
        <v>0.17</v>
      </c>
      <c r="M75" s="451">
        <v>1.0700000000000001E-7</v>
      </c>
      <c r="N75" s="451"/>
      <c r="O75" s="452"/>
      <c r="P75" s="452"/>
      <c r="Q75" s="452"/>
      <c r="R75" s="452"/>
      <c r="S75" s="452"/>
      <c r="T75" s="158"/>
    </row>
    <row r="76" spans="1:27" ht="12.75" customHeight="1" x14ac:dyDescent="0.2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42"/>
      <c r="N76" s="342"/>
      <c r="O76" s="360"/>
      <c r="P76" s="360"/>
      <c r="Q76" s="360"/>
      <c r="R76" s="360"/>
      <c r="S76" s="360"/>
      <c r="T76" s="158"/>
    </row>
    <row r="77" spans="1:27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 t="s">
        <v>754</v>
      </c>
      <c r="M77" s="614" t="s">
        <v>754</v>
      </c>
      <c r="N77" s="614"/>
      <c r="O77" s="614"/>
      <c r="P77" s="614"/>
      <c r="Q77" s="614"/>
      <c r="R77" s="614"/>
      <c r="S77" s="614"/>
      <c r="T77" s="615"/>
      <c r="U77" s="540"/>
      <c r="V77" s="540"/>
      <c r="W77" s="540"/>
      <c r="X77" s="540"/>
      <c r="Y77" s="540"/>
      <c r="Z77" s="540"/>
      <c r="AA77" s="540"/>
    </row>
    <row r="78" spans="1:27" ht="12.75" customHeight="1" x14ac:dyDescent="0.2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0"/>
      <c r="N78" s="320"/>
      <c r="O78" s="325"/>
      <c r="P78" s="325"/>
      <c r="Q78" s="325"/>
      <c r="R78" s="325"/>
      <c r="S78" s="325"/>
      <c r="T78" s="158"/>
    </row>
    <row r="79" spans="1:27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0"/>
      <c r="N79" s="320"/>
      <c r="O79" s="325"/>
      <c r="P79" s="325"/>
      <c r="Q79" s="325"/>
      <c r="R79" s="325"/>
      <c r="S79" s="325"/>
      <c r="T79" s="158"/>
    </row>
    <row r="80" spans="1:27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1"/>
      <c r="N80" s="451"/>
      <c r="O80" s="452"/>
      <c r="P80" s="452"/>
      <c r="Q80" s="452"/>
      <c r="R80" s="452"/>
      <c r="S80" s="452"/>
      <c r="T80" s="158"/>
    </row>
    <row r="81" spans="1:20" ht="12.75" customHeight="1" x14ac:dyDescent="0.2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1"/>
      <c r="N81" s="451"/>
      <c r="O81" s="452"/>
      <c r="P81" s="452"/>
      <c r="Q81" s="452"/>
      <c r="R81" s="452"/>
      <c r="S81" s="452"/>
      <c r="T81" s="158"/>
    </row>
    <row r="82" spans="1:20" ht="12.75" customHeight="1" x14ac:dyDescent="0.2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1"/>
      <c r="N82" s="451"/>
      <c r="O82" s="452"/>
      <c r="P82" s="452"/>
      <c r="Q82" s="452"/>
      <c r="R82" s="452"/>
      <c r="S82" s="452"/>
      <c r="T82" s="158"/>
    </row>
    <row r="83" spans="1:20" ht="12.75" customHeight="1" x14ac:dyDescent="0.2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1"/>
      <c r="N83" s="451"/>
      <c r="O83" s="452"/>
      <c r="P83" s="452"/>
      <c r="Q83" s="452"/>
      <c r="R83" s="452"/>
      <c r="S83" s="452"/>
      <c r="T83" s="158"/>
    </row>
    <row r="84" spans="1:20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1"/>
      <c r="N84" s="451"/>
      <c r="O84" s="452"/>
      <c r="P84" s="452"/>
      <c r="Q84" s="452"/>
      <c r="R84" s="452"/>
      <c r="S84" s="452"/>
      <c r="T84" s="158"/>
    </row>
    <row r="85" spans="1:20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1"/>
      <c r="N85" s="451"/>
      <c r="O85" s="452"/>
      <c r="P85" s="452"/>
      <c r="Q85" s="452"/>
      <c r="R85" s="452"/>
      <c r="S85" s="452"/>
      <c r="T85" s="158"/>
    </row>
    <row r="86" spans="1:20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1"/>
      <c r="N86" s="451"/>
      <c r="O86" s="452"/>
      <c r="P86" s="452"/>
      <c r="Q86" s="452"/>
      <c r="R86" s="452"/>
      <c r="S86" s="452"/>
      <c r="T86" s="158"/>
    </row>
    <row r="87" spans="1:20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53"/>
      <c r="N87" s="353"/>
      <c r="O87" s="318"/>
      <c r="P87" s="318"/>
      <c r="Q87" s="318"/>
      <c r="R87" s="318"/>
      <c r="S87" s="318"/>
      <c r="T87" s="158"/>
    </row>
    <row r="88" spans="1:20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1"/>
      <c r="N88" s="451"/>
      <c r="O88" s="452"/>
      <c r="P88" s="452"/>
      <c r="Q88" s="452"/>
      <c r="R88" s="452"/>
      <c r="S88" s="452"/>
      <c r="T88" s="158"/>
    </row>
    <row r="89" spans="1:20" ht="12.75" customHeight="1" x14ac:dyDescent="0.2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1"/>
      <c r="N89" s="451"/>
      <c r="O89" s="452"/>
      <c r="P89" s="452"/>
      <c r="Q89" s="452"/>
      <c r="R89" s="452"/>
      <c r="S89" s="452"/>
      <c r="T89" s="158"/>
    </row>
    <row r="90" spans="1:20" ht="12.75" customHeight="1" x14ac:dyDescent="0.2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1"/>
      <c r="N90" s="451"/>
      <c r="O90" s="452"/>
      <c r="P90" s="452"/>
      <c r="Q90" s="452"/>
      <c r="R90" s="452"/>
      <c r="S90" s="452"/>
      <c r="T90" s="158"/>
    </row>
    <row r="91" spans="1:20" ht="12.75" customHeight="1" x14ac:dyDescent="0.2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1"/>
      <c r="N91" s="451"/>
      <c r="O91" s="452"/>
      <c r="P91" s="452"/>
      <c r="Q91" s="452"/>
      <c r="R91" s="452"/>
      <c r="S91" s="452"/>
      <c r="T91" s="158"/>
    </row>
    <row r="92" spans="1:20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1"/>
      <c r="N92" s="451"/>
      <c r="O92" s="452"/>
      <c r="P92" s="452"/>
      <c r="Q92" s="452"/>
      <c r="R92" s="452"/>
      <c r="S92" s="452"/>
      <c r="T92" s="158"/>
    </row>
    <row r="93" spans="1:20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1"/>
      <c r="N93" s="451"/>
      <c r="O93" s="452"/>
      <c r="P93" s="452"/>
      <c r="Q93" s="452"/>
      <c r="R93" s="452"/>
      <c r="S93" s="452"/>
      <c r="T93" s="158"/>
    </row>
    <row r="94" spans="1:20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1"/>
      <c r="N94" s="451"/>
      <c r="O94" s="452"/>
      <c r="P94" s="452"/>
      <c r="Q94" s="452"/>
      <c r="R94" s="452"/>
      <c r="S94" s="452"/>
      <c r="T94" s="158"/>
    </row>
    <row r="95" spans="1:20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0"/>
      <c r="N95" s="320"/>
      <c r="O95" s="325"/>
      <c r="P95" s="325"/>
      <c r="Q95" s="325"/>
      <c r="R95" s="325"/>
      <c r="S95" s="325"/>
      <c r="T95" s="158"/>
    </row>
    <row r="96" spans="1:20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1"/>
      <c r="N96" s="451"/>
      <c r="O96" s="452"/>
      <c r="P96" s="452"/>
      <c r="Q96" s="452"/>
      <c r="R96" s="452"/>
      <c r="S96" s="452"/>
      <c r="T96" s="158"/>
    </row>
    <row r="97" spans="1:20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1"/>
      <c r="N97" s="451"/>
      <c r="O97" s="452"/>
      <c r="P97" s="452"/>
      <c r="Q97" s="452"/>
      <c r="R97" s="452"/>
      <c r="S97" s="452"/>
      <c r="T97" s="158"/>
    </row>
    <row r="98" spans="1:20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1"/>
      <c r="N98" s="451"/>
      <c r="O98" s="452"/>
      <c r="P98" s="452"/>
      <c r="Q98" s="452"/>
      <c r="R98" s="452"/>
      <c r="S98" s="452"/>
      <c r="T98" s="158"/>
    </row>
    <row r="99" spans="1:20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0"/>
      <c r="N99" s="320"/>
      <c r="O99" s="325"/>
      <c r="P99" s="325"/>
      <c r="Q99" s="325"/>
      <c r="R99" s="325"/>
      <c r="S99" s="325"/>
      <c r="T99" s="158"/>
    </row>
    <row r="100" spans="1:20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1"/>
      <c r="N100" s="451"/>
      <c r="O100" s="452"/>
      <c r="P100" s="452"/>
      <c r="Q100" s="452"/>
      <c r="R100" s="452"/>
      <c r="S100" s="452"/>
      <c r="T100" s="158"/>
    </row>
    <row r="101" spans="1:20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1"/>
      <c r="N101" s="451"/>
      <c r="O101" s="452"/>
      <c r="P101" s="452"/>
      <c r="Q101" s="452"/>
      <c r="R101" s="452"/>
      <c r="S101" s="452"/>
      <c r="T101" s="158"/>
    </row>
    <row r="102" spans="1:20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100</v>
      </c>
      <c r="J102" s="451"/>
      <c r="K102" s="451"/>
      <c r="L102" s="451"/>
      <c r="M102" s="451"/>
      <c r="N102" s="451"/>
      <c r="O102" s="452"/>
      <c r="P102" s="452"/>
      <c r="Q102" s="452"/>
      <c r="R102" s="452"/>
      <c r="S102" s="452"/>
      <c r="T102" s="158"/>
    </row>
    <row r="103" spans="1:20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0"/>
      <c r="N103" s="320"/>
      <c r="O103" s="325"/>
      <c r="P103" s="325"/>
      <c r="Q103" s="325"/>
      <c r="R103" s="325"/>
      <c r="S103" s="325"/>
      <c r="T103" s="158"/>
    </row>
    <row r="104" spans="1:20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1"/>
      <c r="N104" s="451"/>
      <c r="O104" s="452"/>
      <c r="P104" s="452"/>
      <c r="Q104" s="452"/>
      <c r="R104" s="452"/>
      <c r="S104" s="452"/>
      <c r="T104" s="158"/>
    </row>
    <row r="105" spans="1:20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1"/>
      <c r="N105" s="451"/>
      <c r="O105" s="452"/>
      <c r="P105" s="452"/>
      <c r="Q105" s="452"/>
      <c r="R105" s="452"/>
      <c r="S105" s="452"/>
      <c r="T105" s="158"/>
    </row>
    <row r="106" spans="1:20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1"/>
      <c r="N106" s="451"/>
      <c r="O106" s="452"/>
      <c r="P106" s="452"/>
      <c r="Q106" s="452"/>
      <c r="R106" s="452"/>
      <c r="S106" s="452"/>
      <c r="T106" s="158"/>
    </row>
    <row r="107" spans="1:20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0"/>
      <c r="N107" s="320"/>
      <c r="O107" s="325"/>
      <c r="P107" s="325"/>
      <c r="Q107" s="325"/>
      <c r="R107" s="325"/>
      <c r="S107" s="325"/>
      <c r="T107" s="158"/>
    </row>
    <row r="108" spans="1:20" ht="12.75" customHeight="1" x14ac:dyDescent="0.2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364" t="s">
        <v>754</v>
      </c>
      <c r="M108" s="364" t="s">
        <v>754</v>
      </c>
      <c r="N108" s="461"/>
      <c r="O108" s="462"/>
      <c r="P108" s="462"/>
      <c r="Q108" s="462"/>
      <c r="R108" s="462"/>
      <c r="S108" s="462"/>
      <c r="T108" s="158"/>
    </row>
    <row r="109" spans="1:20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0"/>
      <c r="N109" s="320"/>
      <c r="O109" s="325"/>
      <c r="P109" s="325"/>
      <c r="Q109" s="325"/>
      <c r="R109" s="325"/>
      <c r="S109" s="325"/>
      <c r="T109" s="158"/>
    </row>
    <row r="110" spans="1:20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339"/>
      <c r="N110" s="339"/>
      <c r="O110" s="282"/>
      <c r="P110" s="282"/>
      <c r="Q110" s="282"/>
      <c r="R110" s="282"/>
      <c r="S110" s="282"/>
      <c r="T110" s="158"/>
    </row>
    <row r="111" spans="1:20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1"/>
      <c r="N111" s="451"/>
      <c r="O111" s="452"/>
      <c r="P111" s="452"/>
      <c r="Q111" s="452"/>
      <c r="R111" s="452"/>
      <c r="S111" s="452"/>
      <c r="T111" s="158"/>
    </row>
    <row r="112" spans="1:20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1"/>
      <c r="N112" s="451"/>
      <c r="O112" s="452"/>
      <c r="P112" s="452"/>
      <c r="Q112" s="452"/>
      <c r="R112" s="452"/>
      <c r="S112" s="452"/>
      <c r="T112" s="158"/>
    </row>
    <row r="113" spans="1:20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/>
      <c r="M113" s="451"/>
      <c r="N113" s="451">
        <v>9.9999999999999995E-21</v>
      </c>
      <c r="O113" s="452"/>
      <c r="P113" s="452">
        <v>9.9999999999999995E-21</v>
      </c>
      <c r="Q113" s="452">
        <v>9.9999999999999995E-21</v>
      </c>
      <c r="R113" s="452">
        <v>9.9999999999999995E-21</v>
      </c>
      <c r="S113" s="452">
        <v>9.9999999999999995E-21</v>
      </c>
      <c r="T113" s="158"/>
    </row>
    <row r="114" spans="1:20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/>
      <c r="M114" s="451"/>
      <c r="N114" s="451">
        <v>0.03</v>
      </c>
      <c r="O114" s="452"/>
      <c r="P114" s="452">
        <v>0.03</v>
      </c>
      <c r="Q114" s="452">
        <v>0.03</v>
      </c>
      <c r="R114" s="452">
        <v>0.03</v>
      </c>
      <c r="S114" s="452">
        <v>0.03</v>
      </c>
      <c r="T114" s="158"/>
    </row>
    <row r="115" spans="1:20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1"/>
      <c r="N115" s="451"/>
      <c r="O115" s="452"/>
      <c r="P115" s="452"/>
      <c r="Q115" s="452"/>
      <c r="R115" s="452"/>
      <c r="S115" s="452"/>
      <c r="T115" s="158"/>
    </row>
    <row r="116" spans="1:20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1"/>
      <c r="N116" s="451"/>
      <c r="O116" s="452"/>
      <c r="P116" s="452"/>
      <c r="Q116" s="452"/>
      <c r="R116" s="452"/>
      <c r="S116" s="452"/>
      <c r="T116" s="158"/>
    </row>
    <row r="117" spans="1:20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1"/>
      <c r="N117" s="451"/>
      <c r="O117" s="452"/>
      <c r="P117" s="452"/>
      <c r="Q117" s="452"/>
      <c r="R117" s="452"/>
      <c r="S117" s="452"/>
      <c r="T117" s="158"/>
    </row>
    <row r="118" spans="1:20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1"/>
      <c r="N118" s="451"/>
      <c r="O118" s="452"/>
      <c r="P118" s="452"/>
      <c r="Q118" s="452"/>
      <c r="R118" s="452"/>
      <c r="S118" s="452"/>
      <c r="T118" s="158"/>
    </row>
    <row r="119" spans="1:20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1"/>
      <c r="N119" s="451"/>
      <c r="O119" s="452"/>
      <c r="P119" s="452"/>
      <c r="Q119" s="452"/>
      <c r="R119" s="452"/>
      <c r="S119" s="452"/>
      <c r="T119" s="158"/>
    </row>
    <row r="120" spans="1:20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1"/>
      <c r="N120" s="451"/>
      <c r="O120" s="452"/>
      <c r="P120" s="452"/>
      <c r="Q120" s="452"/>
      <c r="R120" s="452"/>
      <c r="S120" s="452"/>
      <c r="T120" s="158"/>
    </row>
    <row r="121" spans="1:20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1"/>
      <c r="N121" s="451"/>
      <c r="O121" s="452"/>
      <c r="P121" s="452"/>
      <c r="Q121" s="452"/>
      <c r="R121" s="452"/>
      <c r="S121" s="452"/>
      <c r="T121" s="158"/>
    </row>
    <row r="122" spans="1:20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1"/>
      <c r="N122" s="451"/>
      <c r="O122" s="452"/>
      <c r="P122" s="452"/>
      <c r="Q122" s="452"/>
      <c r="R122" s="452"/>
      <c r="S122" s="452"/>
      <c r="T122" s="158"/>
    </row>
    <row r="123" spans="1:20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1"/>
      <c r="N123" s="451"/>
      <c r="O123" s="452"/>
      <c r="P123" s="452"/>
      <c r="Q123" s="452"/>
      <c r="R123" s="452"/>
      <c r="S123" s="452"/>
      <c r="T123" s="158"/>
    </row>
    <row r="124" spans="1:20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1"/>
      <c r="N124" s="451"/>
      <c r="O124" s="452"/>
      <c r="P124" s="452"/>
      <c r="Q124" s="452"/>
      <c r="R124" s="452"/>
      <c r="S124" s="452"/>
      <c r="T124" s="158"/>
    </row>
    <row r="125" spans="1:20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1"/>
      <c r="N125" s="451"/>
      <c r="O125" s="452"/>
      <c r="P125" s="452"/>
      <c r="Q125" s="452"/>
      <c r="R125" s="452"/>
      <c r="S125" s="452"/>
      <c r="T125" s="158"/>
    </row>
    <row r="126" spans="1:20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1"/>
      <c r="N126" s="451"/>
      <c r="O126" s="452"/>
      <c r="P126" s="452"/>
      <c r="Q126" s="452"/>
      <c r="R126" s="452"/>
      <c r="S126" s="452"/>
      <c r="T126" s="158"/>
    </row>
    <row r="127" spans="1:20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339"/>
      <c r="N127" s="339"/>
      <c r="O127" s="452"/>
      <c r="P127" s="282"/>
      <c r="Q127" s="282"/>
      <c r="R127" s="282"/>
      <c r="S127" s="282"/>
      <c r="T127" s="158"/>
    </row>
    <row r="128" spans="1:20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29"/>
      <c r="N128" s="29"/>
      <c r="O128" s="452"/>
      <c r="P128" s="282"/>
      <c r="Q128" s="282"/>
      <c r="R128" s="282"/>
      <c r="S128" s="282"/>
      <c r="T128" s="158"/>
    </row>
    <row r="129" spans="1:20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1"/>
      <c r="N129" s="451"/>
      <c r="O129" s="452"/>
      <c r="P129" s="452"/>
      <c r="Q129" s="452"/>
      <c r="R129" s="452"/>
      <c r="S129" s="452"/>
      <c r="T129" s="158"/>
    </row>
    <row r="130" spans="1:20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1"/>
      <c r="N130" s="451"/>
      <c r="O130" s="452"/>
      <c r="P130" s="452"/>
      <c r="Q130" s="452"/>
      <c r="R130" s="452"/>
      <c r="S130" s="452"/>
      <c r="T130" s="158"/>
    </row>
    <row r="131" spans="1:20" ht="12.75" customHeight="1" x14ac:dyDescent="0.2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/>
      <c r="M131" s="451"/>
      <c r="N131" s="451">
        <v>9.9999999999999995E-21</v>
      </c>
      <c r="O131" s="452"/>
      <c r="P131" s="452">
        <v>9.9999999999999995E-21</v>
      </c>
      <c r="Q131" s="452">
        <v>9.9999999999999995E-21</v>
      </c>
      <c r="R131" s="452">
        <v>9.9999999999999995E-21</v>
      </c>
      <c r="S131" s="452">
        <v>9.9999999999999995E-21</v>
      </c>
      <c r="T131" s="158"/>
    </row>
    <row r="132" spans="1:20" ht="12.75" customHeight="1" x14ac:dyDescent="0.2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/>
      <c r="M132" s="451"/>
      <c r="N132" s="451">
        <v>0.03</v>
      </c>
      <c r="O132" s="452"/>
      <c r="P132" s="452">
        <v>0.03</v>
      </c>
      <c r="Q132" s="452">
        <v>0.03</v>
      </c>
      <c r="R132" s="452">
        <v>0.03</v>
      </c>
      <c r="S132" s="452">
        <v>0.03</v>
      </c>
      <c r="T132" s="158"/>
    </row>
    <row r="133" spans="1:20" ht="12.75" customHeight="1" x14ac:dyDescent="0.2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1"/>
      <c r="N133" s="451"/>
      <c r="O133" s="452"/>
      <c r="P133" s="452"/>
      <c r="Q133" s="452"/>
      <c r="R133" s="452"/>
      <c r="S133" s="452"/>
      <c r="T133" s="158"/>
    </row>
    <row r="134" spans="1:20" ht="12.75" customHeight="1" x14ac:dyDescent="0.2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1"/>
      <c r="N134" s="451"/>
      <c r="O134" s="452"/>
      <c r="P134" s="452"/>
      <c r="Q134" s="452"/>
      <c r="R134" s="452"/>
      <c r="S134" s="452"/>
      <c r="T134" s="158"/>
    </row>
    <row r="135" spans="1:20" ht="12.75" customHeight="1" x14ac:dyDescent="0.2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1"/>
      <c r="N135" s="451"/>
      <c r="O135" s="452"/>
      <c r="P135" s="452"/>
      <c r="Q135" s="452"/>
      <c r="R135" s="452"/>
      <c r="S135" s="452"/>
      <c r="T135" s="158"/>
    </row>
    <row r="136" spans="1:20" ht="12.75" customHeight="1" x14ac:dyDescent="0.2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1"/>
      <c r="N136" s="451"/>
      <c r="O136" s="452"/>
      <c r="P136" s="452"/>
      <c r="Q136" s="452"/>
      <c r="R136" s="452"/>
      <c r="S136" s="452"/>
      <c r="T136" s="158"/>
    </row>
    <row r="137" spans="1:20" ht="12.75" customHeight="1" x14ac:dyDescent="0.2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1"/>
      <c r="N137" s="451"/>
      <c r="O137" s="452"/>
      <c r="P137" s="452"/>
      <c r="Q137" s="452"/>
      <c r="R137" s="452"/>
      <c r="S137" s="452"/>
      <c r="T137" s="158"/>
    </row>
    <row r="138" spans="1:20" ht="12.75" customHeight="1" x14ac:dyDescent="0.2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1"/>
      <c r="N138" s="451"/>
      <c r="O138" s="452"/>
      <c r="P138" s="452"/>
      <c r="Q138" s="452"/>
      <c r="R138" s="452"/>
      <c r="S138" s="452"/>
      <c r="T138" s="158"/>
    </row>
    <row r="139" spans="1:20" ht="12.75" customHeight="1" x14ac:dyDescent="0.2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1"/>
      <c r="N139" s="451"/>
      <c r="O139" s="452"/>
      <c r="P139" s="452"/>
      <c r="Q139" s="452"/>
      <c r="R139" s="452"/>
      <c r="S139" s="452"/>
      <c r="T139" s="158"/>
    </row>
    <row r="140" spans="1:20" ht="12.75" customHeight="1" x14ac:dyDescent="0.2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1"/>
      <c r="N140" s="451"/>
      <c r="O140" s="452"/>
      <c r="P140" s="452"/>
      <c r="Q140" s="452"/>
      <c r="R140" s="452"/>
      <c r="S140" s="452"/>
      <c r="T140" s="158"/>
    </row>
    <row r="141" spans="1:20" ht="12.75" customHeight="1" x14ac:dyDescent="0.2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1"/>
      <c r="N141" s="451"/>
      <c r="O141" s="452"/>
      <c r="P141" s="452"/>
      <c r="Q141" s="452"/>
      <c r="R141" s="452"/>
      <c r="S141" s="452"/>
      <c r="T141" s="158"/>
    </row>
    <row r="142" spans="1:20" ht="12.75" customHeight="1" x14ac:dyDescent="0.2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1"/>
      <c r="N142" s="451"/>
      <c r="O142" s="452"/>
      <c r="P142" s="452"/>
      <c r="Q142" s="452"/>
      <c r="R142" s="452"/>
      <c r="S142" s="452"/>
      <c r="T142" s="158"/>
    </row>
    <row r="143" spans="1:20" ht="12.75" customHeight="1" x14ac:dyDescent="0.2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1"/>
      <c r="N143" s="451"/>
      <c r="O143" s="452"/>
      <c r="P143" s="452"/>
      <c r="Q143" s="452"/>
      <c r="R143" s="452"/>
      <c r="S143" s="452"/>
      <c r="T143" s="158"/>
    </row>
    <row r="144" spans="1:20" ht="12.75" customHeight="1" x14ac:dyDescent="0.2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1"/>
      <c r="N144" s="451"/>
      <c r="O144" s="452"/>
      <c r="P144" s="452"/>
      <c r="Q144" s="452"/>
      <c r="R144" s="452"/>
      <c r="S144" s="452"/>
      <c r="T144" s="158"/>
    </row>
    <row r="145" spans="1:20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339"/>
      <c r="N145" s="339"/>
      <c r="O145" s="282"/>
      <c r="P145" s="282"/>
      <c r="Q145" s="282"/>
      <c r="R145" s="282"/>
      <c r="S145" s="282"/>
      <c r="T145" s="158"/>
    </row>
    <row r="146" spans="1:20" ht="12.75" customHeight="1" x14ac:dyDescent="0.2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53"/>
      <c r="N146" s="353"/>
      <c r="O146" s="318"/>
      <c r="P146" s="318"/>
      <c r="Q146" s="318"/>
      <c r="R146" s="318"/>
      <c r="S146" s="318"/>
      <c r="T146" s="158"/>
    </row>
    <row r="147" spans="1:20" ht="12.75" customHeight="1" x14ac:dyDescent="0.2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1"/>
      <c r="N147" s="451"/>
      <c r="O147" s="452"/>
      <c r="P147" s="452"/>
      <c r="Q147" s="452"/>
      <c r="R147" s="452"/>
      <c r="S147" s="452"/>
      <c r="T147" s="158"/>
    </row>
    <row r="148" spans="1:20" ht="12.75" customHeight="1" x14ac:dyDescent="0.2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1"/>
      <c r="N148" s="451"/>
      <c r="O148" s="452"/>
      <c r="P148" s="452"/>
      <c r="Q148" s="452"/>
      <c r="R148" s="452"/>
      <c r="S148" s="452"/>
      <c r="T148" s="158"/>
    </row>
    <row r="149" spans="1:20" ht="12.75" customHeight="1" x14ac:dyDescent="0.2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1"/>
      <c r="N149" s="451"/>
      <c r="O149" s="452"/>
      <c r="P149" s="452"/>
      <c r="Q149" s="452"/>
      <c r="R149" s="452"/>
      <c r="S149" s="452"/>
      <c r="T149" s="158"/>
    </row>
    <row r="150" spans="1:20" ht="12.75" customHeight="1" x14ac:dyDescent="0.2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1"/>
      <c r="N150" s="451"/>
      <c r="O150" s="452"/>
      <c r="P150" s="452"/>
      <c r="Q150" s="452"/>
      <c r="R150" s="452"/>
      <c r="S150" s="452"/>
      <c r="T150" s="158"/>
    </row>
    <row r="151" spans="1:20" ht="12.75" customHeight="1" x14ac:dyDescent="0.2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1"/>
      <c r="N151" s="451"/>
      <c r="O151" s="452"/>
      <c r="P151" s="452"/>
      <c r="Q151" s="452"/>
      <c r="R151" s="452"/>
      <c r="S151" s="452"/>
      <c r="T151" s="158"/>
    </row>
    <row r="152" spans="1:20" ht="12.75" customHeight="1" x14ac:dyDescent="0.2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1"/>
      <c r="N152" s="451"/>
      <c r="O152" s="452"/>
      <c r="P152" s="452"/>
      <c r="Q152" s="452"/>
      <c r="R152" s="452"/>
      <c r="S152" s="452"/>
      <c r="T152" s="158"/>
    </row>
    <row r="153" spans="1:20" ht="12.75" customHeight="1" x14ac:dyDescent="0.2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1"/>
      <c r="N153" s="451"/>
      <c r="O153" s="452"/>
      <c r="P153" s="452"/>
      <c r="Q153" s="452"/>
      <c r="R153" s="452"/>
      <c r="S153" s="452"/>
      <c r="T153" s="158"/>
    </row>
    <row r="154" spans="1:20" ht="12.75" customHeight="1" x14ac:dyDescent="0.2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1"/>
      <c r="N154" s="451"/>
      <c r="O154" s="452"/>
      <c r="P154" s="452"/>
      <c r="Q154" s="452"/>
      <c r="R154" s="452"/>
      <c r="S154" s="452"/>
      <c r="T154" s="158"/>
    </row>
    <row r="155" spans="1:20" ht="12.75" customHeight="1" x14ac:dyDescent="0.2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1"/>
      <c r="N155" s="451"/>
      <c r="O155" s="452"/>
      <c r="P155" s="452"/>
      <c r="Q155" s="452"/>
      <c r="R155" s="452"/>
      <c r="S155" s="452"/>
      <c r="T155" s="158"/>
    </row>
    <row r="156" spans="1:20" ht="12.75" customHeight="1" x14ac:dyDescent="0.2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1"/>
      <c r="N156" s="451"/>
      <c r="O156" s="452"/>
      <c r="P156" s="452"/>
      <c r="Q156" s="452"/>
      <c r="R156" s="452"/>
      <c r="S156" s="452"/>
      <c r="T156" s="158"/>
    </row>
    <row r="157" spans="1:20" ht="12.75" customHeight="1" x14ac:dyDescent="0.2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1"/>
      <c r="N157" s="451"/>
      <c r="O157" s="452"/>
      <c r="P157" s="452"/>
      <c r="Q157" s="452"/>
      <c r="R157" s="452"/>
      <c r="S157" s="452"/>
      <c r="T157" s="158"/>
    </row>
    <row r="158" spans="1:20" ht="12.75" customHeight="1" x14ac:dyDescent="0.2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1"/>
      <c r="N158" s="451"/>
      <c r="O158" s="452"/>
      <c r="P158" s="452"/>
      <c r="Q158" s="452"/>
      <c r="R158" s="452"/>
      <c r="S158" s="452"/>
      <c r="T158" s="158"/>
    </row>
    <row r="159" spans="1:20" ht="12.75" customHeight="1" x14ac:dyDescent="0.2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322"/>
      <c r="N159" s="322"/>
      <c r="O159" s="463"/>
      <c r="P159" s="463"/>
      <c r="Q159" s="463"/>
      <c r="R159" s="463"/>
      <c r="S159" s="463"/>
      <c r="T159" s="158"/>
    </row>
    <row r="160" spans="1:20" ht="12.75" customHeight="1" x14ac:dyDescent="0.2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0"/>
      <c r="N160" s="320"/>
      <c r="O160" s="325"/>
      <c r="P160" s="325"/>
      <c r="Q160" s="325"/>
      <c r="R160" s="325"/>
      <c r="S160" s="325"/>
      <c r="T160" s="158"/>
    </row>
    <row r="161" spans="1:20" ht="12.75" customHeight="1" x14ac:dyDescent="0.2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0"/>
      <c r="N161" s="320"/>
      <c r="O161" s="325"/>
      <c r="P161" s="325"/>
      <c r="Q161" s="325"/>
      <c r="R161" s="325"/>
      <c r="S161" s="325"/>
      <c r="T161" s="158"/>
    </row>
    <row r="162" spans="1:20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0"/>
      <c r="N162" s="320"/>
      <c r="O162" s="325"/>
      <c r="P162" s="325"/>
      <c r="Q162" s="325"/>
      <c r="R162" s="325"/>
      <c r="S162" s="325"/>
      <c r="T162" s="158"/>
    </row>
    <row r="163" spans="1:20" ht="12.75" customHeight="1" x14ac:dyDescent="0.2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4"/>
      <c r="N163" s="464"/>
      <c r="O163" s="465"/>
      <c r="P163" s="465"/>
      <c r="Q163" s="465"/>
      <c r="R163" s="465"/>
      <c r="S163" s="465"/>
      <c r="T163" s="158"/>
    </row>
    <row r="164" spans="1:20" ht="12.75" customHeight="1" x14ac:dyDescent="0.2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6"/>
      <c r="N164" s="466"/>
      <c r="O164" s="467"/>
      <c r="P164" s="467"/>
      <c r="Q164" s="467"/>
      <c r="R164" s="467"/>
      <c r="S164" s="467"/>
      <c r="T164" s="158"/>
    </row>
    <row r="165" spans="1:20" ht="12.75" customHeight="1" x14ac:dyDescent="0.2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68"/>
      <c r="M165" s="468"/>
      <c r="N165" s="451"/>
      <c r="O165" s="452"/>
      <c r="P165" s="452"/>
      <c r="Q165" s="452"/>
      <c r="R165" s="452"/>
      <c r="S165" s="452"/>
      <c r="T165" s="158"/>
    </row>
    <row r="166" spans="1:20" ht="12.75" customHeight="1" x14ac:dyDescent="0.2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68"/>
      <c r="M166" s="468"/>
      <c r="N166" s="451"/>
      <c r="O166" s="452"/>
      <c r="P166" s="452"/>
      <c r="Q166" s="452"/>
      <c r="R166" s="452"/>
      <c r="S166" s="452"/>
      <c r="T166" s="158"/>
    </row>
    <row r="167" spans="1:20" ht="12.75" customHeight="1" x14ac:dyDescent="0.2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68"/>
      <c r="M167" s="468"/>
      <c r="N167" s="451"/>
      <c r="O167" s="452"/>
      <c r="P167" s="452"/>
      <c r="Q167" s="452"/>
      <c r="R167" s="452"/>
      <c r="S167" s="452"/>
      <c r="T167" s="158"/>
    </row>
    <row r="168" spans="1:20" ht="12.75" customHeight="1" x14ac:dyDescent="0.2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68"/>
      <c r="M168" s="468"/>
      <c r="N168" s="451"/>
      <c r="O168" s="452"/>
      <c r="P168" s="452"/>
      <c r="Q168" s="452"/>
      <c r="R168" s="452"/>
      <c r="S168" s="452"/>
      <c r="T168" s="158"/>
    </row>
    <row r="169" spans="1:20" ht="12.75" customHeight="1" x14ac:dyDescent="0.2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68"/>
      <c r="M169" s="468"/>
      <c r="N169" s="451"/>
      <c r="O169" s="452"/>
      <c r="P169" s="452"/>
      <c r="Q169" s="452"/>
      <c r="R169" s="452"/>
      <c r="S169" s="452"/>
      <c r="T169" s="158"/>
    </row>
    <row r="170" spans="1:20" ht="12.75" customHeight="1" x14ac:dyDescent="0.2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68"/>
      <c r="M170" s="468"/>
      <c r="N170" s="451"/>
      <c r="O170" s="452"/>
      <c r="P170" s="452"/>
      <c r="Q170" s="452"/>
      <c r="R170" s="452"/>
      <c r="S170" s="452"/>
      <c r="T170" s="158"/>
    </row>
    <row r="171" spans="1:20" ht="12.75" customHeight="1" x14ac:dyDescent="0.2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68"/>
      <c r="M171" s="468"/>
      <c r="N171" s="451"/>
      <c r="O171" s="452"/>
      <c r="P171" s="452"/>
      <c r="Q171" s="452"/>
      <c r="R171" s="452"/>
      <c r="S171" s="452"/>
      <c r="T171" s="158"/>
    </row>
    <row r="172" spans="1:20" ht="12.75" customHeight="1" x14ac:dyDescent="0.2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68"/>
      <c r="M172" s="468"/>
      <c r="N172" s="451"/>
      <c r="O172" s="452"/>
      <c r="P172" s="452"/>
      <c r="Q172" s="452"/>
      <c r="R172" s="452"/>
      <c r="S172" s="452"/>
      <c r="T172" s="158"/>
    </row>
    <row r="173" spans="1:20" ht="12.75" customHeight="1" x14ac:dyDescent="0.2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68"/>
      <c r="M173" s="468"/>
      <c r="N173" s="451"/>
      <c r="O173" s="452"/>
      <c r="P173" s="452"/>
      <c r="Q173" s="452"/>
      <c r="R173" s="452"/>
      <c r="S173" s="452"/>
      <c r="T173" s="158"/>
    </row>
    <row r="174" spans="1:20" ht="12.75" customHeight="1" x14ac:dyDescent="0.2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68"/>
      <c r="M174" s="468"/>
      <c r="N174" s="451"/>
      <c r="O174" s="452"/>
      <c r="P174" s="452"/>
      <c r="Q174" s="452"/>
      <c r="R174" s="452"/>
      <c r="S174" s="452"/>
      <c r="T174" s="158"/>
    </row>
    <row r="175" spans="1:20" ht="12.75" customHeight="1" x14ac:dyDescent="0.2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68"/>
      <c r="M175" s="468"/>
      <c r="N175" s="451"/>
      <c r="O175" s="452"/>
      <c r="P175" s="452"/>
      <c r="Q175" s="452"/>
      <c r="R175" s="452"/>
      <c r="S175" s="452"/>
      <c r="T175" s="158"/>
    </row>
    <row r="176" spans="1:20" ht="12.75" customHeight="1" x14ac:dyDescent="0.2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68"/>
      <c r="M176" s="468"/>
      <c r="N176" s="451"/>
      <c r="O176" s="452"/>
      <c r="P176" s="452"/>
      <c r="Q176" s="452"/>
      <c r="R176" s="452"/>
      <c r="S176" s="452"/>
      <c r="T176" s="158"/>
    </row>
    <row r="177" spans="1:20" ht="12.75" customHeight="1" x14ac:dyDescent="0.2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68"/>
      <c r="M177" s="468"/>
      <c r="N177" s="451"/>
      <c r="O177" s="452"/>
      <c r="P177" s="452"/>
      <c r="Q177" s="452"/>
      <c r="R177" s="452"/>
      <c r="S177" s="452"/>
      <c r="T177" s="158"/>
    </row>
    <row r="178" spans="1:20" ht="12.75" customHeight="1" x14ac:dyDescent="0.2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68"/>
      <c r="M178" s="468"/>
      <c r="N178" s="451"/>
      <c r="O178" s="452"/>
      <c r="P178" s="452"/>
      <c r="Q178" s="452"/>
      <c r="R178" s="452"/>
      <c r="S178" s="452"/>
      <c r="T178" s="158"/>
    </row>
    <row r="179" spans="1:20" ht="12.75" customHeight="1" x14ac:dyDescent="0.2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68"/>
      <c r="M179" s="468"/>
      <c r="N179" s="451"/>
      <c r="O179" s="452"/>
      <c r="P179" s="452"/>
      <c r="Q179" s="452"/>
      <c r="R179" s="452"/>
      <c r="S179" s="452"/>
      <c r="T179" s="158"/>
    </row>
    <row r="180" spans="1:20" ht="12.75" customHeight="1" x14ac:dyDescent="0.2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68"/>
      <c r="M180" s="468"/>
      <c r="N180" s="451"/>
      <c r="O180" s="452"/>
      <c r="P180" s="452"/>
      <c r="Q180" s="452"/>
      <c r="R180" s="452"/>
      <c r="S180" s="452"/>
      <c r="T180" s="158"/>
    </row>
    <row r="181" spans="1:20" ht="12.75" customHeight="1" x14ac:dyDescent="0.2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68"/>
      <c r="M181" s="468"/>
      <c r="N181" s="451"/>
      <c r="O181" s="452"/>
      <c r="P181" s="452"/>
      <c r="Q181" s="452"/>
      <c r="R181" s="452"/>
      <c r="S181" s="452"/>
      <c r="T181" s="158"/>
    </row>
    <row r="182" spans="1:20" ht="12.75" customHeight="1" x14ac:dyDescent="0.2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68"/>
      <c r="M182" s="468"/>
      <c r="N182" s="451"/>
      <c r="O182" s="452"/>
      <c r="P182" s="452"/>
      <c r="Q182" s="452"/>
      <c r="R182" s="452"/>
      <c r="S182" s="452"/>
      <c r="T182" s="158"/>
    </row>
    <row r="183" spans="1:20" ht="12.75" customHeight="1" x14ac:dyDescent="0.2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68"/>
      <c r="M183" s="468"/>
      <c r="N183" s="451"/>
      <c r="O183" s="452"/>
      <c r="P183" s="452"/>
      <c r="Q183" s="452"/>
      <c r="R183" s="452"/>
      <c r="S183" s="452"/>
      <c r="T183" s="158"/>
    </row>
    <row r="184" spans="1:20" ht="12.75" customHeight="1" x14ac:dyDescent="0.2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68"/>
      <c r="M184" s="468"/>
      <c r="N184" s="451"/>
      <c r="O184" s="452"/>
      <c r="P184" s="452"/>
      <c r="Q184" s="452"/>
      <c r="R184" s="452"/>
      <c r="S184" s="452"/>
      <c r="T184" s="158"/>
    </row>
    <row r="185" spans="1:20" ht="12.75" customHeight="1" x14ac:dyDescent="0.2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68"/>
      <c r="M185" s="468"/>
      <c r="N185" s="451"/>
      <c r="O185" s="452"/>
      <c r="P185" s="452"/>
      <c r="Q185" s="452"/>
      <c r="R185" s="452"/>
      <c r="S185" s="452"/>
      <c r="T185" s="158"/>
    </row>
    <row r="186" spans="1:20" ht="12.75" customHeight="1" x14ac:dyDescent="0.2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68"/>
      <c r="M186" s="468"/>
      <c r="N186" s="451"/>
      <c r="O186" s="452"/>
      <c r="P186" s="452"/>
      <c r="Q186" s="452"/>
      <c r="R186" s="452"/>
      <c r="S186" s="452"/>
      <c r="T186" s="158"/>
    </row>
    <row r="187" spans="1:20" ht="12.75" customHeight="1" x14ac:dyDescent="0.2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68"/>
      <c r="M187" s="468"/>
      <c r="N187" s="451"/>
      <c r="O187" s="452"/>
      <c r="P187" s="452"/>
      <c r="Q187" s="452"/>
      <c r="R187" s="452"/>
      <c r="S187" s="452"/>
      <c r="T187" s="158"/>
    </row>
    <row r="188" spans="1:20" ht="12.75" customHeight="1" x14ac:dyDescent="0.2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68"/>
      <c r="M188" s="468"/>
      <c r="N188" s="451"/>
      <c r="O188" s="452"/>
      <c r="P188" s="452"/>
      <c r="Q188" s="452"/>
      <c r="R188" s="452"/>
      <c r="S188" s="452"/>
      <c r="T188" s="158"/>
    </row>
    <row r="189" spans="1:20" ht="12.75" customHeight="1" x14ac:dyDescent="0.2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68"/>
      <c r="M189" s="468"/>
      <c r="N189" s="451"/>
      <c r="O189" s="452"/>
      <c r="P189" s="452"/>
      <c r="Q189" s="452"/>
      <c r="R189" s="452"/>
      <c r="S189" s="452"/>
      <c r="T189" s="158"/>
    </row>
    <row r="190" spans="1:20" ht="12.75" customHeight="1" x14ac:dyDescent="0.2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68"/>
      <c r="M190" s="468"/>
      <c r="N190" s="451">
        <v>4.9999999999999995E-11</v>
      </c>
      <c r="O190" s="452">
        <v>4.9999999999999995E-11</v>
      </c>
      <c r="P190" s="452">
        <v>4.9999999999999995E-11</v>
      </c>
      <c r="Q190" s="452">
        <v>4.9999999999999995E-11</v>
      </c>
      <c r="R190" s="452">
        <v>4.9999999999999995E-11</v>
      </c>
      <c r="S190" s="452"/>
      <c r="T190" s="158"/>
    </row>
    <row r="191" spans="1:20" ht="12.75" customHeight="1" x14ac:dyDescent="0.2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68"/>
      <c r="M191" s="468"/>
      <c r="N191" s="451">
        <v>9.9999999999999995E-21</v>
      </c>
      <c r="O191" s="452">
        <v>9.9999999999999995E-21</v>
      </c>
      <c r="P191" s="452">
        <v>9.9999999999999995E-21</v>
      </c>
      <c r="Q191" s="452">
        <v>9.9999999999999995E-21</v>
      </c>
      <c r="R191" s="452">
        <v>9.9999999999999995E-21</v>
      </c>
      <c r="S191" s="452"/>
      <c r="T191" s="158"/>
    </row>
    <row r="192" spans="1:20" ht="12.75" customHeight="1" x14ac:dyDescent="0.2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68"/>
      <c r="M192" s="468"/>
      <c r="N192" s="451"/>
      <c r="O192" s="452"/>
      <c r="P192" s="452"/>
      <c r="Q192" s="452"/>
      <c r="R192" s="452"/>
      <c r="S192" s="452"/>
      <c r="T192" s="158"/>
    </row>
    <row r="193" spans="1:20" ht="12.75" customHeight="1" x14ac:dyDescent="0.2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68"/>
      <c r="M193" s="468"/>
      <c r="N193" s="451"/>
      <c r="O193" s="452"/>
      <c r="P193" s="452"/>
      <c r="Q193" s="452"/>
      <c r="R193" s="452"/>
      <c r="S193" s="452"/>
      <c r="T193" s="158"/>
    </row>
    <row r="194" spans="1:20" ht="12.75" customHeight="1" x14ac:dyDescent="0.2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68"/>
      <c r="M194" s="468"/>
      <c r="N194" s="451"/>
      <c r="O194" s="452"/>
      <c r="P194" s="452"/>
      <c r="Q194" s="452"/>
      <c r="R194" s="452"/>
      <c r="S194" s="452"/>
      <c r="T194" s="158"/>
    </row>
    <row r="195" spans="1:20" ht="12.75" customHeight="1" x14ac:dyDescent="0.2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68"/>
      <c r="M195" s="468"/>
      <c r="N195" s="451"/>
      <c r="O195" s="452"/>
      <c r="P195" s="452"/>
      <c r="Q195" s="452"/>
      <c r="R195" s="452"/>
      <c r="S195" s="452"/>
      <c r="T195" s="158"/>
    </row>
    <row r="196" spans="1:20" ht="12.75" customHeight="1" x14ac:dyDescent="0.2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68"/>
      <c r="M196" s="468"/>
      <c r="N196" s="451"/>
      <c r="O196" s="452"/>
      <c r="P196" s="452"/>
      <c r="Q196" s="452"/>
      <c r="R196" s="452"/>
      <c r="S196" s="452"/>
      <c r="T196" s="158"/>
    </row>
    <row r="197" spans="1:20" ht="12.75" customHeight="1" x14ac:dyDescent="0.2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68"/>
      <c r="M197" s="468"/>
      <c r="N197" s="451"/>
      <c r="O197" s="452"/>
      <c r="P197" s="452"/>
      <c r="Q197" s="452"/>
      <c r="R197" s="452"/>
      <c r="S197" s="452"/>
      <c r="T197" s="158"/>
    </row>
    <row r="198" spans="1:20" ht="12.75" customHeight="1" x14ac:dyDescent="0.2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68"/>
      <c r="M198" s="468"/>
      <c r="N198" s="451"/>
      <c r="O198" s="452"/>
      <c r="P198" s="452"/>
      <c r="Q198" s="452"/>
      <c r="R198" s="452"/>
      <c r="S198" s="452"/>
      <c r="T198" s="158"/>
    </row>
    <row r="199" spans="1:20" ht="12.75" customHeight="1" x14ac:dyDescent="0.2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68"/>
      <c r="M199" s="468"/>
      <c r="N199" s="451"/>
      <c r="O199" s="452"/>
      <c r="P199" s="452"/>
      <c r="Q199" s="452"/>
      <c r="R199" s="452"/>
      <c r="S199" s="452"/>
      <c r="T199" s="158"/>
    </row>
    <row r="200" spans="1:20" ht="12.75" customHeight="1" x14ac:dyDescent="0.2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68"/>
      <c r="M200" s="468"/>
      <c r="N200" s="451"/>
      <c r="O200" s="452"/>
      <c r="P200" s="452"/>
      <c r="Q200" s="452"/>
      <c r="R200" s="452"/>
      <c r="S200" s="452"/>
      <c r="T200" s="158"/>
    </row>
    <row r="201" spans="1:20" ht="12.75" customHeight="1" x14ac:dyDescent="0.2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68"/>
      <c r="M201" s="468"/>
      <c r="N201" s="451"/>
      <c r="O201" s="452"/>
      <c r="P201" s="452"/>
      <c r="Q201" s="452"/>
      <c r="R201" s="452"/>
      <c r="S201" s="452"/>
      <c r="T201" s="158"/>
    </row>
    <row r="202" spans="1:20" ht="12.75" customHeight="1" x14ac:dyDescent="0.2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68"/>
      <c r="M202" s="468"/>
      <c r="N202" s="451"/>
      <c r="O202" s="452"/>
      <c r="P202" s="452"/>
      <c r="Q202" s="452"/>
      <c r="R202" s="452"/>
      <c r="S202" s="452"/>
      <c r="T202" s="158"/>
    </row>
    <row r="203" spans="1:20" ht="12.75" customHeight="1" x14ac:dyDescent="0.2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320"/>
      <c r="M203" s="320"/>
      <c r="N203" s="451"/>
      <c r="O203" s="325"/>
      <c r="P203" s="325"/>
      <c r="Q203" s="325"/>
      <c r="R203" s="325"/>
      <c r="S203" s="325"/>
      <c r="T203" s="158"/>
    </row>
    <row r="204" spans="1:20" ht="12.75" customHeight="1" x14ac:dyDescent="0.2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68"/>
      <c r="M204" s="468"/>
      <c r="N204" s="451"/>
      <c r="O204" s="452"/>
      <c r="P204" s="452"/>
      <c r="Q204" s="452"/>
      <c r="R204" s="452"/>
      <c r="S204" s="452"/>
      <c r="T204" s="158"/>
    </row>
    <row r="205" spans="1:20" ht="12.75" customHeight="1" x14ac:dyDescent="0.2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68"/>
      <c r="M205" s="468"/>
      <c r="N205" s="451"/>
      <c r="O205" s="452"/>
      <c r="P205" s="452"/>
      <c r="Q205" s="452"/>
      <c r="R205" s="452"/>
      <c r="S205" s="452"/>
      <c r="T205" s="158"/>
    </row>
    <row r="206" spans="1:20" ht="12.75" customHeight="1" x14ac:dyDescent="0.2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0"/>
      <c r="N206" s="320"/>
      <c r="O206" s="325"/>
      <c r="P206" s="325"/>
      <c r="Q206" s="325"/>
      <c r="R206" s="325"/>
      <c r="S206" s="325"/>
      <c r="T206" s="158"/>
    </row>
    <row r="207" spans="1:20" ht="12.75" customHeight="1" x14ac:dyDescent="0.2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68"/>
      <c r="M207" s="468"/>
      <c r="N207" s="451"/>
      <c r="O207" s="469"/>
      <c r="P207" s="469"/>
      <c r="Q207" s="469"/>
      <c r="R207" s="469"/>
      <c r="S207" s="469"/>
      <c r="T207" s="158"/>
    </row>
    <row r="208" spans="1:20" ht="12.75" customHeight="1" x14ac:dyDescent="0.2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68"/>
      <c r="M208" s="468"/>
      <c r="N208" s="451"/>
      <c r="O208" s="469"/>
      <c r="P208" s="469"/>
      <c r="Q208" s="469"/>
      <c r="R208" s="469"/>
      <c r="S208" s="469"/>
      <c r="T208" s="158"/>
    </row>
    <row r="209" spans="1:20" ht="12.75" customHeight="1" x14ac:dyDescent="0.2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68"/>
      <c r="M209" s="468"/>
      <c r="N209" s="451"/>
      <c r="O209" s="469"/>
      <c r="P209" s="469"/>
      <c r="Q209" s="469"/>
      <c r="R209" s="469"/>
      <c r="S209" s="469"/>
      <c r="T209" s="158"/>
    </row>
    <row r="210" spans="1:20" ht="12.75" customHeight="1" x14ac:dyDescent="0.2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68"/>
      <c r="M210" s="468"/>
      <c r="N210" s="451"/>
      <c r="O210" s="469"/>
      <c r="P210" s="469"/>
      <c r="Q210" s="469"/>
      <c r="R210" s="469"/>
      <c r="S210" s="469"/>
      <c r="T210" s="158"/>
    </row>
    <row r="211" spans="1:20" ht="12.75" customHeight="1" x14ac:dyDescent="0.2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68"/>
      <c r="M211" s="468"/>
      <c r="N211" s="451"/>
      <c r="O211" s="452"/>
      <c r="P211" s="452"/>
      <c r="Q211" s="452"/>
      <c r="R211" s="452"/>
      <c r="S211" s="452"/>
      <c r="T211" s="158"/>
    </row>
    <row r="212" spans="1:20" ht="12.75" customHeight="1" x14ac:dyDescent="0.2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68"/>
      <c r="M212" s="468"/>
      <c r="N212" s="451"/>
      <c r="O212" s="452"/>
      <c r="P212" s="452"/>
      <c r="Q212" s="452"/>
      <c r="R212" s="452"/>
      <c r="S212" s="452"/>
      <c r="T212" s="158"/>
    </row>
    <row r="213" spans="1:20" ht="12.75" customHeight="1" x14ac:dyDescent="0.2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68"/>
      <c r="M213" s="468"/>
      <c r="N213" s="451"/>
      <c r="O213" s="452"/>
      <c r="P213" s="452"/>
      <c r="Q213" s="452"/>
      <c r="R213" s="452"/>
      <c r="S213" s="452"/>
      <c r="T213" s="158"/>
    </row>
    <row r="214" spans="1:20" ht="12.75" customHeight="1" x14ac:dyDescent="0.2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68"/>
      <c r="M214" s="468"/>
      <c r="N214" s="451"/>
      <c r="O214" s="452"/>
      <c r="P214" s="452"/>
      <c r="Q214" s="452"/>
      <c r="R214" s="452"/>
      <c r="S214" s="452"/>
      <c r="T214" s="158"/>
    </row>
    <row r="215" spans="1:20" ht="12.75" customHeight="1" x14ac:dyDescent="0.2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68"/>
      <c r="M215" s="468"/>
      <c r="N215" s="451"/>
      <c r="O215" s="452"/>
      <c r="P215" s="452"/>
      <c r="Q215" s="452"/>
      <c r="R215" s="452"/>
      <c r="S215" s="452"/>
      <c r="T215" s="158"/>
    </row>
    <row r="216" spans="1:20" ht="12.75" customHeight="1" x14ac:dyDescent="0.2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68"/>
      <c r="M216" s="468"/>
      <c r="N216" s="451"/>
      <c r="O216" s="452"/>
      <c r="P216" s="452"/>
      <c r="Q216" s="452"/>
      <c r="R216" s="452"/>
      <c r="S216" s="452"/>
      <c r="T216" s="158"/>
    </row>
    <row r="217" spans="1:20" ht="12.75" customHeight="1" x14ac:dyDescent="0.2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339"/>
      <c r="N217" s="339"/>
      <c r="O217" s="282"/>
      <c r="P217" s="282"/>
      <c r="Q217" s="282"/>
      <c r="R217" s="282"/>
      <c r="S217" s="282"/>
      <c r="T217" s="158"/>
    </row>
    <row r="218" spans="1:20" ht="12.75" customHeight="1" x14ac:dyDescent="0.2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 t="s">
        <v>754</v>
      </c>
      <c r="M218" s="364" t="s">
        <v>754</v>
      </c>
      <c r="N218" s="364"/>
      <c r="O218" s="470"/>
      <c r="P218" s="470"/>
      <c r="Q218" s="470"/>
      <c r="R218" s="470"/>
      <c r="S218" s="470"/>
      <c r="T218" s="158"/>
    </row>
    <row r="219" spans="1:20" ht="12.75" customHeight="1" x14ac:dyDescent="0.2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0"/>
      <c r="N219" s="320"/>
      <c r="O219" s="325"/>
      <c r="P219" s="325"/>
      <c r="Q219" s="325"/>
      <c r="R219" s="325"/>
      <c r="S219" s="325"/>
      <c r="T219" s="158"/>
    </row>
    <row r="220" spans="1:20" ht="12.75" customHeight="1" x14ac:dyDescent="0.2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68"/>
      <c r="M220" s="468"/>
      <c r="N220" s="451">
        <f t="shared" ref="N220:R220" si="0">1-(0.00015*0.172)/((IF(Tm&gt;298,EXP(-6.79*(1-Tm/298))*Pvap25*EXP((H0vap/8.314)*(1/298-1/TEMP.R)),Pvap25*EXP((H0vap/8.314)*(1/298-1/TEMP.R))))+(0.00015*0.172))</f>
        <v>0.12462796418239608</v>
      </c>
      <c r="O220" s="452">
        <f t="shared" si="0"/>
        <v>0.12462796418239608</v>
      </c>
      <c r="P220" s="452">
        <f t="shared" si="0"/>
        <v>0.12462796418239608</v>
      </c>
      <c r="Q220" s="452">
        <f t="shared" si="0"/>
        <v>0.12462796418239608</v>
      </c>
      <c r="R220" s="452">
        <f t="shared" si="0"/>
        <v>0.12462796418239608</v>
      </c>
      <c r="S220" s="452"/>
      <c r="T220" s="158"/>
    </row>
    <row r="221" spans="1:20" ht="12.75" customHeight="1" x14ac:dyDescent="0.2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68"/>
      <c r="M221" s="468"/>
      <c r="N221" s="451"/>
      <c r="O221" s="452"/>
      <c r="P221" s="452"/>
      <c r="Q221" s="452"/>
      <c r="R221" s="452"/>
      <c r="S221" s="452"/>
      <c r="T221" s="158"/>
    </row>
    <row r="222" spans="1:20" ht="12.75" customHeight="1" x14ac:dyDescent="0.2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68"/>
      <c r="M222" s="468"/>
      <c r="N222" s="451">
        <f>(0.00015*0.172)/((IF(Tm&gt;298,EXP(-6.79*(1-Tm/298))*Pvap25*EXP((H0vap/8.314)*(1/298-1/TEMP.R)),Pvap25*EXP((H0vap/8.314)*(1/298-1/TEMP.R))))+(0.00015*0.172))</f>
        <v>0.87537203581760392</v>
      </c>
      <c r="O222" s="452">
        <f>(0.00015*0.172)/((IF(Tm&gt;298,EXP(-6.79*(1-Tm/298))*Pvap25*EXP((H0vap/8.314)*(1/298-1/TEMP.R)),Pvap25*EXP((H0vap/8.314)*(1/298-1/TEMP.R))))+(0.00015*0.172))</f>
        <v>0.87537203581760392</v>
      </c>
      <c r="P222" s="452">
        <f>(0.00015*0.172)/((IF(Tm&gt;298,EXP(-6.79*(1-Tm/298))*Pvap25*EXP((H0vap/8.314)*(1/298-1/TEMP.R)),Pvap25*EXP((H0vap/8.314)*(1/298-1/TEMP.R))))+(0.00015*0.172))</f>
        <v>0.87537203581760392</v>
      </c>
      <c r="Q222" s="452">
        <f>(0.00015*0.172)/((IF(Tm&gt;298,EXP(-6.79*(1-Tm/298))*Pvap25*EXP((H0vap/8.314)*(1/298-1/TEMP.R)),Pvap25*EXP((H0vap/8.314)*(1/298-1/TEMP.R))))+(0.00015*0.172))</f>
        <v>0.87537203581760392</v>
      </c>
      <c r="R222" s="452">
        <f>(0.00015*0.172)/((IF(Tm&gt;298,EXP(-6.79*(1-Tm/298))*Pvap25*EXP((H0vap/8.314)*(1/298-1/TEMP.R)),Pvap25*EXP((H0vap/8.314)*(1/298-1/TEMP.R))))+(0.00015*0.172))</f>
        <v>0.87537203581760392</v>
      </c>
      <c r="S222" s="452"/>
      <c r="T222" s="158"/>
    </row>
    <row r="223" spans="1:20" ht="12.75" customHeight="1" x14ac:dyDescent="0.2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68"/>
      <c r="M223" s="468"/>
      <c r="N223" s="451"/>
      <c r="O223" s="452"/>
      <c r="P223" s="452"/>
      <c r="Q223" s="452"/>
      <c r="R223" s="452"/>
      <c r="S223" s="452"/>
      <c r="T223" s="158"/>
    </row>
    <row r="224" spans="1:20" ht="12.75" customHeight="1" x14ac:dyDescent="0.2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68"/>
      <c r="M224" s="468"/>
      <c r="N224" s="451"/>
      <c r="O224" s="452"/>
      <c r="P224" s="452"/>
      <c r="Q224" s="452"/>
      <c r="R224" s="452"/>
      <c r="S224" s="452"/>
      <c r="T224" s="158"/>
    </row>
    <row r="225" spans="1:20" ht="12.75" customHeight="1" x14ac:dyDescent="0.2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68"/>
      <c r="M225" s="468"/>
      <c r="N225" s="451"/>
      <c r="O225" s="452"/>
      <c r="P225" s="452"/>
      <c r="Q225" s="452"/>
      <c r="R225" s="452"/>
      <c r="S225" s="452"/>
      <c r="T225" s="158"/>
    </row>
    <row r="226" spans="1:20" ht="12.75" customHeight="1" x14ac:dyDescent="0.2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68"/>
      <c r="M226" s="468"/>
      <c r="N226" s="451">
        <f t="shared" ref="N226:R226" si="1">1/(1+Kp.susp0R*SUSP.w0R/1000+0.05*Kow*0.001/1000)</f>
        <v>0.99978338121031318</v>
      </c>
      <c r="O226" s="452">
        <f t="shared" si="1"/>
        <v>0.99978338121031318</v>
      </c>
      <c r="P226" s="452">
        <f t="shared" si="1"/>
        <v>0.99978338121031318</v>
      </c>
      <c r="Q226" s="452">
        <f t="shared" si="1"/>
        <v>0.99978338121031318</v>
      </c>
      <c r="R226" s="452">
        <f t="shared" si="1"/>
        <v>0.99978338121031318</v>
      </c>
      <c r="S226" s="452"/>
      <c r="T226" s="158"/>
    </row>
    <row r="227" spans="1:20" ht="12.75" customHeight="1" x14ac:dyDescent="0.2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68"/>
      <c r="M227" s="468"/>
      <c r="N227" s="451"/>
      <c r="O227" s="452"/>
      <c r="P227" s="452"/>
      <c r="Q227" s="452"/>
      <c r="R227" s="452"/>
      <c r="S227" s="452"/>
      <c r="T227" s="158"/>
    </row>
    <row r="228" spans="1:20" ht="12.75" customHeight="1" x14ac:dyDescent="0.2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68"/>
      <c r="M228" s="468"/>
      <c r="N228" s="451"/>
      <c r="O228" s="452"/>
      <c r="P228" s="452"/>
      <c r="Q228" s="452"/>
      <c r="R228" s="452"/>
      <c r="S228" s="452"/>
      <c r="T228" s="158"/>
    </row>
    <row r="229" spans="1:20" ht="12.75" customHeight="1" x14ac:dyDescent="0.2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68"/>
      <c r="M229" s="468"/>
      <c r="N229" s="451"/>
      <c r="O229" s="452"/>
      <c r="P229" s="452"/>
      <c r="Q229" s="452"/>
      <c r="R229" s="452"/>
      <c r="S229" s="452"/>
      <c r="T229" s="158"/>
    </row>
    <row r="230" spans="1:20" ht="12.75" customHeight="1" x14ac:dyDescent="0.2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68"/>
      <c r="M230" s="468"/>
      <c r="N230" s="451"/>
      <c r="O230" s="452"/>
      <c r="P230" s="452"/>
      <c r="Q230" s="452"/>
      <c r="R230" s="452"/>
      <c r="S230" s="452"/>
      <c r="T230" s="158"/>
    </row>
    <row r="231" spans="1:20" ht="12.75" customHeight="1" x14ac:dyDescent="0.2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68"/>
      <c r="M231" s="468"/>
      <c r="N231" s="451"/>
      <c r="O231" s="452"/>
      <c r="P231" s="452"/>
      <c r="Q231" s="452"/>
      <c r="R231" s="452"/>
      <c r="S231" s="452"/>
      <c r="T231" s="158"/>
    </row>
    <row r="232" spans="1:20" ht="12.75" customHeight="1" x14ac:dyDescent="0.2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68"/>
      <c r="M232" s="468"/>
      <c r="N232" s="451">
        <f t="shared" ref="N232:R232" si="2">1/(1+Kp.susp1R*SUSP.w1R/1000+0.05*Kow*0.001/1000)</f>
        <v>0.99830430980414364</v>
      </c>
      <c r="O232" s="452">
        <f t="shared" si="2"/>
        <v>0.99830430980414364</v>
      </c>
      <c r="P232" s="452">
        <f t="shared" si="2"/>
        <v>0.99830430980414364</v>
      </c>
      <c r="Q232" s="452">
        <f t="shared" si="2"/>
        <v>0.99830430980414364</v>
      </c>
      <c r="R232" s="452">
        <f t="shared" si="2"/>
        <v>0.99830430980414364</v>
      </c>
      <c r="S232" s="452"/>
      <c r="T232" s="158"/>
    </row>
    <row r="233" spans="1:20" ht="12.75" customHeight="1" x14ac:dyDescent="0.2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68"/>
      <c r="M233" s="468"/>
      <c r="N233" s="451"/>
      <c r="O233" s="452"/>
      <c r="P233" s="452"/>
      <c r="Q233" s="452"/>
      <c r="R233" s="452"/>
      <c r="S233" s="452"/>
      <c r="T233" s="158"/>
    </row>
    <row r="234" spans="1:20" ht="12.75" customHeight="1" x14ac:dyDescent="0.2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68"/>
      <c r="M234" s="468"/>
      <c r="N234" s="451"/>
      <c r="O234" s="452"/>
      <c r="P234" s="452"/>
      <c r="Q234" s="452"/>
      <c r="R234" s="452"/>
      <c r="S234" s="452"/>
      <c r="T234" s="158"/>
    </row>
    <row r="235" spans="1:20" ht="12.75" customHeight="1" x14ac:dyDescent="0.2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68"/>
      <c r="M235" s="468"/>
      <c r="N235" s="451"/>
      <c r="O235" s="452"/>
      <c r="P235" s="452"/>
      <c r="Q235" s="452"/>
      <c r="R235" s="452"/>
      <c r="S235" s="452"/>
      <c r="T235" s="158"/>
    </row>
    <row r="236" spans="1:20" ht="12.75" customHeight="1" x14ac:dyDescent="0.2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68"/>
      <c r="M236" s="468"/>
      <c r="N236" s="451"/>
      <c r="O236" s="452"/>
      <c r="P236" s="452"/>
      <c r="Q236" s="452"/>
      <c r="R236" s="452"/>
      <c r="S236" s="452"/>
      <c r="T236" s="158"/>
    </row>
    <row r="237" spans="1:20" ht="12.75" customHeight="1" x14ac:dyDescent="0.2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68"/>
      <c r="M237" s="468"/>
      <c r="N237" s="451"/>
      <c r="O237" s="452"/>
      <c r="P237" s="452"/>
      <c r="Q237" s="452"/>
      <c r="R237" s="452"/>
      <c r="S237" s="452"/>
      <c r="T237" s="158"/>
    </row>
    <row r="238" spans="1:20" ht="12.75" customHeight="1" x14ac:dyDescent="0.2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68"/>
      <c r="M238" s="468"/>
      <c r="N238" s="451">
        <f t="shared" ref="N238:R238" si="3">1/(1+Kp.susp2R*SUSP.w2R/1000+0.05*Kow*0.001/1000)</f>
        <v>0.99933769729472144</v>
      </c>
      <c r="O238" s="452">
        <f t="shared" si="3"/>
        <v>0.99933769729472144</v>
      </c>
      <c r="P238" s="452">
        <f t="shared" si="3"/>
        <v>0.99933769729472144</v>
      </c>
      <c r="Q238" s="452">
        <f t="shared" si="3"/>
        <v>0.99933769729472144</v>
      </c>
      <c r="R238" s="452">
        <f t="shared" si="3"/>
        <v>0.99933769729472144</v>
      </c>
      <c r="S238" s="452"/>
      <c r="T238" s="158"/>
    </row>
    <row r="239" spans="1:20" ht="12.75" customHeight="1" x14ac:dyDescent="0.2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68"/>
      <c r="M239" s="468"/>
      <c r="N239" s="451"/>
      <c r="O239" s="452"/>
      <c r="P239" s="452"/>
      <c r="Q239" s="452"/>
      <c r="R239" s="452"/>
      <c r="S239" s="452"/>
      <c r="T239" s="158"/>
    </row>
    <row r="240" spans="1:20" ht="12.75" customHeight="1" x14ac:dyDescent="0.2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68"/>
      <c r="M240" s="468"/>
      <c r="N240" s="451"/>
      <c r="O240" s="452"/>
      <c r="P240" s="452"/>
      <c r="Q240" s="452"/>
      <c r="R240" s="452"/>
      <c r="S240" s="452"/>
      <c r="T240" s="158"/>
    </row>
    <row r="241" spans="1:20" ht="12.75" customHeight="1" x14ac:dyDescent="0.2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68"/>
      <c r="M241" s="468"/>
      <c r="N241" s="451"/>
      <c r="O241" s="452"/>
      <c r="P241" s="452"/>
      <c r="Q241" s="452"/>
      <c r="R241" s="452"/>
      <c r="S241" s="452"/>
      <c r="T241" s="158"/>
    </row>
    <row r="242" spans="1:20" ht="12.75" customHeight="1" x14ac:dyDescent="0.2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68"/>
      <c r="M242" s="468"/>
      <c r="N242" s="451"/>
      <c r="O242" s="452"/>
      <c r="P242" s="452"/>
      <c r="Q242" s="452"/>
      <c r="R242" s="452"/>
      <c r="S242" s="452"/>
      <c r="T242" s="158"/>
    </row>
    <row r="243" spans="1:20" ht="12.75" customHeight="1" x14ac:dyDescent="0.2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68"/>
      <c r="M243" s="468"/>
      <c r="N243" s="451"/>
      <c r="O243" s="452"/>
      <c r="P243" s="452"/>
      <c r="Q243" s="452"/>
      <c r="R243" s="452"/>
      <c r="S243" s="452"/>
      <c r="T243" s="158"/>
    </row>
    <row r="244" spans="1:20" ht="12.75" customHeight="1" x14ac:dyDescent="0.2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68"/>
      <c r="M244" s="468"/>
      <c r="N244" s="451"/>
      <c r="O244" s="452"/>
      <c r="P244" s="452"/>
      <c r="Q244" s="452"/>
      <c r="R244" s="452"/>
      <c r="S244" s="452"/>
      <c r="T244" s="158"/>
    </row>
    <row r="245" spans="1:20" ht="12.75" customHeight="1" x14ac:dyDescent="0.2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68"/>
      <c r="M245" s="468"/>
      <c r="N245" s="451"/>
      <c r="O245" s="452"/>
      <c r="P245" s="452"/>
      <c r="Q245" s="452"/>
      <c r="R245" s="452"/>
      <c r="S245" s="452"/>
      <c r="T245" s="158"/>
    </row>
    <row r="246" spans="1:20" ht="12.75" customHeight="1" x14ac:dyDescent="0.2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68"/>
      <c r="M246" s="468"/>
      <c r="N246" s="451"/>
      <c r="O246" s="452"/>
      <c r="P246" s="452"/>
      <c r="Q246" s="452"/>
      <c r="R246" s="452"/>
      <c r="S246" s="452"/>
      <c r="T246" s="158"/>
    </row>
    <row r="247" spans="1:20" ht="12.75" customHeight="1" x14ac:dyDescent="0.2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68"/>
      <c r="M247" s="468"/>
      <c r="N247" s="451"/>
      <c r="O247" s="452"/>
      <c r="P247" s="452"/>
      <c r="Q247" s="452"/>
      <c r="R247" s="452"/>
      <c r="S247" s="452"/>
      <c r="T247" s="158"/>
    </row>
    <row r="248" spans="1:20" ht="12.75" customHeight="1" x14ac:dyDescent="0.2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68"/>
      <c r="M248" s="468"/>
      <c r="N248" s="451"/>
      <c r="O248" s="452"/>
      <c r="P248" s="452"/>
      <c r="Q248" s="452"/>
      <c r="R248" s="452"/>
      <c r="S248" s="452"/>
      <c r="T248" s="158"/>
    </row>
    <row r="249" spans="1:20" ht="12.75" customHeight="1" x14ac:dyDescent="0.2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68"/>
      <c r="M249" s="468"/>
      <c r="N249" s="451"/>
      <c r="O249" s="452"/>
      <c r="P249" s="452"/>
      <c r="Q249" s="452"/>
      <c r="R249" s="452"/>
      <c r="S249" s="452"/>
      <c r="T249" s="158"/>
    </row>
    <row r="250" spans="1:20" ht="12.75" customHeight="1" x14ac:dyDescent="0.2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68"/>
      <c r="M250" s="468"/>
      <c r="N250" s="451"/>
      <c r="O250" s="452"/>
      <c r="P250" s="452"/>
      <c r="Q250" s="452"/>
      <c r="R250" s="452"/>
      <c r="S250" s="452"/>
      <c r="T250" s="158"/>
    </row>
    <row r="251" spans="1:20" ht="12.75" customHeight="1" x14ac:dyDescent="0.2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68"/>
      <c r="M251" s="468"/>
      <c r="N251" s="451"/>
      <c r="O251" s="452"/>
      <c r="P251" s="452"/>
      <c r="Q251" s="452"/>
      <c r="R251" s="452"/>
      <c r="S251" s="452"/>
      <c r="T251" s="158"/>
    </row>
    <row r="252" spans="1:20" ht="12.75" customHeight="1" x14ac:dyDescent="0.2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68"/>
      <c r="M252" s="468"/>
      <c r="N252" s="451"/>
      <c r="O252" s="452"/>
      <c r="P252" s="452"/>
      <c r="Q252" s="452"/>
      <c r="R252" s="452"/>
      <c r="S252" s="452"/>
      <c r="T252" s="158"/>
    </row>
    <row r="253" spans="1:20" ht="12.75" customHeight="1" x14ac:dyDescent="0.2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68"/>
      <c r="M253" s="468"/>
      <c r="N253" s="451"/>
      <c r="O253" s="452"/>
      <c r="P253" s="452"/>
      <c r="Q253" s="452"/>
      <c r="R253" s="452"/>
      <c r="S253" s="452"/>
      <c r="T253" s="158"/>
    </row>
    <row r="254" spans="1:20" ht="12.75" customHeight="1" x14ac:dyDescent="0.2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68"/>
      <c r="M254" s="468"/>
      <c r="N254" s="451"/>
      <c r="O254" s="452"/>
      <c r="P254" s="452"/>
      <c r="Q254" s="452"/>
      <c r="R254" s="452"/>
      <c r="S254" s="452"/>
      <c r="T254" s="158"/>
    </row>
    <row r="255" spans="1:20" ht="12.75" customHeight="1" x14ac:dyDescent="0.2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68"/>
      <c r="M255" s="468"/>
      <c r="N255" s="451"/>
      <c r="O255" s="452"/>
      <c r="P255" s="452"/>
      <c r="Q255" s="452"/>
      <c r="R255" s="452"/>
      <c r="S255" s="452"/>
      <c r="T255" s="158"/>
    </row>
    <row r="256" spans="1:20" ht="12.75" customHeight="1" x14ac:dyDescent="0.2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68"/>
      <c r="M256" s="468"/>
      <c r="N256" s="451"/>
      <c r="O256" s="452"/>
      <c r="P256" s="452"/>
      <c r="Q256" s="452"/>
      <c r="R256" s="452"/>
      <c r="S256" s="452"/>
      <c r="T256" s="158"/>
    </row>
    <row r="257" spans="1:20" ht="12.75" customHeight="1" x14ac:dyDescent="0.2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68"/>
      <c r="M257" s="468"/>
      <c r="N257" s="451"/>
      <c r="O257" s="452"/>
      <c r="P257" s="452"/>
      <c r="Q257" s="452"/>
      <c r="R257" s="452"/>
      <c r="S257" s="452"/>
      <c r="T257" s="158"/>
    </row>
    <row r="258" spans="1:20" ht="12.75" customHeight="1" x14ac:dyDescent="0.2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68"/>
      <c r="M258" s="468"/>
      <c r="N258" s="451"/>
      <c r="O258" s="452"/>
      <c r="P258" s="452"/>
      <c r="Q258" s="452"/>
      <c r="R258" s="452"/>
      <c r="S258" s="452"/>
      <c r="T258" s="158"/>
    </row>
    <row r="259" spans="1:20" ht="12.75" customHeight="1" x14ac:dyDescent="0.2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68"/>
      <c r="M259" s="468"/>
      <c r="N259" s="451"/>
      <c r="O259" s="452"/>
      <c r="P259" s="452"/>
      <c r="Q259" s="452"/>
      <c r="R259" s="452"/>
      <c r="S259" s="452"/>
      <c r="T259" s="158"/>
    </row>
    <row r="260" spans="1:20" ht="12.75" customHeight="1" x14ac:dyDescent="0.2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68"/>
      <c r="M260" s="468"/>
      <c r="N260" s="451"/>
      <c r="O260" s="452"/>
      <c r="P260" s="452"/>
      <c r="Q260" s="452"/>
      <c r="R260" s="452"/>
      <c r="S260" s="452"/>
      <c r="T260" s="158"/>
    </row>
    <row r="261" spans="1:20" ht="12.75" customHeight="1" x14ac:dyDescent="0.2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68"/>
      <c r="M261" s="468"/>
      <c r="N261" s="451"/>
      <c r="O261" s="452"/>
      <c r="P261" s="452"/>
      <c r="Q261" s="452"/>
      <c r="R261" s="452"/>
      <c r="S261" s="452"/>
      <c r="T261" s="158"/>
    </row>
    <row r="262" spans="1:20" ht="12.75" customHeight="1" x14ac:dyDescent="0.2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68"/>
      <c r="M262" s="468"/>
      <c r="N262" s="451"/>
      <c r="O262" s="452"/>
      <c r="P262" s="452"/>
      <c r="Q262" s="452"/>
      <c r="R262" s="452"/>
      <c r="S262" s="452"/>
      <c r="T262" s="158"/>
    </row>
    <row r="263" spans="1:20" ht="12.75" customHeight="1" x14ac:dyDescent="0.2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68"/>
      <c r="M263" s="468"/>
      <c r="N263" s="451"/>
      <c r="O263" s="452"/>
      <c r="P263" s="452"/>
      <c r="Q263" s="452"/>
      <c r="R263" s="452"/>
      <c r="S263" s="452"/>
      <c r="T263" s="158"/>
    </row>
    <row r="264" spans="1:20" ht="12.75" customHeight="1" x14ac:dyDescent="0.2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68"/>
      <c r="M264" s="468"/>
      <c r="N264" s="451"/>
      <c r="O264" s="452"/>
      <c r="P264" s="452"/>
      <c r="Q264" s="452"/>
      <c r="R264" s="452"/>
      <c r="S264" s="452"/>
      <c r="T264" s="158"/>
    </row>
    <row r="265" spans="1:20" ht="12.75" customHeight="1" x14ac:dyDescent="0.2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339"/>
      <c r="N265" s="339"/>
      <c r="O265" s="282"/>
      <c r="P265" s="282"/>
      <c r="Q265" s="282"/>
      <c r="R265" s="282"/>
      <c r="S265" s="282"/>
      <c r="T265" s="158"/>
    </row>
    <row r="266" spans="1:20" ht="12.75" customHeight="1" x14ac:dyDescent="0.2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 t="s">
        <v>754</v>
      </c>
      <c r="M266" s="364" t="s">
        <v>754</v>
      </c>
      <c r="N266" s="364"/>
      <c r="O266" s="470"/>
      <c r="P266" s="470"/>
      <c r="Q266" s="470"/>
      <c r="R266" s="470"/>
      <c r="S266" s="470"/>
      <c r="T266" s="158"/>
    </row>
    <row r="267" spans="1:20" ht="12.7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339"/>
      <c r="N267" s="339"/>
      <c r="O267" s="282"/>
      <c r="P267" s="282"/>
      <c r="Q267" s="282"/>
      <c r="R267" s="282"/>
      <c r="S267" s="282"/>
      <c r="T267" s="158"/>
    </row>
    <row r="268" spans="1:20" ht="12.75" customHeight="1" x14ac:dyDescent="0.2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/>
      <c r="M268" s="451"/>
      <c r="N268" s="451">
        <f>((DRYDEPaerosol.R+AerosolWashout.R+GasWashout.R+GASABS.aR.wR)/HEIGHT.aR)*AREAFRAC.w0R</f>
        <v>1.8297591523602687E-5</v>
      </c>
      <c r="O268" s="451">
        <f>((DRYDEPaerosol.R+AerosolWashout.R+GasWashout.R+GASABS.aR.wR)/HEIGHT.aR)*AREAFRAC.w0R</f>
        <v>1.8297591523602687E-5</v>
      </c>
      <c r="P268" s="451">
        <f>((DRYDEPaerosol.R+AerosolWashout.R+GasWashout.R+GASABS.aR.wR)/HEIGHT.aR)*AREAFRAC.w0R</f>
        <v>1.8297591523602687E-5</v>
      </c>
      <c r="Q268" s="451">
        <f>((DRYDEPaerosol.R+AerosolWashout.R+GasWashout.R+GASABS.aR.wR)/HEIGHT.aR)*AREAFRAC.w0R</f>
        <v>1.8297591523602687E-5</v>
      </c>
      <c r="R268" s="451">
        <f>((DRYDEPaerosol.R+AerosolWashout.R+GasWashout.R+GASABS.aR.wR)/HEIGHT.aR)*AREAFRAC.w0R</f>
        <v>1.8297591523602687E-5</v>
      </c>
      <c r="S268" s="452"/>
      <c r="T268" s="158"/>
    </row>
    <row r="269" spans="1:20" ht="12.75" customHeight="1" x14ac:dyDescent="0.2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/>
      <c r="M269" s="451"/>
      <c r="N269" s="451">
        <f>((DRYDEPaerosol.R+AerosolWashout.R+GasWashout.R+GASABS.aR.wR)/HEIGHT.aR)*AREAFRAC.w1R</f>
        <v>2.0127350675962956E-4</v>
      </c>
      <c r="O269" s="451">
        <f>((DRYDEPaerosol.R+AerosolWashout.R+GasWashout.R+GASABS.aR.wR)/HEIGHT.aR)*AREAFRAC.w1R</f>
        <v>2.0127350675962956E-4</v>
      </c>
      <c r="P269" s="451">
        <f>((DRYDEPaerosol.R+AerosolWashout.R+GasWashout.R+GASABS.aR.wR)/HEIGHT.aR)*AREAFRAC.w1R</f>
        <v>2.0127350675962956E-4</v>
      </c>
      <c r="Q269" s="451">
        <f>((DRYDEPaerosol.R+AerosolWashout.R+GasWashout.R+GASABS.aR.wR)/HEIGHT.aR)*AREAFRAC.w1R</f>
        <v>2.0127350675962956E-4</v>
      </c>
      <c r="R269" s="451">
        <f>((DRYDEPaerosol.R+AerosolWashout.R+GasWashout.R+GASABS.aR.wR)/HEIGHT.aR)*AREAFRAC.w1R</f>
        <v>2.0127350675962956E-4</v>
      </c>
      <c r="S269" s="452"/>
      <c r="T269" s="158"/>
    </row>
    <row r="270" spans="1:20" ht="12.75" customHeight="1" x14ac:dyDescent="0.2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/>
      <c r="M270" s="451"/>
      <c r="N270" s="451">
        <f>((DRYDEPaerosol.R+AerosolWashout.R+GasWashout.R+GASABS.aR.wR)/HEIGHT.aR)*AREAFRAC.w2R</f>
        <v>3.2020985297462849E-5</v>
      </c>
      <c r="O270" s="451">
        <f>((DRYDEPaerosol.R+AerosolWashout.R+GasWashout.R+GASABS.aR.wR)/HEIGHT.aR)*AREAFRAC.w2R</f>
        <v>3.2020985297462849E-5</v>
      </c>
      <c r="P270" s="451">
        <f>((DRYDEPaerosol.R+AerosolWashout.R+GasWashout.R+GASABS.aR.wR)/HEIGHT.aR)*AREAFRAC.w2R</f>
        <v>3.2020985297462849E-5</v>
      </c>
      <c r="Q270" s="451">
        <f>((DRYDEPaerosol.R+AerosolWashout.R+GasWashout.R+GASABS.aR.wR)/HEIGHT.aR)*AREAFRAC.w2R</f>
        <v>3.2020985297462849E-5</v>
      </c>
      <c r="R270" s="451">
        <f>((DRYDEPaerosol.R+AerosolWashout.R+GasWashout.R+GASABS.aR.wR)/HEIGHT.aR)*AREAFRAC.w2R</f>
        <v>3.2020985297462849E-5</v>
      </c>
      <c r="S270" s="452"/>
      <c r="T270" s="158"/>
    </row>
    <row r="271" spans="1:20" ht="12.75" customHeight="1" x14ac:dyDescent="0.2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/>
      <c r="M271" s="451"/>
      <c r="N271" s="451">
        <f>((DRYDEPaerosol.R+AerosolWashout.R+GasWashout.R+GASABS.aR.sR)/HEIGHT.aR)*AREAFRAC.s1R</f>
        <v>1.9754002880444225E-3</v>
      </c>
      <c r="O271" s="451">
        <f>((DRYDEPaerosol.R+AerosolWashout.R+GasWashout.R+GASABS.aR.sR)/HEIGHT.aR)*AREAFRAC.s1R</f>
        <v>1.9754002880444225E-3</v>
      </c>
      <c r="P271" s="451">
        <f>((DRYDEPaerosol.R+AerosolWashout.R+GasWashout.R+GASABS.aR.sR)/HEIGHT.aR)*AREAFRAC.s1R</f>
        <v>1.9754002880444225E-3</v>
      </c>
      <c r="Q271" s="451">
        <f>((DRYDEPaerosol.R+AerosolWashout.R+GasWashout.R+GASABS.aR.sR)/HEIGHT.aR)*AREAFRAC.s1R</f>
        <v>1.9754002880444225E-3</v>
      </c>
      <c r="R271" s="451">
        <f>((DRYDEPaerosol.R+AerosolWashout.R+GasWashout.R+GASABS.aR.sR)/HEIGHT.aR)*AREAFRAC.s1R</f>
        <v>1.9754002880444225E-3</v>
      </c>
      <c r="S271" s="452"/>
      <c r="T271" s="158"/>
    </row>
    <row r="272" spans="1:20" ht="12.75" customHeight="1" x14ac:dyDescent="0.2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/>
      <c r="M272" s="451"/>
      <c r="N272" s="451">
        <f>((DRYDEPaerosol.R+AerosolWashout.R+GasWashout.R+GASABS.aR.sR)/HEIGHT.aR)*AREAFRAC.s2R</f>
        <v>4.3897784178764934E-3</v>
      </c>
      <c r="O272" s="451">
        <f>((DRYDEPaerosol.R+AerosolWashout.R+GasWashout.R+GASABS.aR.sR)/HEIGHT.aR)*AREAFRAC.s2R</f>
        <v>4.3897784178764934E-3</v>
      </c>
      <c r="P272" s="451">
        <f>((DRYDEPaerosol.R+AerosolWashout.R+GasWashout.R+GASABS.aR.sR)/HEIGHT.aR)*AREAFRAC.s2R</f>
        <v>4.3897784178764934E-3</v>
      </c>
      <c r="Q272" s="451">
        <f>((DRYDEPaerosol.R+AerosolWashout.R+GasWashout.R+GASABS.aR.sR)/HEIGHT.aR)*AREAFRAC.s2R</f>
        <v>4.3897784178764934E-3</v>
      </c>
      <c r="R272" s="451">
        <f>((DRYDEPaerosol.R+AerosolWashout.R+GasWashout.R+GASABS.aR.sR)/HEIGHT.aR)*AREAFRAC.s2R</f>
        <v>4.3897784178764934E-3</v>
      </c>
      <c r="S272" s="452"/>
      <c r="T272" s="158"/>
    </row>
    <row r="273" spans="1:20" ht="12.75" customHeight="1" x14ac:dyDescent="0.2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/>
      <c r="M273" s="451"/>
      <c r="N273" s="451">
        <f>((DRYDEPaerosol.R+AerosolWashout.R+GasWashout.R+GASABS.aR.sR)/HEIGHT.aR)*AREAFRAC.s3R</f>
        <v>7.3162973631274897E-4</v>
      </c>
      <c r="O273" s="451">
        <f>((DRYDEPaerosol.R+AerosolWashout.R+GasWashout.R+GASABS.aR.sR)/HEIGHT.aR)*AREAFRAC.s3R</f>
        <v>7.3162973631274897E-4</v>
      </c>
      <c r="P273" s="451">
        <f>((DRYDEPaerosol.R+AerosolWashout.R+GasWashout.R+GASABS.aR.sR)/HEIGHT.aR)*AREAFRAC.s3R</f>
        <v>7.3162973631274897E-4</v>
      </c>
      <c r="Q273" s="451">
        <f>((DRYDEPaerosol.R+AerosolWashout.R+GasWashout.R+GASABS.aR.sR)/HEIGHT.aR)*AREAFRAC.s3R</f>
        <v>7.3162973631274897E-4</v>
      </c>
      <c r="R273" s="451">
        <f>((DRYDEPaerosol.R+AerosolWashout.R+GasWashout.R+GASABS.aR.sR)/HEIGHT.aR)*AREAFRAC.s3R</f>
        <v>7.3162973631274897E-4</v>
      </c>
      <c r="S273" s="452"/>
      <c r="T273" s="158"/>
    </row>
    <row r="274" spans="1:20" ht="12.75" customHeight="1" x14ac:dyDescent="0.2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1"/>
      <c r="N274" s="451"/>
      <c r="O274" s="452"/>
      <c r="P274" s="452"/>
      <c r="Q274" s="452"/>
      <c r="R274" s="452"/>
      <c r="S274" s="452"/>
      <c r="T274" s="158"/>
    </row>
    <row r="275" spans="1:20" ht="12.75" customHeight="1" x14ac:dyDescent="0.2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1"/>
      <c r="N275" s="451"/>
      <c r="O275" s="452"/>
      <c r="P275" s="452"/>
      <c r="Q275" s="452"/>
      <c r="R275" s="452"/>
      <c r="S275" s="452"/>
      <c r="T275" s="158"/>
    </row>
    <row r="276" spans="1:20" ht="12.75" customHeight="1" x14ac:dyDescent="0.2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1"/>
      <c r="N276" s="451"/>
      <c r="O276" s="452"/>
      <c r="P276" s="452"/>
      <c r="Q276" s="452"/>
      <c r="R276" s="452"/>
      <c r="S276" s="452"/>
      <c r="T276" s="158"/>
    </row>
    <row r="277" spans="1:20" ht="12.75" customHeight="1" x14ac:dyDescent="0.2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1"/>
      <c r="N277" s="451"/>
      <c r="O277" s="452"/>
      <c r="P277" s="452"/>
      <c r="Q277" s="452"/>
      <c r="R277" s="452"/>
      <c r="S277" s="452"/>
      <c r="T277" s="158"/>
    </row>
    <row r="278" spans="1:20" ht="12.75" customHeight="1" x14ac:dyDescent="0.2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1"/>
      <c r="N278" s="451"/>
      <c r="O278" s="452"/>
      <c r="P278" s="452"/>
      <c r="Q278" s="452"/>
      <c r="R278" s="452"/>
      <c r="S278" s="452"/>
      <c r="T278" s="158"/>
    </row>
    <row r="279" spans="1:20" ht="12.75" customHeight="1" x14ac:dyDescent="0.2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1"/>
      <c r="N279" s="451"/>
      <c r="O279" s="452"/>
      <c r="P279" s="452"/>
      <c r="Q279" s="452"/>
      <c r="R279" s="452"/>
      <c r="S279" s="452"/>
      <c r="T279" s="158"/>
    </row>
    <row r="280" spans="1:20" ht="12.75" customHeight="1" x14ac:dyDescent="0.2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1"/>
      <c r="N280" s="451"/>
      <c r="O280" s="452"/>
      <c r="P280" s="452"/>
      <c r="Q280" s="452"/>
      <c r="R280" s="452"/>
      <c r="S280" s="452"/>
      <c r="T280" s="158"/>
    </row>
    <row r="281" spans="1:20" ht="12.75" customHeight="1" x14ac:dyDescent="0.2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1"/>
      <c r="N281" s="451"/>
      <c r="O281" s="452"/>
      <c r="P281" s="452"/>
      <c r="Q281" s="452"/>
      <c r="R281" s="452"/>
      <c r="S281" s="452"/>
      <c r="T281" s="158"/>
    </row>
    <row r="282" spans="1:20" ht="12.75" customHeight="1" x14ac:dyDescent="0.2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1"/>
      <c r="N282" s="451"/>
      <c r="O282" s="452"/>
      <c r="P282" s="452"/>
      <c r="Q282" s="452"/>
      <c r="R282" s="452"/>
      <c r="S282" s="452"/>
      <c r="T282" s="158"/>
    </row>
    <row r="283" spans="1:20" ht="12.75" customHeight="1" x14ac:dyDescent="0.2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1"/>
      <c r="N283" s="451"/>
      <c r="O283" s="452"/>
      <c r="P283" s="452"/>
      <c r="Q283" s="452"/>
      <c r="R283" s="452"/>
      <c r="S283" s="452"/>
      <c r="T283" s="158"/>
    </row>
    <row r="284" spans="1:20" ht="12.75" customHeight="1" x14ac:dyDescent="0.2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1"/>
      <c r="N284" s="451"/>
      <c r="O284" s="452"/>
      <c r="P284" s="452"/>
      <c r="Q284" s="452"/>
      <c r="R284" s="452"/>
      <c r="S284" s="452"/>
      <c r="T284" s="158"/>
    </row>
    <row r="285" spans="1:20" ht="12.75" customHeight="1" x14ac:dyDescent="0.2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1"/>
      <c r="N285" s="451"/>
      <c r="O285" s="452"/>
      <c r="P285" s="452"/>
      <c r="Q285" s="452"/>
      <c r="R285" s="452"/>
      <c r="S285" s="452"/>
      <c r="T285" s="158"/>
    </row>
    <row r="286" spans="1:20" ht="12.75" customHeight="1" x14ac:dyDescent="0.2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/>
      <c r="M286" s="451"/>
      <c r="N286" s="451">
        <f>AEROSOLdeprate.R*FRaers.aR</f>
        <v>2.352999540191509E-5</v>
      </c>
      <c r="O286" s="451">
        <f>AEROSOLdeprate.R*FRaers.aR</f>
        <v>2.352999540191509E-5</v>
      </c>
      <c r="P286" s="451">
        <f>AEROSOLdeprate.R*FRaers.aR</f>
        <v>2.352999540191509E-5</v>
      </c>
      <c r="Q286" s="451">
        <f>AEROSOLdeprate.R*FRaers.aR</f>
        <v>2.352999540191509E-5</v>
      </c>
      <c r="R286" s="451">
        <f>AEROSOLdeprate.R*FRaers.aR</f>
        <v>2.352999540191509E-5</v>
      </c>
      <c r="S286" s="452"/>
      <c r="T286" s="158"/>
    </row>
    <row r="287" spans="1:20" ht="12.75" customHeight="1" x14ac:dyDescent="0.2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/>
      <c r="M287" s="451"/>
      <c r="N287" s="451">
        <f t="shared" ref="N287:R287" si="4">(1-FRgas.aR)*COLLECTeff.R*RAINrate.R</f>
        <v>1.0622130094040873E-4</v>
      </c>
      <c r="O287" s="452">
        <f t="shared" si="4"/>
        <v>1.0622130094040873E-4</v>
      </c>
      <c r="P287" s="452">
        <f t="shared" si="4"/>
        <v>1.0622130094040873E-4</v>
      </c>
      <c r="Q287" s="452">
        <f t="shared" si="4"/>
        <v>1.0622130094040873E-4</v>
      </c>
      <c r="R287" s="452">
        <f t="shared" si="4"/>
        <v>1.0622130094040873E-4</v>
      </c>
      <c r="S287" s="452"/>
      <c r="T287" s="158"/>
    </row>
    <row r="288" spans="1:20" ht="12.75" customHeight="1" x14ac:dyDescent="0.2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/>
      <c r="M288" s="451"/>
      <c r="N288" s="451">
        <f t="shared" ref="N288:R288" si="5">FRgas.aR*RAINrate.R/Kaw.R</f>
        <v>0.44073100068471405</v>
      </c>
      <c r="O288" s="452">
        <f t="shared" si="5"/>
        <v>0.44073100068471405</v>
      </c>
      <c r="P288" s="452">
        <f t="shared" si="5"/>
        <v>0.44073100068471405</v>
      </c>
      <c r="Q288" s="452">
        <f t="shared" si="5"/>
        <v>0.44073100068471405</v>
      </c>
      <c r="R288" s="452">
        <f t="shared" si="5"/>
        <v>0.44073100068471405</v>
      </c>
      <c r="S288" s="452"/>
      <c r="T288" s="158"/>
    </row>
    <row r="289" spans="1:20" ht="12.75" customHeight="1" x14ac:dyDescent="0.2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1"/>
      <c r="N289" s="451"/>
      <c r="O289" s="452"/>
      <c r="P289" s="452"/>
      <c r="Q289" s="452"/>
      <c r="R289" s="452"/>
      <c r="S289" s="452"/>
      <c r="T289" s="158"/>
    </row>
    <row r="290" spans="1:20" ht="12.75" customHeight="1" x14ac:dyDescent="0.2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1"/>
      <c r="N290" s="451"/>
      <c r="O290" s="452"/>
      <c r="P290" s="452"/>
      <c r="Q290" s="452"/>
      <c r="R290" s="452"/>
      <c r="S290" s="452"/>
      <c r="T290" s="158"/>
    </row>
    <row r="291" spans="1:20" ht="12.75" customHeight="1" x14ac:dyDescent="0.2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1"/>
      <c r="N291" s="451"/>
      <c r="O291" s="452"/>
      <c r="P291" s="452"/>
      <c r="Q291" s="452"/>
      <c r="R291" s="452"/>
      <c r="S291" s="452"/>
      <c r="T291" s="158"/>
    </row>
    <row r="292" spans="1:20" ht="12.75" customHeight="1" x14ac:dyDescent="0.2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1"/>
      <c r="N292" s="451"/>
      <c r="O292" s="452"/>
      <c r="P292" s="452"/>
      <c r="Q292" s="452"/>
      <c r="R292" s="452"/>
      <c r="S292" s="452"/>
      <c r="T292" s="158"/>
    </row>
    <row r="293" spans="1:20" ht="12.75" customHeight="1" x14ac:dyDescent="0.2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1"/>
      <c r="N293" s="451"/>
      <c r="O293" s="452"/>
      <c r="P293" s="452"/>
      <c r="Q293" s="452"/>
      <c r="R293" s="452"/>
      <c r="S293" s="452"/>
      <c r="T293" s="158"/>
    </row>
    <row r="294" spans="1:20" ht="12.75" customHeight="1" x14ac:dyDescent="0.2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1"/>
      <c r="N294" s="451"/>
      <c r="O294" s="452"/>
      <c r="P294" s="452"/>
      <c r="Q294" s="452"/>
      <c r="R294" s="452"/>
      <c r="S294" s="452"/>
      <c r="T294" s="158"/>
    </row>
    <row r="295" spans="1:20" ht="12.75" customHeight="1" x14ac:dyDescent="0.2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1"/>
      <c r="N295" s="451"/>
      <c r="O295" s="452"/>
      <c r="P295" s="452"/>
      <c r="Q295" s="452"/>
      <c r="R295" s="452"/>
      <c r="S295" s="452"/>
      <c r="T295" s="158"/>
    </row>
    <row r="296" spans="1:20" ht="12.75" customHeight="1" x14ac:dyDescent="0.2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1"/>
      <c r="N296" s="451"/>
      <c r="O296" s="452"/>
      <c r="P296" s="452"/>
      <c r="Q296" s="452"/>
      <c r="R296" s="452"/>
      <c r="S296" s="452"/>
      <c r="T296" s="158"/>
    </row>
    <row r="297" spans="1:20" ht="12.75" customHeight="1" x14ac:dyDescent="0.2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1"/>
      <c r="N297" s="451"/>
      <c r="O297" s="452"/>
      <c r="P297" s="452"/>
      <c r="Q297" s="452"/>
      <c r="R297" s="452"/>
      <c r="S297" s="452"/>
      <c r="T297" s="158"/>
    </row>
    <row r="298" spans="1:20" ht="12.75" customHeight="1" x14ac:dyDescent="0.2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1"/>
      <c r="N298" s="451"/>
      <c r="O298" s="452"/>
      <c r="P298" s="452"/>
      <c r="Q298" s="452"/>
      <c r="R298" s="452"/>
      <c r="S298" s="452"/>
      <c r="T298" s="158"/>
    </row>
    <row r="299" spans="1:20" ht="12.75" customHeight="1" x14ac:dyDescent="0.2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1"/>
      <c r="N299" s="451"/>
      <c r="O299" s="452"/>
      <c r="P299" s="452"/>
      <c r="Q299" s="452"/>
      <c r="R299" s="452"/>
      <c r="S299" s="452"/>
      <c r="T299" s="158"/>
    </row>
    <row r="300" spans="1:20" ht="12.75" customHeight="1" x14ac:dyDescent="0.2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1"/>
      <c r="N300" s="451"/>
      <c r="O300" s="452"/>
      <c r="P300" s="452"/>
      <c r="Q300" s="452"/>
      <c r="R300" s="452"/>
      <c r="S300" s="452"/>
      <c r="T300" s="158"/>
    </row>
    <row r="301" spans="1:20" ht="12.75" customHeight="1" x14ac:dyDescent="0.2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1"/>
      <c r="Q301" s="451"/>
      <c r="R301" s="452"/>
      <c r="S301" s="451"/>
      <c r="T301" s="158"/>
    </row>
    <row r="302" spans="1:20" ht="12.75" customHeight="1" x14ac:dyDescent="0.2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451"/>
      <c r="M302" s="451"/>
      <c r="N302" s="612"/>
      <c r="O302" s="612"/>
      <c r="P302" s="612"/>
      <c r="Q302" s="612"/>
      <c r="R302" s="452"/>
      <c r="S302" s="612"/>
      <c r="T302" s="158"/>
    </row>
    <row r="303" spans="1:20" ht="12.75" customHeight="1" x14ac:dyDescent="0.2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/>
      <c r="M303" s="451"/>
      <c r="N303" s="451">
        <v>1</v>
      </c>
      <c r="O303" s="451">
        <v>1</v>
      </c>
      <c r="P303" s="451">
        <v>1</v>
      </c>
      <c r="Q303" s="451">
        <v>1</v>
      </c>
      <c r="R303" s="452"/>
      <c r="S303" s="451">
        <v>1</v>
      </c>
      <c r="T303" s="158"/>
    </row>
    <row r="304" spans="1:20" ht="12.75" customHeight="1" x14ac:dyDescent="0.2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/>
      <c r="M304" s="451"/>
      <c r="N304" s="451">
        <v>1</v>
      </c>
      <c r="O304" s="451">
        <v>1</v>
      </c>
      <c r="P304" s="451">
        <v>1</v>
      </c>
      <c r="Q304" s="451">
        <v>1</v>
      </c>
      <c r="R304" s="452"/>
      <c r="S304" s="451">
        <v>1</v>
      </c>
      <c r="T304" s="158"/>
    </row>
    <row r="305" spans="1:20" ht="12.75" customHeight="1" x14ac:dyDescent="0.2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/>
      <c r="M305" s="451"/>
      <c r="N305" s="451">
        <v>1</v>
      </c>
      <c r="O305" s="451">
        <v>1</v>
      </c>
      <c r="P305" s="451">
        <v>1</v>
      </c>
      <c r="Q305" s="451">
        <v>1</v>
      </c>
      <c r="R305" s="452"/>
      <c r="S305" s="451">
        <v>1</v>
      </c>
      <c r="T305" s="158"/>
    </row>
    <row r="306" spans="1:20" ht="12.75" customHeight="1" x14ac:dyDescent="0.2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59"/>
      <c r="N306" s="459"/>
      <c r="O306" s="460"/>
      <c r="P306" s="460"/>
      <c r="Q306" s="460"/>
      <c r="R306" s="460"/>
      <c r="S306" s="460"/>
      <c r="T306" s="158"/>
    </row>
    <row r="307" spans="1:20" ht="12.75" customHeight="1" x14ac:dyDescent="0.2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1"/>
      <c r="N307" s="451"/>
      <c r="O307" s="452"/>
      <c r="P307" s="452"/>
      <c r="Q307" s="452"/>
      <c r="R307" s="452"/>
      <c r="S307" s="452"/>
      <c r="T307" s="158"/>
    </row>
    <row r="308" spans="1:20" ht="12.75" customHeight="1" x14ac:dyDescent="0.2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1"/>
      <c r="N308" s="451"/>
      <c r="O308" s="452"/>
      <c r="P308" s="452"/>
      <c r="Q308" s="452"/>
      <c r="R308" s="452"/>
      <c r="S308" s="452"/>
      <c r="T308" s="158"/>
    </row>
    <row r="309" spans="1:20" ht="12.75" customHeight="1" x14ac:dyDescent="0.2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1"/>
      <c r="N309" s="451"/>
      <c r="O309" s="452"/>
      <c r="P309" s="452"/>
      <c r="Q309" s="452"/>
      <c r="R309" s="452"/>
      <c r="S309" s="452"/>
      <c r="T309" s="158"/>
    </row>
    <row r="310" spans="1:20" ht="12.75" customHeight="1" x14ac:dyDescent="0.2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1"/>
      <c r="N310" s="451"/>
      <c r="O310" s="452"/>
      <c r="P310" s="452"/>
      <c r="Q310" s="452"/>
      <c r="R310" s="452"/>
      <c r="S310" s="452"/>
      <c r="T310" s="158"/>
    </row>
    <row r="311" spans="1:20" ht="12.75" customHeight="1" x14ac:dyDescent="0.2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1"/>
      <c r="N311" s="451"/>
      <c r="O311" s="452"/>
      <c r="P311" s="452"/>
      <c r="Q311" s="452"/>
      <c r="R311" s="452"/>
      <c r="S311" s="452"/>
      <c r="T311" s="158"/>
    </row>
    <row r="312" spans="1:20" ht="12.75" customHeight="1" x14ac:dyDescent="0.2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1"/>
      <c r="N312" s="451"/>
      <c r="O312" s="452"/>
      <c r="P312" s="452"/>
      <c r="Q312" s="452"/>
      <c r="R312" s="452"/>
      <c r="S312" s="452"/>
      <c r="T312" s="158"/>
    </row>
    <row r="313" spans="1:20" ht="12.75" customHeight="1" x14ac:dyDescent="0.2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1"/>
      <c r="N313" s="451"/>
      <c r="O313" s="452"/>
      <c r="P313" s="452"/>
      <c r="Q313" s="452"/>
      <c r="R313" s="452"/>
      <c r="S313" s="452"/>
      <c r="T313" s="158"/>
    </row>
    <row r="314" spans="1:20" ht="12.75" customHeight="1" x14ac:dyDescent="0.2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1"/>
      <c r="N314" s="451"/>
      <c r="O314" s="452"/>
      <c r="P314" s="452"/>
      <c r="Q314" s="452"/>
      <c r="R314" s="452"/>
      <c r="S314" s="452"/>
      <c r="T314" s="158"/>
    </row>
    <row r="315" spans="1:20" ht="12.75" customHeight="1" x14ac:dyDescent="0.2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1"/>
      <c r="N315" s="451"/>
      <c r="O315" s="452"/>
      <c r="P315" s="452"/>
      <c r="Q315" s="452"/>
      <c r="R315" s="452"/>
      <c r="S315" s="452"/>
      <c r="T315" s="158"/>
    </row>
    <row r="316" spans="1:20" ht="12.75" customHeight="1" x14ac:dyDescent="0.2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1"/>
      <c r="N316" s="451"/>
      <c r="O316" s="452"/>
      <c r="P316" s="452"/>
      <c r="Q316" s="452"/>
      <c r="R316" s="452"/>
      <c r="S316" s="452"/>
      <c r="T316" s="158"/>
    </row>
    <row r="317" spans="1:20" ht="12.75" customHeight="1" x14ac:dyDescent="0.2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1"/>
      <c r="N317" s="451"/>
      <c r="O317" s="452"/>
      <c r="P317" s="452"/>
      <c r="Q317" s="452"/>
      <c r="R317" s="452"/>
      <c r="S317" s="452"/>
      <c r="T317" s="158"/>
    </row>
    <row r="318" spans="1:20" ht="12.75" customHeight="1" x14ac:dyDescent="0.2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1"/>
      <c r="N318" s="451"/>
      <c r="O318" s="452"/>
      <c r="P318" s="452"/>
      <c r="Q318" s="452"/>
      <c r="R318" s="452"/>
      <c r="S318" s="452"/>
      <c r="T318" s="158"/>
    </row>
    <row r="319" spans="1:20" ht="12.75" customHeight="1" x14ac:dyDescent="0.2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/>
      <c r="M319" s="451"/>
      <c r="N319" s="451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452">
        <v>2.8062993087265316E-11</v>
      </c>
      <c r="S319" s="452">
        <v>2.8062993087265316E-11</v>
      </c>
      <c r="T319" s="158"/>
    </row>
    <row r="320" spans="1:20" ht="12.75" customHeight="1" x14ac:dyDescent="0.2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1"/>
      <c r="N320" s="451"/>
      <c r="O320" s="452"/>
      <c r="P320" s="452"/>
      <c r="Q320" s="452"/>
      <c r="R320" s="452"/>
      <c r="S320" s="452"/>
      <c r="T320" s="158"/>
    </row>
    <row r="321" spans="1:20" ht="12.75" customHeight="1" x14ac:dyDescent="0.2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1"/>
      <c r="N321" s="451"/>
      <c r="O321" s="452"/>
      <c r="P321" s="452"/>
      <c r="Q321" s="452"/>
      <c r="R321" s="452"/>
      <c r="S321" s="452"/>
      <c r="T321" s="158"/>
    </row>
    <row r="322" spans="1:20" ht="12.75" customHeight="1" x14ac:dyDescent="0.2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1"/>
      <c r="N322" s="451"/>
      <c r="O322" s="452"/>
      <c r="P322" s="452"/>
      <c r="Q322" s="452"/>
      <c r="R322" s="452"/>
      <c r="S322" s="452"/>
      <c r="T322" s="158"/>
    </row>
    <row r="323" spans="1:20" ht="12.75" customHeight="1" x14ac:dyDescent="0.2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1"/>
      <c r="N323" s="451"/>
      <c r="O323" s="452"/>
      <c r="P323" s="452"/>
      <c r="Q323" s="452"/>
      <c r="R323" s="452"/>
      <c r="S323" s="452"/>
      <c r="T323" s="158"/>
    </row>
    <row r="324" spans="1:20" ht="12.75" customHeight="1" x14ac:dyDescent="0.2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1"/>
      <c r="N324" s="451"/>
      <c r="O324" s="452"/>
      <c r="P324" s="452"/>
      <c r="Q324" s="452"/>
      <c r="R324" s="452"/>
      <c r="S324" s="452"/>
      <c r="T324" s="158"/>
    </row>
    <row r="325" spans="1:20" ht="12.75" customHeight="1" x14ac:dyDescent="0.2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1"/>
      <c r="N325" s="451"/>
      <c r="O325" s="452"/>
      <c r="P325" s="452"/>
      <c r="Q325" s="452"/>
      <c r="R325" s="452"/>
      <c r="S325" s="452"/>
      <c r="T325" s="158"/>
    </row>
    <row r="326" spans="1:20" ht="12.75" customHeight="1" x14ac:dyDescent="0.2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1"/>
      <c r="N326" s="451"/>
      <c r="O326" s="452"/>
      <c r="P326" s="452"/>
      <c r="Q326" s="452"/>
      <c r="R326" s="452"/>
      <c r="S326" s="452"/>
      <c r="T326" s="158"/>
    </row>
    <row r="327" spans="1:20" ht="12.75" customHeight="1" x14ac:dyDescent="0.2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1"/>
      <c r="N327" s="451"/>
      <c r="O327" s="452"/>
      <c r="P327" s="452"/>
      <c r="Q327" s="452"/>
      <c r="R327" s="452"/>
      <c r="S327" s="452"/>
      <c r="T327" s="158"/>
    </row>
    <row r="328" spans="1:20" ht="12.75" customHeight="1" x14ac:dyDescent="0.2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59"/>
      <c r="N328" s="459"/>
      <c r="O328" s="460"/>
      <c r="P328" s="460"/>
      <c r="Q328" s="460"/>
      <c r="R328" s="460"/>
      <c r="S328" s="460"/>
      <c r="T328" s="158"/>
    </row>
    <row r="329" spans="1:20" ht="12.75" customHeight="1" x14ac:dyDescent="0.2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1"/>
      <c r="N329" s="451"/>
      <c r="O329" s="452"/>
      <c r="P329" s="452"/>
      <c r="Q329" s="452"/>
      <c r="R329" s="452"/>
      <c r="S329" s="452"/>
      <c r="T329" s="158"/>
    </row>
    <row r="330" spans="1:20" ht="12.75" customHeight="1" x14ac:dyDescent="0.2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1"/>
      <c r="N330" s="451"/>
      <c r="O330" s="452"/>
      <c r="P330" s="452"/>
      <c r="Q330" s="452"/>
      <c r="R330" s="452"/>
      <c r="S330" s="452"/>
      <c r="T330" s="158"/>
    </row>
    <row r="331" spans="1:20" ht="12.75" customHeight="1" x14ac:dyDescent="0.2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1"/>
      <c r="N331" s="451"/>
      <c r="O331" s="452"/>
      <c r="P331" s="452"/>
      <c r="Q331" s="452"/>
      <c r="R331" s="452"/>
      <c r="S331" s="452"/>
      <c r="T331" s="158"/>
    </row>
    <row r="332" spans="1:20" ht="12.75" customHeight="1" x14ac:dyDescent="0.2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1"/>
      <c r="N332" s="451"/>
      <c r="O332" s="452"/>
      <c r="P332" s="452"/>
      <c r="Q332" s="452"/>
      <c r="R332" s="452"/>
      <c r="S332" s="452"/>
      <c r="T332" s="158"/>
    </row>
    <row r="333" spans="1:20" ht="12.75" customHeight="1" x14ac:dyDescent="0.2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1"/>
      <c r="N333" s="451"/>
      <c r="O333" s="452"/>
      <c r="P333" s="452"/>
      <c r="Q333" s="452"/>
      <c r="R333" s="452"/>
      <c r="S333" s="452"/>
      <c r="T333" s="158"/>
    </row>
    <row r="334" spans="1:20" ht="12.75" customHeight="1" x14ac:dyDescent="0.2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1"/>
      <c r="N334" s="451"/>
      <c r="O334" s="452"/>
      <c r="P334" s="452"/>
      <c r="Q334" s="452"/>
      <c r="R334" s="452"/>
      <c r="S334" s="452"/>
      <c r="T334" s="158"/>
    </row>
    <row r="335" spans="1:20" ht="12.75" customHeight="1" x14ac:dyDescent="0.2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1"/>
      <c r="N335" s="451"/>
      <c r="O335" s="452"/>
      <c r="P335" s="452"/>
      <c r="Q335" s="452"/>
      <c r="R335" s="452"/>
      <c r="S335" s="452"/>
      <c r="T335" s="158"/>
    </row>
    <row r="336" spans="1:20" ht="12.75" customHeight="1" x14ac:dyDescent="0.2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1"/>
      <c r="N336" s="451"/>
      <c r="O336" s="452"/>
      <c r="P336" s="452"/>
      <c r="Q336" s="452"/>
      <c r="R336" s="452"/>
      <c r="S336" s="452"/>
      <c r="T336" s="158"/>
    </row>
    <row r="337" spans="1:20" ht="12.75" customHeight="1" x14ac:dyDescent="0.2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1"/>
      <c r="N337" s="451"/>
      <c r="O337" s="452"/>
      <c r="P337" s="452"/>
      <c r="Q337" s="452"/>
      <c r="R337" s="452"/>
      <c r="S337" s="452"/>
      <c r="T337" s="158"/>
    </row>
    <row r="338" spans="1:20" ht="12.75" customHeight="1" x14ac:dyDescent="0.2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1"/>
      <c r="N338" s="451"/>
      <c r="O338" s="452"/>
      <c r="P338" s="452"/>
      <c r="Q338" s="452"/>
      <c r="R338" s="452"/>
      <c r="S338" s="452"/>
      <c r="T338" s="158"/>
    </row>
    <row r="339" spans="1:20" ht="12.75" customHeight="1" x14ac:dyDescent="0.2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1"/>
      <c r="N339" s="451"/>
      <c r="O339" s="452"/>
      <c r="P339" s="452"/>
      <c r="Q339" s="452"/>
      <c r="R339" s="452"/>
      <c r="S339" s="452"/>
      <c r="T339" s="158"/>
    </row>
    <row r="340" spans="1:20" ht="12.75" customHeight="1" x14ac:dyDescent="0.2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1"/>
      <c r="N340" s="451"/>
      <c r="O340" s="452"/>
      <c r="P340" s="452"/>
      <c r="Q340" s="452"/>
      <c r="R340" s="452"/>
      <c r="S340" s="452"/>
      <c r="T340" s="158"/>
    </row>
    <row r="341" spans="1:20" ht="12.75" customHeight="1" x14ac:dyDescent="0.2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/>
      <c r="M341" s="451"/>
      <c r="N341" s="451">
        <v>1</v>
      </c>
      <c r="O341" s="452">
        <v>1</v>
      </c>
      <c r="P341" s="452">
        <v>1</v>
      </c>
      <c r="Q341" s="452">
        <v>1</v>
      </c>
      <c r="R341" s="452"/>
      <c r="S341" s="452">
        <v>1</v>
      </c>
      <c r="T341" s="158"/>
    </row>
    <row r="342" spans="1:20" ht="12.75" customHeight="1" x14ac:dyDescent="0.2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/>
      <c r="M342" s="451"/>
      <c r="N342" s="451">
        <v>1</v>
      </c>
      <c r="O342" s="452">
        <v>1</v>
      </c>
      <c r="P342" s="452">
        <v>1</v>
      </c>
      <c r="Q342" s="452">
        <v>1</v>
      </c>
      <c r="R342" s="452"/>
      <c r="S342" s="452">
        <v>1</v>
      </c>
      <c r="T342" s="158"/>
    </row>
    <row r="343" spans="1:20" ht="12.75" customHeight="1" x14ac:dyDescent="0.2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/>
      <c r="M343" s="451"/>
      <c r="N343" s="451">
        <v>1</v>
      </c>
      <c r="O343" s="452">
        <v>1</v>
      </c>
      <c r="P343" s="452">
        <v>1</v>
      </c>
      <c r="Q343" s="452">
        <v>1</v>
      </c>
      <c r="R343" s="452"/>
      <c r="S343" s="452">
        <v>1</v>
      </c>
      <c r="T343" s="158"/>
    </row>
    <row r="344" spans="1:20" ht="12.7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339"/>
      <c r="N344" s="339"/>
      <c r="O344" s="282"/>
      <c r="P344" s="282"/>
      <c r="Q344" s="282"/>
      <c r="R344" s="282"/>
      <c r="S344" s="282"/>
      <c r="T344" s="158"/>
    </row>
    <row r="345" spans="1:20" ht="12.75" customHeight="1" x14ac:dyDescent="0.2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 t="s">
        <v>754</v>
      </c>
      <c r="M345" s="364" t="s">
        <v>754</v>
      </c>
      <c r="N345" s="364"/>
      <c r="O345" s="470"/>
      <c r="P345" s="470"/>
      <c r="Q345" s="470"/>
      <c r="R345" s="470"/>
      <c r="S345" s="470"/>
      <c r="T345" s="158"/>
    </row>
    <row r="346" spans="1:20" ht="12.75" customHeight="1" x14ac:dyDescent="0.2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339"/>
      <c r="N346" s="339"/>
      <c r="O346" s="282"/>
      <c r="P346" s="282"/>
      <c r="Q346" s="282"/>
      <c r="R346" s="282"/>
      <c r="S346" s="282"/>
      <c r="T346" s="158"/>
    </row>
    <row r="347" spans="1:20" ht="12.75" customHeight="1" x14ac:dyDescent="0.2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1"/>
      <c r="N347" s="451"/>
      <c r="O347" s="452"/>
      <c r="P347" s="452"/>
      <c r="Q347" s="452"/>
      <c r="R347" s="452"/>
      <c r="S347" s="452"/>
      <c r="T347" s="158"/>
    </row>
    <row r="348" spans="1:20" ht="12.75" customHeight="1" x14ac:dyDescent="0.2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1"/>
      <c r="N348" s="451"/>
      <c r="O348" s="452"/>
      <c r="P348" s="452"/>
      <c r="Q348" s="452"/>
      <c r="R348" s="452"/>
      <c r="S348" s="452"/>
      <c r="T348" s="158"/>
    </row>
    <row r="349" spans="1:20" ht="12.75" customHeight="1" x14ac:dyDescent="0.2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1"/>
      <c r="N349" s="451"/>
      <c r="O349" s="452"/>
      <c r="P349" s="452"/>
      <c r="Q349" s="452"/>
      <c r="R349" s="452"/>
      <c r="S349" s="452"/>
      <c r="T349" s="158"/>
    </row>
    <row r="350" spans="1:20" ht="12.75" customHeight="1" x14ac:dyDescent="0.2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1"/>
      <c r="N350" s="451"/>
      <c r="O350" s="452"/>
      <c r="P350" s="452"/>
      <c r="Q350" s="452"/>
      <c r="R350" s="452"/>
      <c r="S350" s="452"/>
      <c r="T350" s="158"/>
    </row>
    <row r="351" spans="1:20" ht="12.75" customHeight="1" x14ac:dyDescent="0.2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1"/>
      <c r="N351" s="451"/>
      <c r="O351" s="452"/>
      <c r="P351" s="452"/>
      <c r="Q351" s="452"/>
      <c r="R351" s="452"/>
      <c r="S351" s="452"/>
      <c r="T351" s="158"/>
    </row>
    <row r="352" spans="1:20" ht="12.75" customHeight="1" x14ac:dyDescent="0.2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1"/>
      <c r="N352" s="451"/>
      <c r="O352" s="452"/>
      <c r="P352" s="452"/>
      <c r="Q352" s="452"/>
      <c r="R352" s="452"/>
      <c r="S352" s="452"/>
      <c r="T352" s="158"/>
    </row>
    <row r="353" spans="1:20" ht="12.75" customHeight="1" x14ac:dyDescent="0.2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1"/>
      <c r="N353" s="451"/>
      <c r="O353" s="452"/>
      <c r="P353" s="452"/>
      <c r="Q353" s="452"/>
      <c r="R353" s="452"/>
      <c r="S353" s="452"/>
      <c r="T353" s="158"/>
    </row>
    <row r="354" spans="1:20" ht="12.75" customHeight="1" x14ac:dyDescent="0.2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1"/>
      <c r="N354" s="451"/>
      <c r="O354" s="452"/>
      <c r="P354" s="452"/>
      <c r="Q354" s="452"/>
      <c r="R354" s="452"/>
      <c r="S354" s="452"/>
      <c r="T354" s="158"/>
    </row>
    <row r="355" spans="1:20" ht="12.75" customHeight="1" x14ac:dyDescent="0.2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1"/>
      <c r="N355" s="451"/>
      <c r="O355" s="452"/>
      <c r="P355" s="452"/>
      <c r="Q355" s="452"/>
      <c r="R355" s="452"/>
      <c r="S355" s="452"/>
      <c r="T355" s="158"/>
    </row>
    <row r="356" spans="1:20" ht="12.75" customHeight="1" x14ac:dyDescent="0.2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1"/>
      <c r="N356" s="451"/>
      <c r="O356" s="452"/>
      <c r="P356" s="452"/>
      <c r="Q356" s="452"/>
      <c r="R356" s="452"/>
      <c r="S356" s="452"/>
      <c r="T356" s="158"/>
    </row>
    <row r="357" spans="1:20" ht="12.75" customHeight="1" x14ac:dyDescent="0.2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1"/>
      <c r="N357" s="451"/>
      <c r="O357" s="452"/>
      <c r="P357" s="452"/>
      <c r="Q357" s="452"/>
      <c r="R357" s="452"/>
      <c r="S357" s="452"/>
      <c r="T357" s="158"/>
    </row>
    <row r="358" spans="1:20" ht="12.75" customHeight="1" x14ac:dyDescent="0.2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1"/>
      <c r="N358" s="451"/>
      <c r="O358" s="452"/>
      <c r="P358" s="452"/>
      <c r="Q358" s="452"/>
      <c r="R358" s="452"/>
      <c r="S358" s="452"/>
      <c r="T358" s="158"/>
    </row>
    <row r="359" spans="1:20" ht="12.75" customHeight="1" x14ac:dyDescent="0.2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1"/>
      <c r="N359" s="451"/>
      <c r="O359" s="452"/>
      <c r="P359" s="452"/>
      <c r="Q359" s="452"/>
      <c r="R359" s="452"/>
      <c r="S359" s="452"/>
      <c r="T359" s="158"/>
    </row>
    <row r="360" spans="1:20" ht="12.75" customHeight="1" x14ac:dyDescent="0.2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1"/>
      <c r="N360" s="451"/>
      <c r="O360" s="452"/>
      <c r="P360" s="452"/>
      <c r="Q360" s="452"/>
      <c r="R360" s="452"/>
      <c r="S360" s="452"/>
      <c r="T360" s="158"/>
    </row>
    <row r="361" spans="1:20" ht="12.75" customHeight="1" x14ac:dyDescent="0.2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1"/>
      <c r="N361" s="451"/>
      <c r="O361" s="452"/>
      <c r="P361" s="452"/>
      <c r="Q361" s="452"/>
      <c r="R361" s="452"/>
      <c r="S361" s="452"/>
      <c r="T361" s="158"/>
    </row>
    <row r="362" spans="1:20" ht="12.75" customHeight="1" x14ac:dyDescent="0.2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1"/>
      <c r="N362" s="451"/>
      <c r="O362" s="452"/>
      <c r="P362" s="452"/>
      <c r="Q362" s="452"/>
      <c r="R362" s="452"/>
      <c r="S362" s="452"/>
      <c r="T362" s="158"/>
    </row>
    <row r="363" spans="1:20" ht="12.75" customHeight="1" x14ac:dyDescent="0.2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1"/>
      <c r="N363" s="451"/>
      <c r="O363" s="452"/>
      <c r="P363" s="452"/>
      <c r="Q363" s="452"/>
      <c r="R363" s="452"/>
      <c r="S363" s="452"/>
      <c r="T363" s="158"/>
    </row>
    <row r="364" spans="1:20" ht="12.75" customHeight="1" x14ac:dyDescent="0.2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1"/>
      <c r="N364" s="451"/>
      <c r="O364" s="452"/>
      <c r="P364" s="452"/>
      <c r="Q364" s="452"/>
      <c r="R364" s="452"/>
      <c r="S364" s="452"/>
      <c r="T364" s="158"/>
    </row>
    <row r="365" spans="1:20" ht="12.75" customHeight="1" x14ac:dyDescent="0.2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1"/>
      <c r="N365" s="451"/>
      <c r="O365" s="452"/>
      <c r="P365" s="452"/>
      <c r="Q365" s="452"/>
      <c r="R365" s="452"/>
      <c r="S365" s="452"/>
      <c r="T365" s="158"/>
    </row>
    <row r="366" spans="1:20" ht="12.75" customHeight="1" x14ac:dyDescent="0.2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1"/>
      <c r="N366" s="451"/>
      <c r="O366" s="452"/>
      <c r="P366" s="452"/>
      <c r="Q366" s="452"/>
      <c r="R366" s="452"/>
      <c r="S366" s="452"/>
      <c r="T366" s="158"/>
    </row>
    <row r="367" spans="1:20" ht="12.75" customHeight="1" x14ac:dyDescent="0.2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1"/>
      <c r="N367" s="451"/>
      <c r="O367" s="452"/>
      <c r="P367" s="452"/>
      <c r="Q367" s="452"/>
      <c r="R367" s="452"/>
      <c r="S367" s="452"/>
      <c r="T367" s="158"/>
    </row>
    <row r="368" spans="1:20" ht="12.75" customHeight="1" x14ac:dyDescent="0.2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1"/>
      <c r="N368" s="451"/>
      <c r="O368" s="452"/>
      <c r="P368" s="452"/>
      <c r="Q368" s="452"/>
      <c r="R368" s="452"/>
      <c r="S368" s="452"/>
      <c r="T368" s="158"/>
    </row>
    <row r="369" spans="1:20" ht="12.75" customHeight="1" x14ac:dyDescent="0.2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1"/>
      <c r="N369" s="451"/>
      <c r="O369" s="452"/>
      <c r="P369" s="452"/>
      <c r="Q369" s="452"/>
      <c r="R369" s="452"/>
      <c r="S369" s="452"/>
      <c r="T369" s="158"/>
    </row>
    <row r="370" spans="1:20" ht="12.75" customHeight="1" x14ac:dyDescent="0.2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1"/>
      <c r="N370" s="451"/>
      <c r="O370" s="452"/>
      <c r="P370" s="452"/>
      <c r="Q370" s="452"/>
      <c r="R370" s="452"/>
      <c r="S370" s="452"/>
      <c r="T370" s="158"/>
    </row>
    <row r="371" spans="1:20" ht="12.75" customHeight="1" x14ac:dyDescent="0.2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1"/>
      <c r="N371" s="451"/>
      <c r="O371" s="452"/>
      <c r="P371" s="452"/>
      <c r="Q371" s="452"/>
      <c r="R371" s="452"/>
      <c r="S371" s="452"/>
      <c r="T371" s="158"/>
    </row>
    <row r="372" spans="1:20" ht="12.75" customHeight="1" x14ac:dyDescent="0.2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1"/>
      <c r="N372" s="451"/>
      <c r="O372" s="452"/>
      <c r="P372" s="452"/>
      <c r="Q372" s="452"/>
      <c r="R372" s="452"/>
      <c r="S372" s="452"/>
      <c r="T372" s="158"/>
    </row>
    <row r="373" spans="1:20" ht="12.75" customHeight="1" x14ac:dyDescent="0.2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1"/>
      <c r="N373" s="451"/>
      <c r="O373" s="452"/>
      <c r="P373" s="452"/>
      <c r="Q373" s="452"/>
      <c r="R373" s="452"/>
      <c r="S373" s="452"/>
      <c r="T373" s="158"/>
    </row>
    <row r="374" spans="1:20" ht="12.75" customHeight="1" x14ac:dyDescent="0.2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1"/>
      <c r="N374" s="451"/>
      <c r="O374" s="452"/>
      <c r="P374" s="452"/>
      <c r="Q374" s="452"/>
      <c r="R374" s="452"/>
      <c r="S374" s="452"/>
      <c r="T374" s="158"/>
    </row>
    <row r="375" spans="1:20" ht="12.75" customHeight="1" x14ac:dyDescent="0.2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/>
      <c r="M375" s="451"/>
      <c r="N375" s="451">
        <v>1</v>
      </c>
      <c r="O375" s="452">
        <v>1</v>
      </c>
      <c r="P375" s="452">
        <v>1</v>
      </c>
      <c r="Q375" s="452">
        <v>1</v>
      </c>
      <c r="R375" s="452"/>
      <c r="S375" s="452">
        <v>1</v>
      </c>
      <c r="T375" s="158"/>
    </row>
    <row r="376" spans="1:20" ht="12.75" customHeight="1" x14ac:dyDescent="0.2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/>
      <c r="M376" s="451"/>
      <c r="N376" s="451">
        <v>1</v>
      </c>
      <c r="O376" s="452">
        <v>1</v>
      </c>
      <c r="P376" s="452">
        <v>1</v>
      </c>
      <c r="Q376" s="452">
        <v>1</v>
      </c>
      <c r="R376" s="452"/>
      <c r="S376" s="452">
        <v>1</v>
      </c>
      <c r="T376" s="158"/>
    </row>
    <row r="377" spans="1:20" ht="12.75" customHeight="1" x14ac:dyDescent="0.2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/>
      <c r="M377" s="451"/>
      <c r="N377" s="451">
        <v>1</v>
      </c>
      <c r="O377" s="452">
        <v>1</v>
      </c>
      <c r="P377" s="452">
        <v>1</v>
      </c>
      <c r="Q377" s="452">
        <v>1</v>
      </c>
      <c r="R377" s="452"/>
      <c r="S377" s="452">
        <v>1</v>
      </c>
      <c r="T377" s="158"/>
    </row>
    <row r="378" spans="1:20" ht="12.75" customHeight="1" x14ac:dyDescent="0.2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356"/>
      <c r="N378" s="356"/>
      <c r="O378" s="471"/>
      <c r="P378" s="471"/>
      <c r="Q378" s="471"/>
      <c r="R378" s="471"/>
      <c r="S378" s="471"/>
      <c r="T378" s="158"/>
    </row>
    <row r="379" spans="1:20" ht="12.7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339"/>
      <c r="N379" s="339"/>
      <c r="O379" s="282"/>
      <c r="P379" s="282"/>
      <c r="Q379" s="282"/>
      <c r="R379" s="282"/>
      <c r="S379" s="282"/>
      <c r="T379" s="158"/>
    </row>
    <row r="380" spans="1:20" ht="12.75" customHeight="1" x14ac:dyDescent="0.2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339"/>
      <c r="N380" s="339"/>
      <c r="O380" s="282"/>
      <c r="P380" s="282"/>
      <c r="Q380" s="282"/>
      <c r="R380" s="282"/>
      <c r="S380" s="282"/>
      <c r="T380" s="158"/>
    </row>
    <row r="381" spans="1:20" ht="12.75" customHeight="1" x14ac:dyDescent="0.2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339"/>
      <c r="N381" s="339"/>
      <c r="O381" s="282"/>
      <c r="P381" s="282"/>
      <c r="Q381" s="282"/>
      <c r="R381" s="282"/>
      <c r="S381" s="282"/>
      <c r="T381" s="158"/>
    </row>
    <row r="382" spans="1:20" ht="12.75" customHeight="1" x14ac:dyDescent="0.2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 t="s">
        <v>754</v>
      </c>
      <c r="M382" s="364" t="s">
        <v>754</v>
      </c>
      <c r="N382" s="364"/>
      <c r="O382" s="470"/>
      <c r="P382" s="470"/>
      <c r="Q382" s="470"/>
      <c r="R382" s="470"/>
      <c r="S382" s="470"/>
      <c r="T382" s="158"/>
    </row>
    <row r="383" spans="1:20" ht="12.75" customHeight="1" x14ac:dyDescent="0.2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339"/>
      <c r="N383" s="339"/>
      <c r="O383" s="282"/>
      <c r="P383" s="282"/>
      <c r="Q383" s="282"/>
      <c r="R383" s="282"/>
      <c r="S383" s="282"/>
      <c r="T383" s="158"/>
    </row>
    <row r="384" spans="1:20" ht="12.75" customHeight="1" x14ac:dyDescent="0.2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1"/>
      <c r="N384" s="451"/>
      <c r="O384" s="452"/>
      <c r="P384" s="452"/>
      <c r="Q384" s="452"/>
      <c r="R384" s="452"/>
      <c r="S384" s="452"/>
      <c r="T384" s="158"/>
    </row>
    <row r="385" spans="1:20" ht="12.75" customHeight="1" x14ac:dyDescent="0.2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1"/>
      <c r="N385" s="451"/>
      <c r="O385" s="452"/>
      <c r="P385" s="452"/>
      <c r="Q385" s="452"/>
      <c r="R385" s="452"/>
      <c r="S385" s="452"/>
      <c r="T385" s="158"/>
    </row>
    <row r="386" spans="1:20" ht="12.75" customHeight="1" x14ac:dyDescent="0.2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1"/>
      <c r="N386" s="451"/>
      <c r="O386" s="452"/>
      <c r="P386" s="452"/>
      <c r="Q386" s="452"/>
      <c r="R386" s="452"/>
      <c r="S386" s="452"/>
      <c r="T386" s="158"/>
    </row>
    <row r="387" spans="1:20" ht="12.75" customHeight="1" x14ac:dyDescent="0.2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1"/>
      <c r="N387" s="451"/>
      <c r="O387" s="452"/>
      <c r="P387" s="452"/>
      <c r="Q387" s="452"/>
      <c r="R387" s="452"/>
      <c r="S387" s="452"/>
      <c r="T387" s="158"/>
    </row>
    <row r="388" spans="1:20" ht="12.75" customHeight="1" x14ac:dyDescent="0.2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1"/>
      <c r="N388" s="451"/>
      <c r="O388" s="452"/>
      <c r="P388" s="452"/>
      <c r="Q388" s="452"/>
      <c r="R388" s="452"/>
      <c r="S388" s="452"/>
      <c r="T388" s="158"/>
    </row>
    <row r="389" spans="1:20" ht="12.75" customHeight="1" x14ac:dyDescent="0.2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1"/>
      <c r="N389" s="451"/>
      <c r="O389" s="452"/>
      <c r="P389" s="452"/>
      <c r="Q389" s="452"/>
      <c r="R389" s="452"/>
      <c r="S389" s="452"/>
      <c r="T389" s="158"/>
    </row>
    <row r="390" spans="1:20" ht="12.75" customHeight="1" x14ac:dyDescent="0.2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1"/>
      <c r="N390" s="451"/>
      <c r="O390" s="452"/>
      <c r="P390" s="452"/>
      <c r="Q390" s="452"/>
      <c r="R390" s="452"/>
      <c r="S390" s="452"/>
      <c r="T390" s="158"/>
    </row>
    <row r="391" spans="1:20" ht="12.75" customHeight="1" x14ac:dyDescent="0.2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1"/>
      <c r="N391" s="451"/>
      <c r="O391" s="452"/>
      <c r="P391" s="452"/>
      <c r="Q391" s="452"/>
      <c r="R391" s="452"/>
      <c r="S391" s="452"/>
      <c r="T391" s="158"/>
    </row>
    <row r="392" spans="1:20" ht="12.75" customHeight="1" x14ac:dyDescent="0.2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1"/>
      <c r="N392" s="451"/>
      <c r="O392" s="452"/>
      <c r="P392" s="452"/>
      <c r="Q392" s="452"/>
      <c r="R392" s="452"/>
      <c r="S392" s="452"/>
      <c r="T392" s="158"/>
    </row>
    <row r="393" spans="1:20" ht="12.75" customHeight="1" x14ac:dyDescent="0.2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1"/>
      <c r="N393" s="451"/>
      <c r="O393" s="452"/>
      <c r="P393" s="452"/>
      <c r="Q393" s="452"/>
      <c r="R393" s="452"/>
      <c r="S393" s="452"/>
      <c r="T393" s="158"/>
    </row>
    <row r="394" spans="1:20" ht="12.75" customHeight="1" x14ac:dyDescent="0.2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1"/>
      <c r="N394" s="451"/>
      <c r="O394" s="452"/>
      <c r="P394" s="452"/>
      <c r="Q394" s="452"/>
      <c r="R394" s="452"/>
      <c r="S394" s="452"/>
      <c r="T394" s="158"/>
    </row>
    <row r="395" spans="1:20" ht="12.75" customHeight="1" x14ac:dyDescent="0.2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1"/>
      <c r="N395" s="451"/>
      <c r="O395" s="452"/>
      <c r="P395" s="452"/>
      <c r="Q395" s="452"/>
      <c r="R395" s="452"/>
      <c r="S395" s="452"/>
      <c r="T395" s="158"/>
    </row>
    <row r="396" spans="1:20" ht="12.75" customHeight="1" x14ac:dyDescent="0.2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1"/>
      <c r="N396" s="451"/>
      <c r="O396" s="452"/>
      <c r="P396" s="452"/>
      <c r="Q396" s="452"/>
      <c r="R396" s="452"/>
      <c r="S396" s="452"/>
      <c r="T396" s="158"/>
    </row>
    <row r="397" spans="1:20" ht="12.75" customHeight="1" x14ac:dyDescent="0.2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1"/>
      <c r="N397" s="451"/>
      <c r="O397" s="452"/>
      <c r="P397" s="452"/>
      <c r="Q397" s="452"/>
      <c r="R397" s="452"/>
      <c r="S397" s="452"/>
      <c r="T397" s="158"/>
    </row>
    <row r="398" spans="1:20" ht="12.75" customHeight="1" x14ac:dyDescent="0.2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1"/>
      <c r="N398" s="451"/>
      <c r="O398" s="452"/>
      <c r="P398" s="452"/>
      <c r="Q398" s="452"/>
      <c r="R398" s="452"/>
      <c r="S398" s="452"/>
      <c r="T398" s="158"/>
    </row>
    <row r="399" spans="1:20" ht="12.75" customHeight="1" x14ac:dyDescent="0.2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1"/>
      <c r="N399" s="451"/>
      <c r="O399" s="452"/>
      <c r="P399" s="452"/>
      <c r="Q399" s="452"/>
      <c r="R399" s="452"/>
      <c r="S399" s="452"/>
      <c r="T399" s="158"/>
    </row>
    <row r="400" spans="1:20" ht="12.75" customHeight="1" x14ac:dyDescent="0.2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1"/>
      <c r="N400" s="451"/>
      <c r="O400" s="452"/>
      <c r="P400" s="452"/>
      <c r="Q400" s="452"/>
      <c r="R400" s="452"/>
      <c r="S400" s="452"/>
      <c r="T400" s="158"/>
    </row>
    <row r="401" spans="1:20" ht="12.75" customHeight="1" x14ac:dyDescent="0.2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1"/>
      <c r="N401" s="451"/>
      <c r="O401" s="452"/>
      <c r="P401" s="452"/>
      <c r="Q401" s="452"/>
      <c r="R401" s="452"/>
      <c r="S401" s="452"/>
      <c r="T401" s="158"/>
    </row>
    <row r="402" spans="1:20" ht="12.75" customHeight="1" x14ac:dyDescent="0.2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1"/>
      <c r="N402" s="451"/>
      <c r="O402" s="452"/>
      <c r="P402" s="452"/>
      <c r="Q402" s="452"/>
      <c r="R402" s="452"/>
      <c r="S402" s="452"/>
      <c r="T402" s="158"/>
    </row>
    <row r="403" spans="1:20" ht="12.75" customHeight="1" x14ac:dyDescent="0.2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1"/>
      <c r="N403" s="451"/>
      <c r="O403" s="452"/>
      <c r="P403" s="452"/>
      <c r="Q403" s="452"/>
      <c r="R403" s="452"/>
      <c r="S403" s="452"/>
      <c r="T403" s="158"/>
    </row>
    <row r="404" spans="1:20" ht="12.75" customHeight="1" x14ac:dyDescent="0.2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1"/>
      <c r="N404" s="451"/>
      <c r="O404" s="452"/>
      <c r="P404" s="452"/>
      <c r="Q404" s="452"/>
      <c r="R404" s="452"/>
      <c r="S404" s="452"/>
      <c r="T404" s="158"/>
    </row>
    <row r="405" spans="1:20" ht="12.75" customHeight="1" x14ac:dyDescent="0.2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1"/>
      <c r="N405" s="451"/>
      <c r="O405" s="452"/>
      <c r="P405" s="452"/>
      <c r="Q405" s="452"/>
      <c r="R405" s="452"/>
      <c r="S405" s="452"/>
      <c r="T405" s="158"/>
    </row>
    <row r="406" spans="1:20" ht="12.75" customHeight="1" x14ac:dyDescent="0.2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1"/>
      <c r="N406" s="451"/>
      <c r="O406" s="452"/>
      <c r="P406" s="452"/>
      <c r="Q406" s="452"/>
      <c r="R406" s="452"/>
      <c r="S406" s="452"/>
      <c r="T406" s="158"/>
    </row>
    <row r="407" spans="1:20" ht="12.75" customHeight="1" x14ac:dyDescent="0.2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1"/>
      <c r="N407" s="451"/>
      <c r="O407" s="452"/>
      <c r="P407" s="452"/>
      <c r="Q407" s="452"/>
      <c r="R407" s="452"/>
      <c r="S407" s="452"/>
      <c r="T407" s="158"/>
    </row>
    <row r="408" spans="1:20" ht="12.75" customHeight="1" x14ac:dyDescent="0.2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1"/>
      <c r="N408" s="451"/>
      <c r="O408" s="452"/>
      <c r="P408" s="452"/>
      <c r="Q408" s="452"/>
      <c r="R408" s="452"/>
      <c r="S408" s="452"/>
      <c r="T408" s="158"/>
    </row>
    <row r="409" spans="1:20" ht="12.75" customHeight="1" x14ac:dyDescent="0.2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/>
      <c r="M409" s="451"/>
      <c r="N409" s="451">
        <v>4.9999999999999995E-11</v>
      </c>
      <c r="O409" s="452">
        <v>4.9999999999999995E-11</v>
      </c>
      <c r="P409" s="452">
        <v>4.9999999999999995E-11</v>
      </c>
      <c r="Q409" s="452">
        <v>4.9999999999999995E-11</v>
      </c>
      <c r="R409" s="452">
        <v>4.9999999999999995E-11</v>
      </c>
      <c r="S409" s="452"/>
      <c r="T409" s="158"/>
    </row>
    <row r="410" spans="1:20" ht="12.75" customHeight="1" x14ac:dyDescent="0.2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/>
      <c r="M410" s="451"/>
      <c r="N410" s="451">
        <v>9.9999999999999995E-21</v>
      </c>
      <c r="O410" s="452">
        <v>9.9999999999999995E-21</v>
      </c>
      <c r="P410" s="452">
        <v>9.9999999999999995E-21</v>
      </c>
      <c r="Q410" s="452">
        <v>9.9999999999999995E-21</v>
      </c>
      <c r="R410" s="452">
        <v>9.9999999999999995E-21</v>
      </c>
      <c r="S410" s="452"/>
      <c r="T410" s="158"/>
    </row>
    <row r="411" spans="1:20" ht="12.75" customHeight="1" x14ac:dyDescent="0.2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1"/>
      <c r="N411" s="451"/>
      <c r="O411" s="452"/>
      <c r="P411" s="452"/>
      <c r="Q411" s="452"/>
      <c r="R411" s="452"/>
      <c r="S411" s="452"/>
      <c r="T411" s="158"/>
    </row>
    <row r="412" spans="1:20" ht="12.75" customHeight="1" x14ac:dyDescent="0.2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1"/>
      <c r="N412" s="451"/>
      <c r="O412" s="452"/>
      <c r="P412" s="452"/>
      <c r="Q412" s="452"/>
      <c r="R412" s="452"/>
      <c r="S412" s="452"/>
      <c r="T412" s="158"/>
    </row>
    <row r="413" spans="1:20" ht="12.75" customHeight="1" x14ac:dyDescent="0.2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1"/>
      <c r="N413" s="451"/>
      <c r="O413" s="452"/>
      <c r="P413" s="452"/>
      <c r="Q413" s="452"/>
      <c r="R413" s="452"/>
      <c r="S413" s="452"/>
      <c r="T413" s="158"/>
    </row>
    <row r="414" spans="1:20" ht="12.75" customHeight="1" x14ac:dyDescent="0.2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1"/>
      <c r="N414" s="451"/>
      <c r="O414" s="452"/>
      <c r="P414" s="452"/>
      <c r="Q414" s="452"/>
      <c r="R414" s="452"/>
      <c r="S414" s="452"/>
      <c r="T414" s="158"/>
    </row>
    <row r="415" spans="1:20" ht="12.75" customHeight="1" x14ac:dyDescent="0.2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1"/>
      <c r="N415" s="451"/>
      <c r="O415" s="452"/>
      <c r="P415" s="452"/>
      <c r="Q415" s="452"/>
      <c r="R415" s="452"/>
      <c r="S415" s="452"/>
      <c r="T415" s="158"/>
    </row>
    <row r="416" spans="1:20" ht="12.75" customHeight="1" x14ac:dyDescent="0.2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1"/>
      <c r="N416" s="451"/>
      <c r="O416" s="452"/>
      <c r="P416" s="452"/>
      <c r="Q416" s="452"/>
      <c r="R416" s="452"/>
      <c r="S416" s="452"/>
      <c r="T416" s="158"/>
    </row>
    <row r="417" spans="1:20" ht="12.75" customHeight="1" x14ac:dyDescent="0.2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1"/>
      <c r="N417" s="451"/>
      <c r="O417" s="452"/>
      <c r="P417" s="452"/>
      <c r="Q417" s="452"/>
      <c r="R417" s="452"/>
      <c r="S417" s="452"/>
      <c r="T417" s="158"/>
    </row>
    <row r="418" spans="1:20" ht="12.75" customHeight="1" x14ac:dyDescent="0.2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1"/>
      <c r="N418" s="451"/>
      <c r="O418" s="452"/>
      <c r="P418" s="452"/>
      <c r="Q418" s="452"/>
      <c r="R418" s="452"/>
      <c r="S418" s="452"/>
      <c r="T418" s="158"/>
    </row>
    <row r="419" spans="1:20" ht="12.75" customHeight="1" x14ac:dyDescent="0.2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1"/>
      <c r="N419" s="451"/>
      <c r="O419" s="452"/>
      <c r="P419" s="452"/>
      <c r="Q419" s="452"/>
      <c r="R419" s="452"/>
      <c r="S419" s="452"/>
      <c r="T419" s="158"/>
    </row>
    <row r="420" spans="1:20" ht="12.75" customHeight="1" x14ac:dyDescent="0.2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1"/>
      <c r="N420" s="451"/>
      <c r="O420" s="452"/>
      <c r="P420" s="452"/>
      <c r="Q420" s="452"/>
      <c r="R420" s="452"/>
      <c r="S420" s="452"/>
      <c r="T420" s="158"/>
    </row>
    <row r="421" spans="1:20" ht="12.75" customHeight="1" x14ac:dyDescent="0.2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1"/>
      <c r="N421" s="451"/>
      <c r="O421" s="452"/>
      <c r="P421" s="452"/>
      <c r="Q421" s="452"/>
      <c r="R421" s="452"/>
      <c r="S421" s="452"/>
      <c r="T421" s="158"/>
    </row>
    <row r="422" spans="1:20" ht="12.75" customHeight="1" x14ac:dyDescent="0.2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59"/>
      <c r="N422" s="459"/>
      <c r="O422" s="460"/>
      <c r="P422" s="460"/>
      <c r="Q422" s="460"/>
      <c r="R422" s="460"/>
      <c r="S422" s="460"/>
      <c r="T422" s="158"/>
    </row>
    <row r="423" spans="1:20" ht="12.75" customHeight="1" x14ac:dyDescent="0.2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1"/>
      <c r="N423" s="451"/>
      <c r="O423" s="452"/>
      <c r="P423" s="452"/>
      <c r="Q423" s="452"/>
      <c r="R423" s="452"/>
      <c r="S423" s="452"/>
      <c r="T423" s="158"/>
    </row>
    <row r="424" spans="1:20" ht="12.75" customHeight="1" x14ac:dyDescent="0.2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1"/>
      <c r="N424" s="451"/>
      <c r="O424" s="452"/>
      <c r="P424" s="452"/>
      <c r="Q424" s="452"/>
      <c r="R424" s="452"/>
      <c r="S424" s="452"/>
      <c r="T424" s="158"/>
    </row>
    <row r="425" spans="1:20" ht="12.75" customHeight="1" x14ac:dyDescent="0.2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1"/>
      <c r="N425" s="451"/>
      <c r="O425" s="452"/>
      <c r="P425" s="452"/>
      <c r="Q425" s="452"/>
      <c r="R425" s="452"/>
      <c r="S425" s="452"/>
      <c r="T425" s="158"/>
    </row>
    <row r="426" spans="1:20" ht="12.75" customHeight="1" x14ac:dyDescent="0.2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59"/>
      <c r="N426" s="459"/>
      <c r="O426" s="460"/>
      <c r="P426" s="460"/>
      <c r="Q426" s="460"/>
      <c r="R426" s="460"/>
      <c r="S426" s="460"/>
      <c r="T426" s="158"/>
    </row>
    <row r="427" spans="1:20" ht="12.75" customHeight="1" x14ac:dyDescent="0.2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1"/>
      <c r="N427" s="451"/>
      <c r="O427" s="452"/>
      <c r="P427" s="452"/>
      <c r="Q427" s="452"/>
      <c r="R427" s="452"/>
      <c r="S427" s="452"/>
      <c r="T427" s="158"/>
    </row>
    <row r="428" spans="1:20" ht="12.75" customHeight="1" x14ac:dyDescent="0.2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1"/>
      <c r="N428" s="451"/>
      <c r="O428" s="452"/>
      <c r="P428" s="452"/>
      <c r="Q428" s="452"/>
      <c r="R428" s="452"/>
      <c r="S428" s="452"/>
      <c r="T428" s="158"/>
    </row>
    <row r="429" spans="1:20" ht="12.75" customHeight="1" x14ac:dyDescent="0.2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1"/>
      <c r="N429" s="451"/>
      <c r="O429" s="452"/>
      <c r="P429" s="452"/>
      <c r="Q429" s="452"/>
      <c r="R429" s="452"/>
      <c r="S429" s="452"/>
      <c r="T429" s="158"/>
    </row>
    <row r="430" spans="1:20" ht="12.75" customHeight="1" x14ac:dyDescent="0.2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1"/>
      <c r="N430" s="451"/>
      <c r="O430" s="452"/>
      <c r="P430" s="452"/>
      <c r="Q430" s="452"/>
      <c r="R430" s="452"/>
      <c r="S430" s="452"/>
      <c r="T430" s="158"/>
    </row>
    <row r="431" spans="1:20" ht="12.75" customHeight="1" x14ac:dyDescent="0.2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1"/>
      <c r="N431" s="451"/>
      <c r="O431" s="452"/>
      <c r="P431" s="452"/>
      <c r="Q431" s="452"/>
      <c r="R431" s="452"/>
      <c r="S431" s="452"/>
      <c r="T431" s="158"/>
    </row>
    <row r="432" spans="1:20" ht="12.75" customHeight="1" x14ac:dyDescent="0.2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1"/>
      <c r="N432" s="451"/>
      <c r="O432" s="452"/>
      <c r="P432" s="452"/>
      <c r="Q432" s="452"/>
      <c r="R432" s="452"/>
      <c r="S432" s="452"/>
      <c r="T432" s="158"/>
    </row>
    <row r="433" spans="1:20" ht="12.75" customHeight="1" x14ac:dyDescent="0.2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1"/>
      <c r="N433" s="451"/>
      <c r="O433" s="452"/>
      <c r="P433" s="452"/>
      <c r="Q433" s="452"/>
      <c r="R433" s="452"/>
      <c r="S433" s="452"/>
      <c r="T433" s="158"/>
    </row>
    <row r="434" spans="1:20" ht="12.75" customHeight="1" x14ac:dyDescent="0.2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1"/>
      <c r="N434" s="451"/>
      <c r="O434" s="452"/>
      <c r="P434" s="452"/>
      <c r="Q434" s="452"/>
      <c r="R434" s="452"/>
      <c r="S434" s="452"/>
      <c r="T434" s="158"/>
    </row>
    <row r="435" spans="1:20" ht="12.75" customHeight="1" x14ac:dyDescent="0.2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1"/>
      <c r="N435" s="451"/>
      <c r="O435" s="452"/>
      <c r="P435" s="452"/>
      <c r="Q435" s="452"/>
      <c r="R435" s="452"/>
      <c r="S435" s="452"/>
      <c r="T435" s="158"/>
    </row>
    <row r="436" spans="1:20" ht="12.75" customHeight="1" x14ac:dyDescent="0.2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1"/>
      <c r="N436" s="451"/>
      <c r="O436" s="452"/>
      <c r="P436" s="452"/>
      <c r="Q436" s="452"/>
      <c r="R436" s="452"/>
      <c r="S436" s="452"/>
      <c r="T436" s="158"/>
    </row>
    <row r="437" spans="1:20" ht="12.75" customHeight="1" x14ac:dyDescent="0.2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1"/>
      <c r="N437" s="451"/>
      <c r="O437" s="452"/>
      <c r="P437" s="452"/>
      <c r="Q437" s="452"/>
      <c r="R437" s="452"/>
      <c r="S437" s="452"/>
      <c r="T437" s="158"/>
    </row>
    <row r="438" spans="1:20" ht="12.75" customHeight="1" x14ac:dyDescent="0.2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1"/>
      <c r="N438" s="451"/>
      <c r="O438" s="452"/>
      <c r="P438" s="452"/>
      <c r="Q438" s="452"/>
      <c r="R438" s="452"/>
      <c r="S438" s="452"/>
      <c r="T438" s="158"/>
    </row>
    <row r="439" spans="1:20" ht="12.75" customHeight="1" x14ac:dyDescent="0.2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1"/>
      <c r="N439" s="451"/>
      <c r="O439" s="452"/>
      <c r="P439" s="452"/>
      <c r="Q439" s="452"/>
      <c r="R439" s="452"/>
      <c r="S439" s="452"/>
      <c r="T439" s="158"/>
    </row>
    <row r="440" spans="1:20" ht="12.75" customHeight="1" x14ac:dyDescent="0.2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1"/>
      <c r="N440" s="451"/>
      <c r="O440" s="452"/>
      <c r="P440" s="452"/>
      <c r="Q440" s="452"/>
      <c r="R440" s="452"/>
      <c r="S440" s="452"/>
      <c r="T440" s="158"/>
    </row>
    <row r="441" spans="1:20" ht="12.75" customHeight="1" x14ac:dyDescent="0.2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1"/>
      <c r="N441" s="451"/>
      <c r="O441" s="452"/>
      <c r="P441" s="452"/>
      <c r="Q441" s="452"/>
      <c r="R441" s="452"/>
      <c r="S441" s="452"/>
      <c r="T441" s="158"/>
    </row>
    <row r="442" spans="1:20" ht="12.7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339"/>
      <c r="N442" s="339"/>
      <c r="O442" s="282"/>
      <c r="P442" s="282"/>
      <c r="Q442" s="282"/>
      <c r="R442" s="282"/>
      <c r="S442" s="282"/>
      <c r="T442" s="158"/>
    </row>
    <row r="443" spans="1:20" ht="12.75" customHeight="1" x14ac:dyDescent="0.2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 t="s">
        <v>754</v>
      </c>
      <c r="M443" s="364" t="s">
        <v>754</v>
      </c>
      <c r="N443" s="364"/>
      <c r="O443" s="470"/>
      <c r="P443" s="470"/>
      <c r="Q443" s="470"/>
      <c r="R443" s="470"/>
      <c r="S443" s="470"/>
      <c r="T443" s="158"/>
    </row>
    <row r="444" spans="1:20" ht="12.75" customHeight="1" x14ac:dyDescent="0.2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1"/>
      <c r="N444" s="321"/>
      <c r="O444" s="323"/>
      <c r="P444" s="323"/>
      <c r="Q444" s="323"/>
      <c r="R444" s="323"/>
      <c r="S444" s="323"/>
      <c r="T444" s="158"/>
    </row>
    <row r="445" spans="1:20" ht="12.75" customHeight="1" x14ac:dyDescent="0.2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/>
      <c r="M445" s="451"/>
      <c r="N445" s="451">
        <f t="shared" ref="N445:R445" si="6">1-(0.0000258)/(IF(Tm&gt;298,EXP(-6.79*(1-Tm/298))*Pvap25*EXP((H0vap/8.314)*(1/298-1/TEMP.C)),Pvap25*EXP((H0vap/8.314)*(1/298-1/TEMP.C)))+(0.0000258))</f>
        <v>0.12462796418239608</v>
      </c>
      <c r="O445" s="452">
        <f t="shared" si="6"/>
        <v>0.12462796418239608</v>
      </c>
      <c r="P445" s="452">
        <f t="shared" si="6"/>
        <v>0.12462796418239608</v>
      </c>
      <c r="Q445" s="452">
        <f t="shared" si="6"/>
        <v>0.12462796418239608</v>
      </c>
      <c r="R445" s="452">
        <f t="shared" si="6"/>
        <v>0.12462796418239608</v>
      </c>
      <c r="S445" s="452"/>
      <c r="T445" s="158"/>
    </row>
    <row r="446" spans="1:20" ht="12.75" customHeight="1" x14ac:dyDescent="0.2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1"/>
      <c r="N446" s="451"/>
      <c r="O446" s="452"/>
      <c r="P446" s="452"/>
      <c r="Q446" s="452"/>
      <c r="R446" s="452"/>
      <c r="S446" s="452"/>
      <c r="T446" s="158"/>
    </row>
    <row r="447" spans="1:20" ht="12.75" customHeight="1" x14ac:dyDescent="0.2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/>
      <c r="M447" s="451"/>
      <c r="N447" s="451">
        <f t="shared" ref="N447:R447" si="7">(0.0000258)/(IF(Tm&gt;298,EXP(-6.79*(1-Tm/298))*Pvap25*EXP((H0vap/8.314)*(1/298-1/TEMP.C)),Pvap25*EXP((H0vap/8.314)*(1/298-1/TEMP.C)))+(0.0000258))</f>
        <v>0.87537203581760392</v>
      </c>
      <c r="O447" s="452">
        <f t="shared" si="7"/>
        <v>0.87537203581760392</v>
      </c>
      <c r="P447" s="452">
        <f t="shared" si="7"/>
        <v>0.87537203581760392</v>
      </c>
      <c r="Q447" s="452">
        <f t="shared" si="7"/>
        <v>0.87537203581760392</v>
      </c>
      <c r="R447" s="452">
        <f t="shared" si="7"/>
        <v>0.87537203581760392</v>
      </c>
      <c r="S447" s="452"/>
      <c r="T447" s="158"/>
    </row>
    <row r="448" spans="1:20" ht="12.75" customHeight="1" x14ac:dyDescent="0.2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1"/>
      <c r="N448" s="451"/>
      <c r="O448" s="452"/>
      <c r="P448" s="452"/>
      <c r="Q448" s="452"/>
      <c r="R448" s="452"/>
      <c r="S448" s="452"/>
      <c r="T448" s="158"/>
    </row>
    <row r="449" spans="1:20" ht="12.75" customHeight="1" x14ac:dyDescent="0.2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1"/>
      <c r="N449" s="451"/>
      <c r="O449" s="452"/>
      <c r="P449" s="452"/>
      <c r="Q449" s="452"/>
      <c r="R449" s="452"/>
      <c r="S449" s="452"/>
      <c r="T449" s="158"/>
    </row>
    <row r="450" spans="1:20" ht="12.75" customHeight="1" x14ac:dyDescent="0.2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1"/>
      <c r="N450" s="451"/>
      <c r="O450" s="452"/>
      <c r="P450" s="452"/>
      <c r="Q450" s="452"/>
      <c r="R450" s="452"/>
      <c r="S450" s="452"/>
      <c r="T450" s="158"/>
    </row>
    <row r="451" spans="1:20" ht="12.75" customHeight="1" x14ac:dyDescent="0.2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/>
      <c r="M451" s="451"/>
      <c r="N451" s="451">
        <f t="shared" ref="N451:R451" si="8">1/(1+Kp.susp0C*SUSP.w0C/1000+0.05*Kow*0.001/1000)</f>
        <v>0.99978338121031318</v>
      </c>
      <c r="O451" s="452">
        <f t="shared" si="8"/>
        <v>0.99978338121031318</v>
      </c>
      <c r="P451" s="452">
        <f t="shared" si="8"/>
        <v>0.99978338121031318</v>
      </c>
      <c r="Q451" s="452">
        <f t="shared" si="8"/>
        <v>0.99978338121031318</v>
      </c>
      <c r="R451" s="452">
        <f t="shared" si="8"/>
        <v>0.99978338121031318</v>
      </c>
      <c r="S451" s="452"/>
      <c r="T451" s="158"/>
    </row>
    <row r="452" spans="1:20" ht="12.75" customHeight="1" x14ac:dyDescent="0.2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1"/>
      <c r="N452" s="451"/>
      <c r="O452" s="452"/>
      <c r="P452" s="452"/>
      <c r="Q452" s="452"/>
      <c r="R452" s="452"/>
      <c r="S452" s="452"/>
      <c r="T452" s="158"/>
    </row>
    <row r="453" spans="1:20" ht="12.75" customHeight="1" x14ac:dyDescent="0.2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1"/>
      <c r="N453" s="451"/>
      <c r="O453" s="452"/>
      <c r="P453" s="452"/>
      <c r="Q453" s="452"/>
      <c r="R453" s="452"/>
      <c r="S453" s="452"/>
      <c r="T453" s="158"/>
    </row>
    <row r="454" spans="1:20" ht="12.75" customHeight="1" x14ac:dyDescent="0.2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1"/>
      <c r="N454" s="451"/>
      <c r="O454" s="452"/>
      <c r="P454" s="452"/>
      <c r="Q454" s="452"/>
      <c r="R454" s="452"/>
      <c r="S454" s="452"/>
      <c r="T454" s="158"/>
    </row>
    <row r="455" spans="1:20" ht="12.75" customHeight="1" x14ac:dyDescent="0.2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1"/>
      <c r="N455" s="451"/>
      <c r="O455" s="452"/>
      <c r="P455" s="452"/>
      <c r="Q455" s="452"/>
      <c r="R455" s="452"/>
      <c r="S455" s="452"/>
      <c r="T455" s="158"/>
    </row>
    <row r="456" spans="1:20" ht="12.75" customHeight="1" x14ac:dyDescent="0.2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1"/>
      <c r="N456" s="451"/>
      <c r="O456" s="452"/>
      <c r="P456" s="452"/>
      <c r="Q456" s="452"/>
      <c r="R456" s="452"/>
      <c r="S456" s="452"/>
      <c r="T456" s="158"/>
    </row>
    <row r="457" spans="1:20" ht="12.75" customHeight="1" x14ac:dyDescent="0.2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/>
      <c r="M457" s="451"/>
      <c r="N457" s="451">
        <f t="shared" ref="N457:R457" si="9">1/(1+Kp.susp1C*SUSP.w1C/1000+0.05*Kow*0.001/1000)</f>
        <v>0.99830430980414364</v>
      </c>
      <c r="O457" s="452">
        <f t="shared" si="9"/>
        <v>0.99830430980414364</v>
      </c>
      <c r="P457" s="452">
        <f t="shared" si="9"/>
        <v>0.99830430980414364</v>
      </c>
      <c r="Q457" s="452">
        <f t="shared" si="9"/>
        <v>0.99830430980414364</v>
      </c>
      <c r="R457" s="452">
        <f t="shared" si="9"/>
        <v>0.99830430980414364</v>
      </c>
      <c r="S457" s="452"/>
      <c r="T457" s="158"/>
    </row>
    <row r="458" spans="1:20" ht="12.75" customHeight="1" x14ac:dyDescent="0.2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1"/>
      <c r="N458" s="451"/>
      <c r="O458" s="452"/>
      <c r="P458" s="452"/>
      <c r="Q458" s="452"/>
      <c r="R458" s="452"/>
      <c r="S458" s="452"/>
      <c r="T458" s="158"/>
    </row>
    <row r="459" spans="1:20" ht="12.75" customHeight="1" x14ac:dyDescent="0.2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1"/>
      <c r="N459" s="451"/>
      <c r="O459" s="452"/>
      <c r="P459" s="452"/>
      <c r="Q459" s="452"/>
      <c r="R459" s="452"/>
      <c r="S459" s="452"/>
      <c r="T459" s="158"/>
    </row>
    <row r="460" spans="1:20" ht="12.75" customHeight="1" x14ac:dyDescent="0.2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1"/>
      <c r="N460" s="451"/>
      <c r="O460" s="452"/>
      <c r="P460" s="452"/>
      <c r="Q460" s="452"/>
      <c r="R460" s="452"/>
      <c r="S460" s="452"/>
      <c r="T460" s="158"/>
    </row>
    <row r="461" spans="1:20" ht="12.75" customHeight="1" x14ac:dyDescent="0.2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1"/>
      <c r="N461" s="451"/>
      <c r="O461" s="452"/>
      <c r="P461" s="452"/>
      <c r="Q461" s="452"/>
      <c r="R461" s="452"/>
      <c r="S461" s="452"/>
      <c r="T461" s="158"/>
    </row>
    <row r="462" spans="1:20" ht="12.75" customHeight="1" x14ac:dyDescent="0.2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1"/>
      <c r="N462" s="451"/>
      <c r="O462" s="452"/>
      <c r="P462" s="452"/>
      <c r="Q462" s="452"/>
      <c r="R462" s="452"/>
      <c r="S462" s="452"/>
      <c r="T462" s="158"/>
    </row>
    <row r="463" spans="1:20" ht="12.75" customHeight="1" x14ac:dyDescent="0.2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/>
      <c r="M463" s="451"/>
      <c r="N463" s="451">
        <f t="shared" ref="N463:R463" si="10">1/(1+Kp.susp2C*SUSP.w2C/1000+0.05*Kow*0.001/1000)</f>
        <v>0.99933769729472144</v>
      </c>
      <c r="O463" s="452">
        <f t="shared" si="10"/>
        <v>0.99933769729472144</v>
      </c>
      <c r="P463" s="452">
        <f t="shared" si="10"/>
        <v>0.99933769729472144</v>
      </c>
      <c r="Q463" s="452">
        <f t="shared" si="10"/>
        <v>0.99933769729472144</v>
      </c>
      <c r="R463" s="452">
        <f t="shared" si="10"/>
        <v>0.99933769729472144</v>
      </c>
      <c r="S463" s="452"/>
      <c r="T463" s="158"/>
    </row>
    <row r="464" spans="1:20" ht="12.75" customHeight="1" x14ac:dyDescent="0.2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1"/>
      <c r="N464" s="451"/>
      <c r="O464" s="452"/>
      <c r="P464" s="452"/>
      <c r="Q464" s="452"/>
      <c r="R464" s="452"/>
      <c r="S464" s="452"/>
      <c r="T464" s="158"/>
    </row>
    <row r="465" spans="1:20" ht="12.75" customHeight="1" x14ac:dyDescent="0.2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1"/>
      <c r="N465" s="451"/>
      <c r="O465" s="452"/>
      <c r="P465" s="452"/>
      <c r="Q465" s="452"/>
      <c r="R465" s="452"/>
      <c r="S465" s="452"/>
      <c r="T465" s="158"/>
    </row>
    <row r="466" spans="1:20" ht="12.75" customHeight="1" x14ac:dyDescent="0.2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1"/>
      <c r="N466" s="451"/>
      <c r="O466" s="452"/>
      <c r="P466" s="452"/>
      <c r="Q466" s="452"/>
      <c r="R466" s="452"/>
      <c r="S466" s="452"/>
      <c r="T466" s="158"/>
    </row>
    <row r="467" spans="1:20" ht="12.75" customHeight="1" x14ac:dyDescent="0.2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1"/>
      <c r="N467" s="451"/>
      <c r="O467" s="452"/>
      <c r="P467" s="452"/>
      <c r="Q467" s="452"/>
      <c r="R467" s="452"/>
      <c r="S467" s="452"/>
      <c r="T467" s="158"/>
    </row>
    <row r="468" spans="1:20" ht="12.75" customHeight="1" x14ac:dyDescent="0.2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1"/>
      <c r="N468" s="451"/>
      <c r="O468" s="452"/>
      <c r="P468" s="452"/>
      <c r="Q468" s="452"/>
      <c r="R468" s="452"/>
      <c r="S468" s="452"/>
      <c r="T468" s="158"/>
    </row>
    <row r="469" spans="1:20" ht="12.75" customHeight="1" x14ac:dyDescent="0.2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1"/>
      <c r="N469" s="451"/>
      <c r="O469" s="452"/>
      <c r="P469" s="452"/>
      <c r="Q469" s="452"/>
      <c r="R469" s="452"/>
      <c r="S469" s="452"/>
      <c r="T469" s="158"/>
    </row>
    <row r="470" spans="1:20" ht="12.75" customHeight="1" x14ac:dyDescent="0.2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1"/>
      <c r="N470" s="451"/>
      <c r="O470" s="452"/>
      <c r="P470" s="452"/>
      <c r="Q470" s="452"/>
      <c r="R470" s="452"/>
      <c r="S470" s="452"/>
      <c r="T470" s="158"/>
    </row>
    <row r="471" spans="1:20" ht="12.75" customHeight="1" x14ac:dyDescent="0.2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1"/>
      <c r="N471" s="451"/>
      <c r="O471" s="452"/>
      <c r="P471" s="452"/>
      <c r="Q471" s="452"/>
      <c r="R471" s="452"/>
      <c r="S471" s="452"/>
      <c r="T471" s="158"/>
    </row>
    <row r="472" spans="1:20" ht="12.75" customHeight="1" x14ac:dyDescent="0.2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1"/>
      <c r="N472" s="451"/>
      <c r="O472" s="452"/>
      <c r="P472" s="452"/>
      <c r="Q472" s="452"/>
      <c r="R472" s="452"/>
      <c r="S472" s="452"/>
      <c r="T472" s="158"/>
    </row>
    <row r="473" spans="1:20" ht="12.75" customHeight="1" x14ac:dyDescent="0.2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1"/>
      <c r="N473" s="451"/>
      <c r="O473" s="452"/>
      <c r="P473" s="452"/>
      <c r="Q473" s="452"/>
      <c r="R473" s="452"/>
      <c r="S473" s="452"/>
      <c r="T473" s="158"/>
    </row>
    <row r="474" spans="1:20" ht="12.75" customHeight="1" x14ac:dyDescent="0.2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1"/>
      <c r="N474" s="451"/>
      <c r="O474" s="452"/>
      <c r="P474" s="452"/>
      <c r="Q474" s="452"/>
      <c r="R474" s="452"/>
      <c r="S474" s="452"/>
      <c r="T474" s="158"/>
    </row>
    <row r="475" spans="1:20" ht="12.75" customHeight="1" x14ac:dyDescent="0.2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1"/>
      <c r="N475" s="451"/>
      <c r="O475" s="452"/>
      <c r="P475" s="452"/>
      <c r="Q475" s="452"/>
      <c r="R475" s="452"/>
      <c r="S475" s="452"/>
      <c r="T475" s="158"/>
    </row>
    <row r="476" spans="1:20" ht="12.75" customHeight="1" x14ac:dyDescent="0.2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1"/>
      <c r="N476" s="451"/>
      <c r="O476" s="452"/>
      <c r="P476" s="452"/>
      <c r="Q476" s="452"/>
      <c r="R476" s="452"/>
      <c r="S476" s="452"/>
      <c r="T476" s="158"/>
    </row>
    <row r="477" spans="1:20" ht="12.75" customHeight="1" x14ac:dyDescent="0.2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1"/>
      <c r="N477" s="451"/>
      <c r="O477" s="452"/>
      <c r="P477" s="452"/>
      <c r="Q477" s="452"/>
      <c r="R477" s="452"/>
      <c r="S477" s="452"/>
      <c r="T477" s="158"/>
    </row>
    <row r="478" spans="1:20" ht="12.75" customHeight="1" x14ac:dyDescent="0.2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1"/>
      <c r="N478" s="451"/>
      <c r="O478" s="452"/>
      <c r="P478" s="452"/>
      <c r="Q478" s="452"/>
      <c r="R478" s="452"/>
      <c r="S478" s="452"/>
      <c r="T478" s="158"/>
    </row>
    <row r="479" spans="1:20" ht="12.75" customHeight="1" x14ac:dyDescent="0.2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1"/>
      <c r="N479" s="451"/>
      <c r="O479" s="452"/>
      <c r="P479" s="452"/>
      <c r="Q479" s="452"/>
      <c r="R479" s="452"/>
      <c r="S479" s="452"/>
      <c r="T479" s="158"/>
    </row>
    <row r="480" spans="1:20" ht="12.75" customHeight="1" x14ac:dyDescent="0.2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1"/>
      <c r="N480" s="451"/>
      <c r="O480" s="452"/>
      <c r="P480" s="452"/>
      <c r="Q480" s="452"/>
      <c r="R480" s="452"/>
      <c r="S480" s="452"/>
      <c r="T480" s="158"/>
    </row>
    <row r="481" spans="1:20" ht="12.75" customHeight="1" x14ac:dyDescent="0.2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1"/>
      <c r="N481" s="451"/>
      <c r="O481" s="452"/>
      <c r="P481" s="452"/>
      <c r="Q481" s="452"/>
      <c r="R481" s="452"/>
      <c r="S481" s="452"/>
      <c r="T481" s="158"/>
    </row>
    <row r="482" spans="1:20" ht="12.75" customHeight="1" x14ac:dyDescent="0.2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1"/>
      <c r="N482" s="451"/>
      <c r="O482" s="452"/>
      <c r="P482" s="452"/>
      <c r="Q482" s="452"/>
      <c r="R482" s="452"/>
      <c r="S482" s="452"/>
      <c r="T482" s="158"/>
    </row>
    <row r="483" spans="1:20" ht="12.75" customHeight="1" x14ac:dyDescent="0.2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1"/>
      <c r="N483" s="451"/>
      <c r="O483" s="452"/>
      <c r="P483" s="452"/>
      <c r="Q483" s="452"/>
      <c r="R483" s="452"/>
      <c r="S483" s="452"/>
      <c r="T483" s="158"/>
    </row>
    <row r="484" spans="1:20" ht="12.75" customHeight="1" x14ac:dyDescent="0.2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1"/>
      <c r="N484" s="451"/>
      <c r="O484" s="452"/>
      <c r="P484" s="452"/>
      <c r="Q484" s="452"/>
      <c r="R484" s="452"/>
      <c r="S484" s="452"/>
      <c r="T484" s="158"/>
    </row>
    <row r="485" spans="1:20" ht="12.75" customHeight="1" x14ac:dyDescent="0.2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1"/>
      <c r="N485" s="451"/>
      <c r="O485" s="452"/>
      <c r="P485" s="452"/>
      <c r="Q485" s="452"/>
      <c r="R485" s="452"/>
      <c r="S485" s="452"/>
      <c r="T485" s="158"/>
    </row>
    <row r="486" spans="1:20" ht="12.75" customHeight="1" x14ac:dyDescent="0.2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1"/>
      <c r="N486" s="451"/>
      <c r="O486" s="452"/>
      <c r="P486" s="452"/>
      <c r="Q486" s="452"/>
      <c r="R486" s="452"/>
      <c r="S486" s="452"/>
      <c r="T486" s="158"/>
    </row>
    <row r="487" spans="1:20" ht="12.75" customHeight="1" x14ac:dyDescent="0.2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1"/>
      <c r="N487" s="451"/>
      <c r="O487" s="452"/>
      <c r="P487" s="452"/>
      <c r="Q487" s="452"/>
      <c r="R487" s="452"/>
      <c r="S487" s="452"/>
      <c r="T487" s="158"/>
    </row>
    <row r="488" spans="1:20" ht="12.75" customHeight="1" x14ac:dyDescent="0.2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1"/>
      <c r="N488" s="451"/>
      <c r="O488" s="452"/>
      <c r="P488" s="452"/>
      <c r="Q488" s="452"/>
      <c r="R488" s="452"/>
      <c r="S488" s="452"/>
      <c r="T488" s="158"/>
    </row>
    <row r="489" spans="1:20" ht="12.75" customHeight="1" x14ac:dyDescent="0.2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1"/>
      <c r="N489" s="451"/>
      <c r="O489" s="452"/>
      <c r="P489" s="452"/>
      <c r="Q489" s="452"/>
      <c r="R489" s="452"/>
      <c r="S489" s="452"/>
      <c r="T489" s="158"/>
    </row>
    <row r="490" spans="1:20" ht="12.75" customHeight="1" x14ac:dyDescent="0.2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339"/>
      <c r="N490" s="339"/>
      <c r="O490" s="282"/>
      <c r="P490" s="282"/>
      <c r="Q490" s="282"/>
      <c r="R490" s="282"/>
      <c r="S490" s="282"/>
      <c r="T490" s="158"/>
    </row>
    <row r="491" spans="1:20" ht="12.75" customHeight="1" x14ac:dyDescent="0.2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 t="s">
        <v>754</v>
      </c>
      <c r="M491" s="364" t="s">
        <v>754</v>
      </c>
      <c r="N491" s="364"/>
      <c r="O491" s="470"/>
      <c r="P491" s="470"/>
      <c r="Q491" s="470"/>
      <c r="R491" s="470"/>
      <c r="S491" s="470"/>
      <c r="T491" s="158"/>
    </row>
    <row r="492" spans="1:20" ht="12.7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339"/>
      <c r="N492" s="339"/>
      <c r="O492" s="282"/>
      <c r="P492" s="282"/>
      <c r="Q492" s="282"/>
      <c r="R492" s="282"/>
      <c r="S492" s="282"/>
      <c r="T492" s="158"/>
    </row>
    <row r="493" spans="1:20" ht="12.75" customHeight="1" x14ac:dyDescent="0.2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/>
      <c r="M493" s="451"/>
      <c r="N493" s="451">
        <f>((DRYDEPaerosol.C+AerosolWashout.C+GasWashout.C+GASABS.aC.wC)/HEIGHT.aC)*AREAFRAC.w0C</f>
        <v>8.8983611508293877E-6</v>
      </c>
      <c r="O493" s="451">
        <f>((DRYDEPaerosol.C+AerosolWashout.C+GasWashout.C+GASABS.aC.wC)/HEIGHT.aC)*AREAFRAC.w0C</f>
        <v>8.8983611508293877E-6</v>
      </c>
      <c r="P493" s="451">
        <f>((DRYDEPaerosol.C+AerosolWashout.C+GasWashout.C+GASABS.aC.wC)/HEIGHT.aC)*AREAFRAC.w0C</f>
        <v>8.8983611508293877E-6</v>
      </c>
      <c r="Q493" s="451">
        <f>((DRYDEPaerosol.C+AerosolWashout.C+GasWashout.C+GASABS.aC.wC)/HEIGHT.aC)*AREAFRAC.w0C</f>
        <v>8.8983611508293877E-6</v>
      </c>
      <c r="R493" s="451">
        <f>((DRYDEPaerosol.C+AerosolWashout.C+GasWashout.C+GASABS.aC.wC)/HEIGHT.aC)*AREAFRAC.w0C</f>
        <v>8.8983611508293877E-6</v>
      </c>
      <c r="S493" s="452"/>
      <c r="T493" s="158"/>
    </row>
    <row r="494" spans="1:20" ht="12.75" customHeight="1" x14ac:dyDescent="0.2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/>
      <c r="M494" s="451"/>
      <c r="N494" s="451">
        <f>((DRYDEPaerosol.C+AerosolWashout.C+GasWashout.C+GASABS.aC.wC)/HEIGHT.aC)*AREAFRAC.w1C</f>
        <v>9.7881972659123254E-5</v>
      </c>
      <c r="O494" s="451">
        <f>((DRYDEPaerosol.C+AerosolWashout.C+GasWashout.C+GASABS.aC.wC)/HEIGHT.aC)*AREAFRAC.w1C</f>
        <v>9.7881972659123254E-5</v>
      </c>
      <c r="P494" s="451">
        <f>((DRYDEPaerosol.C+AerosolWashout.C+GasWashout.C+GASABS.aC.wC)/HEIGHT.aC)*AREAFRAC.w1C</f>
        <v>9.7881972659123254E-5</v>
      </c>
      <c r="Q494" s="451">
        <f>((DRYDEPaerosol.C+AerosolWashout.C+GasWashout.C+GASABS.aC.wC)/HEIGHT.aC)*AREAFRAC.w1C</f>
        <v>9.7881972659123254E-5</v>
      </c>
      <c r="R494" s="451">
        <f>((DRYDEPaerosol.C+AerosolWashout.C+GasWashout.C+GASABS.aC.wC)/HEIGHT.aC)*AREAFRAC.w1C</f>
        <v>9.7881972659123254E-5</v>
      </c>
      <c r="S494" s="452"/>
      <c r="T494" s="158"/>
    </row>
    <row r="495" spans="1:20" ht="12.75" customHeight="1" x14ac:dyDescent="0.2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/>
      <c r="M495" s="451"/>
      <c r="N495" s="451">
        <f>((DRYDEPaerosol.C+AerosolWashout.C+GasWashout.C+GASABS.aC.wC)/HEIGHT.aC)*AREAFRAC.w2C</f>
        <v>3.7917131344067834E-3</v>
      </c>
      <c r="O495" s="451">
        <f>((DRYDEPaerosol.C+AerosolWashout.C+GasWashout.C+GASABS.aC.wC)/HEIGHT.aC)*AREAFRAC.w2C</f>
        <v>3.7917131344067834E-3</v>
      </c>
      <c r="P495" s="451">
        <f>((DRYDEPaerosol.C+AerosolWashout.C+GasWashout.C+GASABS.aC.wC)/HEIGHT.aC)*AREAFRAC.w2C</f>
        <v>3.7917131344067834E-3</v>
      </c>
      <c r="Q495" s="451">
        <f>((DRYDEPaerosol.C+AerosolWashout.C+GasWashout.C+GASABS.aC.wC)/HEIGHT.aC)*AREAFRAC.w2C</f>
        <v>3.7917131344067834E-3</v>
      </c>
      <c r="R495" s="451">
        <f>((DRYDEPaerosol.C+AerosolWashout.C+GasWashout.C+GASABS.aC.wC)/HEIGHT.aC)*AREAFRAC.w2C</f>
        <v>3.7917131344067834E-3</v>
      </c>
      <c r="S495" s="452"/>
      <c r="T495" s="158"/>
    </row>
    <row r="496" spans="1:20" ht="12.75" customHeight="1" x14ac:dyDescent="0.2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/>
      <c r="M496" s="451"/>
      <c r="N496" s="451">
        <f>((DRYDEPaerosol.C+AerosolWashout.C+GasWashout.C+GASABS.aC.sC)/HEIGHT.aC)*AREAFRAC.s1C</f>
        <v>9.6066332871172879E-4</v>
      </c>
      <c r="O496" s="451">
        <f>((DRYDEPaerosol.C+AerosolWashout.C+GasWashout.C+GASABS.aC.sC)/HEIGHT.aC)*AREAFRAC.s1C</f>
        <v>9.6066332871172879E-4</v>
      </c>
      <c r="P496" s="451">
        <f>((DRYDEPaerosol.C+AerosolWashout.C+GasWashout.C+GASABS.aC.sC)/HEIGHT.aC)*AREAFRAC.s1C</f>
        <v>9.6066332871172879E-4</v>
      </c>
      <c r="Q496" s="451">
        <f>((DRYDEPaerosol.C+AerosolWashout.C+GasWashout.C+GASABS.aC.sC)/HEIGHT.aC)*AREAFRAC.s1C</f>
        <v>9.6066332871172879E-4</v>
      </c>
      <c r="R496" s="451">
        <f>((DRYDEPaerosol.C+AerosolWashout.C+GasWashout.C+GASABS.aC.sC)/HEIGHT.aC)*AREAFRAC.s1C</f>
        <v>9.6066332871172879E-4</v>
      </c>
      <c r="S496" s="452"/>
      <c r="T496" s="158"/>
    </row>
    <row r="497" spans="1:20" ht="12.75" customHeight="1" x14ac:dyDescent="0.2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/>
      <c r="M497" s="451"/>
      <c r="N497" s="451">
        <f>((DRYDEPaerosol.C+AerosolWashout.C+GasWashout.C+GASABS.aC.sC)/HEIGHT.aC)*AREAFRAC.s2C</f>
        <v>2.134807397137175E-3</v>
      </c>
      <c r="O497" s="451">
        <f>((DRYDEPaerosol.C+AerosolWashout.C+GasWashout.C+GASABS.aC.sC)/HEIGHT.aC)*AREAFRAC.s2C</f>
        <v>2.134807397137175E-3</v>
      </c>
      <c r="P497" s="451">
        <f>((DRYDEPaerosol.C+AerosolWashout.C+GasWashout.C+GASABS.aC.sC)/HEIGHT.aC)*AREAFRAC.s2C</f>
        <v>2.134807397137175E-3</v>
      </c>
      <c r="Q497" s="451">
        <f>((DRYDEPaerosol.C+AerosolWashout.C+GasWashout.C+GASABS.aC.sC)/HEIGHT.aC)*AREAFRAC.s2C</f>
        <v>2.134807397137175E-3</v>
      </c>
      <c r="R497" s="451">
        <f>((DRYDEPaerosol.C+AerosolWashout.C+GasWashout.C+GASABS.aC.sC)/HEIGHT.aC)*AREAFRAC.s2C</f>
        <v>2.134807397137175E-3</v>
      </c>
      <c r="S497" s="452"/>
      <c r="T497" s="158"/>
    </row>
    <row r="498" spans="1:20" ht="12.75" customHeight="1" x14ac:dyDescent="0.2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/>
      <c r="M498" s="451"/>
      <c r="N498" s="451">
        <f>((DRYDEPaerosol.C+AerosolWashout.C+GasWashout.C+GASABS.aC.sC)/HEIGHT.aC)*AREAFRAC.s3C</f>
        <v>3.5580123285619574E-4</v>
      </c>
      <c r="O498" s="451">
        <f>((DRYDEPaerosol.C+AerosolWashout.C+GasWashout.C+GASABS.aC.sC)/HEIGHT.aC)*AREAFRAC.s3C</f>
        <v>3.5580123285619574E-4</v>
      </c>
      <c r="P498" s="451">
        <f>((DRYDEPaerosol.C+AerosolWashout.C+GasWashout.C+GASABS.aC.sC)/HEIGHT.aC)*AREAFRAC.s3C</f>
        <v>3.5580123285619574E-4</v>
      </c>
      <c r="Q498" s="451">
        <f>((DRYDEPaerosol.C+AerosolWashout.C+GasWashout.C+GASABS.aC.sC)/HEIGHT.aC)*AREAFRAC.s3C</f>
        <v>3.5580123285619574E-4</v>
      </c>
      <c r="R498" s="451">
        <f>((DRYDEPaerosol.C+AerosolWashout.C+GasWashout.C+GASABS.aC.sC)/HEIGHT.aC)*AREAFRAC.s3C</f>
        <v>3.5580123285619574E-4</v>
      </c>
      <c r="S498" s="452"/>
      <c r="T498" s="158"/>
    </row>
    <row r="499" spans="1:20" ht="12.75" customHeight="1" x14ac:dyDescent="0.2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1"/>
      <c r="N499" s="451"/>
      <c r="O499" s="452"/>
      <c r="P499" s="452"/>
      <c r="Q499" s="452"/>
      <c r="R499" s="452"/>
      <c r="S499" s="452"/>
      <c r="T499" s="158"/>
    </row>
    <row r="500" spans="1:20" ht="12.75" customHeight="1" x14ac:dyDescent="0.2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1"/>
      <c r="N500" s="451"/>
      <c r="O500" s="452"/>
      <c r="P500" s="452"/>
      <c r="Q500" s="452"/>
      <c r="R500" s="452"/>
      <c r="S500" s="452"/>
      <c r="T500" s="158"/>
    </row>
    <row r="501" spans="1:20" ht="12.75" customHeight="1" x14ac:dyDescent="0.2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1"/>
      <c r="N501" s="451"/>
      <c r="O501" s="452"/>
      <c r="P501" s="452"/>
      <c r="Q501" s="452"/>
      <c r="R501" s="452"/>
      <c r="S501" s="452"/>
      <c r="T501" s="158"/>
    </row>
    <row r="502" spans="1:20" ht="12.75" customHeight="1" x14ac:dyDescent="0.2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1"/>
      <c r="N502" s="451"/>
      <c r="O502" s="452"/>
      <c r="P502" s="452"/>
      <c r="Q502" s="452"/>
      <c r="R502" s="452"/>
      <c r="S502" s="452"/>
      <c r="T502" s="158"/>
    </row>
    <row r="503" spans="1:20" ht="12.75" customHeight="1" x14ac:dyDescent="0.2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1"/>
      <c r="N503" s="451"/>
      <c r="O503" s="452"/>
      <c r="P503" s="452"/>
      <c r="Q503" s="452"/>
      <c r="R503" s="452"/>
      <c r="S503" s="452"/>
      <c r="T503" s="158"/>
    </row>
    <row r="504" spans="1:20" ht="12.75" customHeight="1" x14ac:dyDescent="0.2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1"/>
      <c r="N504" s="451"/>
      <c r="O504" s="452"/>
      <c r="P504" s="452"/>
      <c r="Q504" s="452"/>
      <c r="R504" s="452"/>
      <c r="S504" s="452"/>
      <c r="T504" s="158"/>
    </row>
    <row r="505" spans="1:20" ht="12.75" customHeight="1" x14ac:dyDescent="0.2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1"/>
      <c r="N505" s="451"/>
      <c r="O505" s="452"/>
      <c r="P505" s="452"/>
      <c r="Q505" s="452"/>
      <c r="R505" s="452"/>
      <c r="S505" s="452"/>
      <c r="T505" s="158"/>
    </row>
    <row r="506" spans="1:20" ht="12.75" customHeight="1" x14ac:dyDescent="0.2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1"/>
      <c r="N506" s="451"/>
      <c r="O506" s="452"/>
      <c r="P506" s="452"/>
      <c r="Q506" s="452"/>
      <c r="R506" s="452"/>
      <c r="S506" s="452"/>
      <c r="T506" s="158"/>
    </row>
    <row r="507" spans="1:20" ht="12.75" customHeight="1" x14ac:dyDescent="0.2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1"/>
      <c r="N507" s="451"/>
      <c r="O507" s="452"/>
      <c r="P507" s="452"/>
      <c r="Q507" s="452"/>
      <c r="R507" s="452"/>
      <c r="S507" s="452"/>
      <c r="T507" s="158"/>
    </row>
    <row r="508" spans="1:20" ht="12.75" customHeight="1" x14ac:dyDescent="0.2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1"/>
      <c r="N508" s="451"/>
      <c r="O508" s="452"/>
      <c r="P508" s="452"/>
      <c r="Q508" s="452"/>
      <c r="R508" s="452"/>
      <c r="S508" s="452"/>
      <c r="T508" s="158"/>
    </row>
    <row r="509" spans="1:20" ht="12.75" customHeight="1" x14ac:dyDescent="0.2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1"/>
      <c r="N509" s="451"/>
      <c r="O509" s="452"/>
      <c r="P509" s="452"/>
      <c r="Q509" s="452"/>
      <c r="R509" s="452"/>
      <c r="S509" s="452"/>
      <c r="T509" s="158"/>
    </row>
    <row r="510" spans="1:20" ht="12.75" customHeight="1" x14ac:dyDescent="0.2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1"/>
      <c r="N510" s="451"/>
      <c r="O510" s="452"/>
      <c r="P510" s="452"/>
      <c r="Q510" s="452"/>
      <c r="R510" s="452"/>
      <c r="S510" s="452"/>
      <c r="T510" s="158"/>
    </row>
    <row r="511" spans="1:20" ht="12.75" customHeight="1" x14ac:dyDescent="0.2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/>
      <c r="M511" s="451"/>
      <c r="N511" s="451">
        <f>AEROSOLdeprate.C*FRaers.aC</f>
        <v>2.352999540191509E-5</v>
      </c>
      <c r="O511" s="452">
        <f>AEROSOLdeprate.C*FRaers.aC</f>
        <v>2.352999540191509E-5</v>
      </c>
      <c r="P511" s="452">
        <f>AEROSOLdeprate.C*FRaers.aC</f>
        <v>2.352999540191509E-5</v>
      </c>
      <c r="Q511" s="452">
        <f>AEROSOLdeprate.C*FRaers.aC</f>
        <v>2.352999540191509E-5</v>
      </c>
      <c r="R511" s="452">
        <f>AEROSOLdeprate.C*FRaers.aC</f>
        <v>2.352999540191509E-5</v>
      </c>
      <c r="S511" s="452"/>
      <c r="T511" s="158"/>
    </row>
    <row r="512" spans="1:20" ht="12.75" customHeight="1" x14ac:dyDescent="0.2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/>
      <c r="M512" s="451"/>
      <c r="N512" s="451">
        <f t="shared" ref="N512:R512" si="11">(1-FRgas.aC)*COLLECTeff.C*RAINrate.C</f>
        <v>1.0622130094040873E-4</v>
      </c>
      <c r="O512" s="452">
        <f t="shared" si="11"/>
        <v>1.0622130094040873E-4</v>
      </c>
      <c r="P512" s="452">
        <f t="shared" si="11"/>
        <v>1.0622130094040873E-4</v>
      </c>
      <c r="Q512" s="452">
        <f t="shared" si="11"/>
        <v>1.0622130094040873E-4</v>
      </c>
      <c r="R512" s="452">
        <f t="shared" si="11"/>
        <v>1.0622130094040873E-4</v>
      </c>
      <c r="S512" s="452"/>
      <c r="T512" s="158"/>
    </row>
    <row r="513" spans="1:20" ht="12.75" customHeight="1" x14ac:dyDescent="0.2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/>
      <c r="M513" s="451"/>
      <c r="N513" s="451">
        <f t="shared" ref="N513:R513" si="12">FRgas.aC*RAINrate.C/Kaw.C</f>
        <v>0.44073100068471405</v>
      </c>
      <c r="O513" s="452">
        <f t="shared" si="12"/>
        <v>0.44073100068471405</v>
      </c>
      <c r="P513" s="452">
        <f t="shared" si="12"/>
        <v>0.44073100068471405</v>
      </c>
      <c r="Q513" s="452">
        <f t="shared" si="12"/>
        <v>0.44073100068471405</v>
      </c>
      <c r="R513" s="452">
        <f t="shared" si="12"/>
        <v>0.44073100068471405</v>
      </c>
      <c r="S513" s="452"/>
      <c r="T513" s="158"/>
    </row>
    <row r="514" spans="1:20" ht="12.75" customHeight="1" x14ac:dyDescent="0.2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1"/>
      <c r="N514" s="451"/>
      <c r="O514" s="452"/>
      <c r="P514" s="452"/>
      <c r="Q514" s="452"/>
      <c r="R514" s="452"/>
      <c r="S514" s="452"/>
      <c r="T514" s="158"/>
    </row>
    <row r="515" spans="1:20" ht="12.75" customHeight="1" x14ac:dyDescent="0.2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1"/>
      <c r="N515" s="451"/>
      <c r="O515" s="452"/>
      <c r="P515" s="452"/>
      <c r="Q515" s="452"/>
      <c r="R515" s="452"/>
      <c r="S515" s="452"/>
      <c r="T515" s="158"/>
    </row>
    <row r="516" spans="1:20" ht="12.75" customHeight="1" x14ac:dyDescent="0.2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1"/>
      <c r="N516" s="451"/>
      <c r="O516" s="452"/>
      <c r="P516" s="452"/>
      <c r="Q516" s="452"/>
      <c r="R516" s="452"/>
      <c r="S516" s="452"/>
      <c r="T516" s="158"/>
    </row>
    <row r="517" spans="1:20" ht="12.75" customHeight="1" x14ac:dyDescent="0.2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1"/>
      <c r="N517" s="451"/>
      <c r="O517" s="452"/>
      <c r="P517" s="452"/>
      <c r="Q517" s="452"/>
      <c r="R517" s="452"/>
      <c r="S517" s="452"/>
      <c r="T517" s="158"/>
    </row>
    <row r="518" spans="1:20" ht="12.75" customHeight="1" x14ac:dyDescent="0.2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1"/>
      <c r="N518" s="451"/>
      <c r="O518" s="452"/>
      <c r="P518" s="452"/>
      <c r="Q518" s="452"/>
      <c r="R518" s="452"/>
      <c r="S518" s="452"/>
      <c r="T518" s="158"/>
    </row>
    <row r="519" spans="1:20" ht="12.75" customHeight="1" x14ac:dyDescent="0.2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1"/>
      <c r="N519" s="451"/>
      <c r="O519" s="452"/>
      <c r="P519" s="452"/>
      <c r="Q519" s="452"/>
      <c r="R519" s="452"/>
      <c r="S519" s="452"/>
      <c r="T519" s="158"/>
    </row>
    <row r="520" spans="1:20" ht="12.75" customHeight="1" x14ac:dyDescent="0.2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1"/>
      <c r="N520" s="451"/>
      <c r="O520" s="452"/>
      <c r="P520" s="452"/>
      <c r="Q520" s="452"/>
      <c r="R520" s="452"/>
      <c r="S520" s="452"/>
      <c r="T520" s="158"/>
    </row>
    <row r="521" spans="1:20" ht="12.75" customHeight="1" x14ac:dyDescent="0.2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1"/>
      <c r="N521" s="451"/>
      <c r="O521" s="452"/>
      <c r="P521" s="452"/>
      <c r="Q521" s="452"/>
      <c r="R521" s="452"/>
      <c r="S521" s="452"/>
      <c r="T521" s="158"/>
    </row>
    <row r="522" spans="1:20" ht="12.75" customHeight="1" x14ac:dyDescent="0.2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1"/>
      <c r="N522" s="451"/>
      <c r="O522" s="452"/>
      <c r="P522" s="452"/>
      <c r="Q522" s="452"/>
      <c r="R522" s="452"/>
      <c r="S522" s="452"/>
      <c r="T522" s="158"/>
    </row>
    <row r="523" spans="1:20" ht="12.75" customHeight="1" x14ac:dyDescent="0.2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1"/>
      <c r="N523" s="451"/>
      <c r="O523" s="452"/>
      <c r="P523" s="452"/>
      <c r="Q523" s="452"/>
      <c r="R523" s="452"/>
      <c r="S523" s="452"/>
      <c r="T523" s="158"/>
    </row>
    <row r="524" spans="1:20" ht="12.75" customHeight="1" x14ac:dyDescent="0.2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1"/>
      <c r="N524" s="451"/>
      <c r="O524" s="452"/>
      <c r="P524" s="452"/>
      <c r="Q524" s="452"/>
      <c r="R524" s="452"/>
      <c r="S524" s="452"/>
      <c r="T524" s="158"/>
    </row>
    <row r="525" spans="1:20" ht="12.75" customHeight="1" x14ac:dyDescent="0.2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1"/>
      <c r="N525" s="451"/>
      <c r="O525" s="452"/>
      <c r="P525" s="452"/>
      <c r="Q525" s="452"/>
      <c r="R525" s="452"/>
      <c r="S525" s="452"/>
      <c r="T525" s="158"/>
    </row>
    <row r="526" spans="1:20" ht="12.75" customHeight="1" x14ac:dyDescent="0.2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1"/>
      <c r="N526" s="451"/>
      <c r="O526" s="452"/>
      <c r="P526" s="452"/>
      <c r="Q526" s="452"/>
      <c r="R526" s="452"/>
      <c r="S526" s="452"/>
      <c r="T526" s="158"/>
    </row>
    <row r="527" spans="1:20" ht="12.75" customHeight="1" x14ac:dyDescent="0.2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/>
      <c r="M527" s="451"/>
      <c r="N527" s="451">
        <v>1.1468924229780271E-8</v>
      </c>
      <c r="O527" s="452">
        <v>1.1468924229780271E-8</v>
      </c>
      <c r="P527" s="452">
        <v>1.1468924229780271E-8</v>
      </c>
      <c r="Q527" s="452">
        <v>1.1468924229780271E-8</v>
      </c>
      <c r="R527" s="452"/>
      <c r="S527" s="452">
        <v>1.1468924229780271E-8</v>
      </c>
      <c r="T527" s="158"/>
    </row>
    <row r="528" spans="1:20" ht="12.75" customHeight="1" x14ac:dyDescent="0.2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/>
      <c r="M528" s="451"/>
      <c r="N528" s="451">
        <v>1</v>
      </c>
      <c r="O528" s="452">
        <v>1</v>
      </c>
      <c r="P528" s="452">
        <v>1</v>
      </c>
      <c r="Q528" s="452">
        <v>1</v>
      </c>
      <c r="R528" s="452"/>
      <c r="S528" s="452">
        <v>1</v>
      </c>
      <c r="T528" s="158"/>
    </row>
    <row r="529" spans="1:20" ht="12.75" customHeight="1" x14ac:dyDescent="0.2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/>
      <c r="M529" s="451"/>
      <c r="N529" s="451">
        <v>1</v>
      </c>
      <c r="O529" s="452">
        <v>1</v>
      </c>
      <c r="P529" s="452">
        <v>1</v>
      </c>
      <c r="Q529" s="452">
        <v>1</v>
      </c>
      <c r="R529" s="452"/>
      <c r="S529" s="452">
        <v>1</v>
      </c>
      <c r="T529" s="158"/>
    </row>
    <row r="530" spans="1:20" ht="12.75" customHeight="1" x14ac:dyDescent="0.2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/>
      <c r="M530" s="451"/>
      <c r="N530" s="451">
        <v>1</v>
      </c>
      <c r="O530" s="452">
        <v>1</v>
      </c>
      <c r="P530" s="452">
        <v>1</v>
      </c>
      <c r="Q530" s="452">
        <v>1</v>
      </c>
      <c r="R530" s="452"/>
      <c r="S530" s="452">
        <v>1</v>
      </c>
      <c r="T530" s="158"/>
    </row>
    <row r="531" spans="1:20" ht="12.75" customHeight="1" x14ac:dyDescent="0.2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42"/>
      <c r="N531" s="342"/>
      <c r="O531" s="360"/>
      <c r="P531" s="360"/>
      <c r="Q531" s="360"/>
      <c r="R531" s="360"/>
      <c r="S531" s="472"/>
      <c r="T531" s="158"/>
    </row>
    <row r="532" spans="1:20" ht="12.75" customHeight="1" x14ac:dyDescent="0.2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1"/>
      <c r="N532" s="451"/>
      <c r="O532" s="452"/>
      <c r="P532" s="452"/>
      <c r="Q532" s="452"/>
      <c r="R532" s="452"/>
      <c r="S532" s="452"/>
      <c r="T532" s="158"/>
    </row>
    <row r="533" spans="1:20" ht="12.75" customHeight="1" x14ac:dyDescent="0.2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1"/>
      <c r="N533" s="451"/>
      <c r="O533" s="452"/>
      <c r="P533" s="452"/>
      <c r="Q533" s="452"/>
      <c r="R533" s="452"/>
      <c r="S533" s="452"/>
      <c r="T533" s="158"/>
    </row>
    <row r="534" spans="1:20" ht="12.75" customHeight="1" x14ac:dyDescent="0.2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1"/>
      <c r="N534" s="451"/>
      <c r="O534" s="452"/>
      <c r="P534" s="452"/>
      <c r="Q534" s="452"/>
      <c r="R534" s="452"/>
      <c r="S534" s="452"/>
      <c r="T534" s="158"/>
    </row>
    <row r="535" spans="1:20" ht="12.75" customHeight="1" x14ac:dyDescent="0.2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1"/>
      <c r="N535" s="451"/>
      <c r="O535" s="452"/>
      <c r="P535" s="452"/>
      <c r="Q535" s="452"/>
      <c r="R535" s="452"/>
      <c r="S535" s="452"/>
      <c r="T535" s="158"/>
    </row>
    <row r="536" spans="1:20" ht="12.75" customHeight="1" x14ac:dyDescent="0.2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1"/>
      <c r="N536" s="451"/>
      <c r="O536" s="452"/>
      <c r="P536" s="452"/>
      <c r="Q536" s="452"/>
      <c r="R536" s="452"/>
      <c r="S536" s="452"/>
      <c r="T536" s="158"/>
    </row>
    <row r="537" spans="1:20" ht="12.75" customHeight="1" x14ac:dyDescent="0.2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1"/>
      <c r="N537" s="451"/>
      <c r="O537" s="452"/>
      <c r="P537" s="452"/>
      <c r="Q537" s="452"/>
      <c r="R537" s="452"/>
      <c r="S537" s="452"/>
      <c r="T537" s="158"/>
    </row>
    <row r="538" spans="1:20" ht="12.75" customHeight="1" x14ac:dyDescent="0.2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1"/>
      <c r="N538" s="451"/>
      <c r="O538" s="452"/>
      <c r="P538" s="452"/>
      <c r="Q538" s="452"/>
      <c r="R538" s="452"/>
      <c r="S538" s="452"/>
      <c r="T538" s="158"/>
    </row>
    <row r="539" spans="1:20" ht="12.75" customHeight="1" x14ac:dyDescent="0.2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1"/>
      <c r="N539" s="451"/>
      <c r="O539" s="452"/>
      <c r="P539" s="452"/>
      <c r="Q539" s="452"/>
      <c r="R539" s="452"/>
      <c r="S539" s="452"/>
      <c r="T539" s="158"/>
    </row>
    <row r="540" spans="1:20" ht="12.75" customHeight="1" x14ac:dyDescent="0.2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1"/>
      <c r="N540" s="451"/>
      <c r="O540" s="452"/>
      <c r="P540" s="452"/>
      <c r="Q540" s="452"/>
      <c r="R540" s="452"/>
      <c r="S540" s="452"/>
      <c r="T540" s="158"/>
    </row>
    <row r="541" spans="1:20" ht="12.75" customHeight="1" x14ac:dyDescent="0.2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1"/>
      <c r="N541" s="451"/>
      <c r="O541" s="452"/>
      <c r="P541" s="452"/>
      <c r="Q541" s="452"/>
      <c r="R541" s="452"/>
      <c r="S541" s="452"/>
      <c r="T541" s="158"/>
    </row>
    <row r="542" spans="1:20" ht="12.75" customHeight="1" x14ac:dyDescent="0.2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1"/>
      <c r="N542" s="451"/>
      <c r="O542" s="452"/>
      <c r="P542" s="452"/>
      <c r="Q542" s="452"/>
      <c r="R542" s="452"/>
      <c r="S542" s="452"/>
      <c r="T542" s="158"/>
    </row>
    <row r="543" spans="1:20" ht="12.75" customHeight="1" x14ac:dyDescent="0.2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1"/>
      <c r="N543" s="451"/>
      <c r="O543" s="452"/>
      <c r="P543" s="452"/>
      <c r="Q543" s="452"/>
      <c r="R543" s="452"/>
      <c r="S543" s="452"/>
      <c r="T543" s="158"/>
    </row>
    <row r="544" spans="1:20" ht="12.75" customHeight="1" x14ac:dyDescent="0.2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/>
      <c r="M544" s="451"/>
      <c r="N544" s="451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452">
        <v>2.24071533297921E-13</v>
      </c>
      <c r="S544" s="452">
        <v>2.24071533297921E-13</v>
      </c>
      <c r="T544" s="158"/>
    </row>
    <row r="545" spans="1:20" ht="12.75" customHeight="1" x14ac:dyDescent="0.2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1"/>
      <c r="N545" s="451"/>
      <c r="O545" s="452"/>
      <c r="P545" s="452"/>
      <c r="Q545" s="452"/>
      <c r="R545" s="452"/>
      <c r="S545" s="452"/>
      <c r="T545" s="158"/>
    </row>
    <row r="546" spans="1:20" ht="12.75" customHeight="1" x14ac:dyDescent="0.2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1"/>
      <c r="N546" s="451"/>
      <c r="O546" s="452"/>
      <c r="P546" s="452"/>
      <c r="Q546" s="452"/>
      <c r="R546" s="452"/>
      <c r="S546" s="452"/>
      <c r="T546" s="158"/>
    </row>
    <row r="547" spans="1:20" ht="12.75" customHeight="1" x14ac:dyDescent="0.2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1"/>
      <c r="N547" s="451"/>
      <c r="O547" s="452"/>
      <c r="P547" s="452"/>
      <c r="Q547" s="452"/>
      <c r="R547" s="452"/>
      <c r="S547" s="452"/>
      <c r="T547" s="158"/>
    </row>
    <row r="548" spans="1:20" ht="12.75" customHeight="1" x14ac:dyDescent="0.2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1"/>
      <c r="N548" s="451"/>
      <c r="O548" s="452"/>
      <c r="P548" s="452"/>
      <c r="Q548" s="452"/>
      <c r="R548" s="452"/>
      <c r="S548" s="452"/>
      <c r="T548" s="158"/>
    </row>
    <row r="549" spans="1:20" ht="12.75" customHeight="1" x14ac:dyDescent="0.2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1"/>
      <c r="N549" s="451"/>
      <c r="O549" s="452"/>
      <c r="P549" s="452"/>
      <c r="Q549" s="452"/>
      <c r="R549" s="452"/>
      <c r="S549" s="452"/>
      <c r="T549" s="158"/>
    </row>
    <row r="550" spans="1:20" ht="12.75" customHeight="1" x14ac:dyDescent="0.2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1"/>
      <c r="N550" s="451"/>
      <c r="O550" s="452"/>
      <c r="P550" s="452"/>
      <c r="Q550" s="452"/>
      <c r="R550" s="452"/>
      <c r="S550" s="452"/>
      <c r="T550" s="158"/>
    </row>
    <row r="551" spans="1:20" ht="12.75" customHeight="1" x14ac:dyDescent="0.2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1"/>
      <c r="N551" s="451"/>
      <c r="O551" s="452"/>
      <c r="P551" s="452"/>
      <c r="Q551" s="452"/>
      <c r="R551" s="452"/>
      <c r="S551" s="452"/>
      <c r="T551" s="158"/>
    </row>
    <row r="552" spans="1:20" ht="12.75" customHeight="1" x14ac:dyDescent="0.2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1"/>
      <c r="N552" s="451"/>
      <c r="O552" s="452"/>
      <c r="P552" s="452"/>
      <c r="Q552" s="452"/>
      <c r="R552" s="452"/>
      <c r="S552" s="452"/>
      <c r="T552" s="158"/>
    </row>
    <row r="553" spans="1:20" ht="12.75" customHeight="1" x14ac:dyDescent="0.2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42"/>
      <c r="N553" s="342"/>
      <c r="O553" s="360"/>
      <c r="P553" s="360"/>
      <c r="Q553" s="360"/>
      <c r="R553" s="360"/>
      <c r="S553" s="472"/>
      <c r="T553" s="158"/>
    </row>
    <row r="554" spans="1:20" ht="12.75" customHeight="1" x14ac:dyDescent="0.2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1"/>
      <c r="N554" s="451"/>
      <c r="O554" s="452"/>
      <c r="P554" s="452"/>
      <c r="Q554" s="452"/>
      <c r="R554" s="452"/>
      <c r="S554" s="452"/>
      <c r="T554" s="158"/>
    </row>
    <row r="555" spans="1:20" ht="12.75" customHeight="1" x14ac:dyDescent="0.2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1"/>
      <c r="N555" s="451"/>
      <c r="O555" s="452"/>
      <c r="P555" s="452"/>
      <c r="Q555" s="452"/>
      <c r="R555" s="452"/>
      <c r="S555" s="452"/>
      <c r="T555" s="158"/>
    </row>
    <row r="556" spans="1:20" ht="12.75" customHeight="1" x14ac:dyDescent="0.2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1"/>
      <c r="N556" s="451"/>
      <c r="O556" s="452"/>
      <c r="P556" s="452"/>
      <c r="Q556" s="452"/>
      <c r="R556" s="452"/>
      <c r="S556" s="452"/>
      <c r="T556" s="158"/>
    </row>
    <row r="557" spans="1:20" ht="12.75" customHeight="1" x14ac:dyDescent="0.2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1"/>
      <c r="N557" s="451"/>
      <c r="O557" s="452"/>
      <c r="P557" s="452"/>
      <c r="Q557" s="452"/>
      <c r="R557" s="452"/>
      <c r="S557" s="452"/>
      <c r="T557" s="158"/>
    </row>
    <row r="558" spans="1:20" ht="12.75" customHeight="1" x14ac:dyDescent="0.2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1"/>
      <c r="N558" s="451"/>
      <c r="O558" s="452"/>
      <c r="P558" s="452"/>
      <c r="Q558" s="452"/>
      <c r="R558" s="452"/>
      <c r="S558" s="452"/>
      <c r="T558" s="158"/>
    </row>
    <row r="559" spans="1:20" ht="12.75" customHeight="1" x14ac:dyDescent="0.2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1"/>
      <c r="N559" s="451"/>
      <c r="O559" s="452"/>
      <c r="P559" s="452"/>
      <c r="Q559" s="452"/>
      <c r="R559" s="452"/>
      <c r="S559" s="452"/>
      <c r="T559" s="158"/>
    </row>
    <row r="560" spans="1:20" ht="12.75" customHeight="1" x14ac:dyDescent="0.2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1"/>
      <c r="N560" s="451"/>
      <c r="O560" s="452"/>
      <c r="P560" s="452"/>
      <c r="Q560" s="452"/>
      <c r="R560" s="452"/>
      <c r="S560" s="452"/>
      <c r="T560" s="158"/>
    </row>
    <row r="561" spans="1:20" ht="12.75" customHeight="1" x14ac:dyDescent="0.2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1"/>
      <c r="N561" s="451"/>
      <c r="O561" s="452"/>
      <c r="P561" s="452"/>
      <c r="Q561" s="452"/>
      <c r="R561" s="452"/>
      <c r="S561" s="452"/>
      <c r="T561" s="158"/>
    </row>
    <row r="562" spans="1:20" ht="12.75" customHeight="1" x14ac:dyDescent="0.2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1"/>
      <c r="N562" s="451"/>
      <c r="O562" s="452"/>
      <c r="P562" s="452"/>
      <c r="Q562" s="452"/>
      <c r="R562" s="452"/>
      <c r="S562" s="452"/>
      <c r="T562" s="158"/>
    </row>
    <row r="563" spans="1:20" ht="12.75" customHeight="1" x14ac:dyDescent="0.2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1"/>
      <c r="N563" s="451"/>
      <c r="O563" s="452"/>
      <c r="P563" s="452"/>
      <c r="Q563" s="452"/>
      <c r="R563" s="452"/>
      <c r="S563" s="452"/>
      <c r="T563" s="158"/>
    </row>
    <row r="564" spans="1:20" ht="12.75" customHeight="1" x14ac:dyDescent="0.2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1"/>
      <c r="N564" s="451"/>
      <c r="O564" s="452"/>
      <c r="P564" s="452"/>
      <c r="Q564" s="452"/>
      <c r="R564" s="452"/>
      <c r="S564" s="452"/>
      <c r="T564" s="158"/>
    </row>
    <row r="565" spans="1:20" ht="12.75" customHeight="1" x14ac:dyDescent="0.2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1"/>
      <c r="N565" s="451"/>
      <c r="O565" s="452"/>
      <c r="P565" s="452"/>
      <c r="Q565" s="452"/>
      <c r="R565" s="452"/>
      <c r="S565" s="452"/>
      <c r="T565" s="158"/>
    </row>
    <row r="566" spans="1:20" ht="12.75" customHeight="1" x14ac:dyDescent="0.2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/>
      <c r="M566" s="451"/>
      <c r="N566" s="451">
        <v>1</v>
      </c>
      <c r="O566" s="452">
        <v>1</v>
      </c>
      <c r="P566" s="452">
        <v>1</v>
      </c>
      <c r="Q566" s="452">
        <v>1</v>
      </c>
      <c r="R566" s="452"/>
      <c r="S566" s="452">
        <v>1</v>
      </c>
      <c r="T566" s="158"/>
    </row>
    <row r="567" spans="1:20" ht="12.75" customHeight="1" x14ac:dyDescent="0.2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/>
      <c r="M567" s="451"/>
      <c r="N567" s="451">
        <v>1</v>
      </c>
      <c r="O567" s="452">
        <v>1</v>
      </c>
      <c r="P567" s="452">
        <v>1</v>
      </c>
      <c r="Q567" s="452">
        <v>1</v>
      </c>
      <c r="R567" s="452"/>
      <c r="S567" s="452">
        <v>1</v>
      </c>
      <c r="T567" s="158"/>
    </row>
    <row r="568" spans="1:20" ht="12.75" customHeight="1" x14ac:dyDescent="0.2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/>
      <c r="M568" s="451"/>
      <c r="N568" s="451">
        <v>1</v>
      </c>
      <c r="O568" s="452">
        <v>1</v>
      </c>
      <c r="P568" s="452">
        <v>1</v>
      </c>
      <c r="Q568" s="452">
        <v>1</v>
      </c>
      <c r="R568" s="452"/>
      <c r="S568" s="452">
        <v>1</v>
      </c>
      <c r="T568" s="158"/>
    </row>
    <row r="569" spans="1:20" ht="12.7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339"/>
      <c r="N569" s="339"/>
      <c r="O569" s="282"/>
      <c r="P569" s="282"/>
      <c r="Q569" s="282"/>
      <c r="R569" s="282"/>
      <c r="S569" s="282"/>
      <c r="T569" s="158"/>
    </row>
    <row r="570" spans="1:20" ht="12.75" customHeight="1" x14ac:dyDescent="0.2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 t="s">
        <v>754</v>
      </c>
      <c r="M570" s="364" t="s">
        <v>754</v>
      </c>
      <c r="N570" s="364"/>
      <c r="O570" s="470"/>
      <c r="P570" s="470"/>
      <c r="Q570" s="470"/>
      <c r="R570" s="470"/>
      <c r="S570" s="470"/>
      <c r="T570" s="158"/>
    </row>
    <row r="571" spans="1:20" ht="12.75" customHeight="1" x14ac:dyDescent="0.2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339"/>
      <c r="N571" s="339"/>
      <c r="O571" s="282"/>
      <c r="P571" s="282"/>
      <c r="Q571" s="282"/>
      <c r="R571" s="282"/>
      <c r="S571" s="282"/>
      <c r="T571" s="158"/>
    </row>
    <row r="572" spans="1:20" ht="12.75" customHeight="1" x14ac:dyDescent="0.2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1"/>
      <c r="N572" s="451"/>
      <c r="O572" s="452"/>
      <c r="P572" s="452"/>
      <c r="Q572" s="452"/>
      <c r="R572" s="452"/>
      <c r="S572" s="452"/>
      <c r="T572" s="158"/>
    </row>
    <row r="573" spans="1:20" ht="12.75" customHeight="1" x14ac:dyDescent="0.2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1"/>
      <c r="N573" s="451"/>
      <c r="O573" s="452"/>
      <c r="P573" s="452"/>
      <c r="Q573" s="452"/>
      <c r="R573" s="452"/>
      <c r="S573" s="452"/>
      <c r="T573" s="158"/>
    </row>
    <row r="574" spans="1:20" ht="12.75" customHeight="1" x14ac:dyDescent="0.2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1"/>
      <c r="N574" s="451"/>
      <c r="O574" s="452"/>
      <c r="P574" s="452"/>
      <c r="Q574" s="452"/>
      <c r="R574" s="452"/>
      <c r="S574" s="452"/>
      <c r="T574" s="158"/>
    </row>
    <row r="575" spans="1:20" ht="12.75" customHeight="1" x14ac:dyDescent="0.2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1"/>
      <c r="N575" s="451"/>
      <c r="O575" s="452"/>
      <c r="P575" s="452"/>
      <c r="Q575" s="452"/>
      <c r="R575" s="452"/>
      <c r="S575" s="452"/>
      <c r="T575" s="158"/>
    </row>
    <row r="576" spans="1:20" ht="12.75" customHeight="1" x14ac:dyDescent="0.2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1"/>
      <c r="N576" s="451"/>
      <c r="O576" s="452"/>
      <c r="P576" s="452"/>
      <c r="Q576" s="452"/>
      <c r="R576" s="452"/>
      <c r="S576" s="452"/>
      <c r="T576" s="158"/>
    </row>
    <row r="577" spans="1:20" ht="12.75" customHeight="1" x14ac:dyDescent="0.2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1"/>
      <c r="N577" s="451"/>
      <c r="O577" s="452"/>
      <c r="P577" s="452"/>
      <c r="Q577" s="452"/>
      <c r="R577" s="452"/>
      <c r="S577" s="452"/>
      <c r="T577" s="158"/>
    </row>
    <row r="578" spans="1:20" ht="12.75" customHeight="1" x14ac:dyDescent="0.2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1"/>
      <c r="N578" s="451"/>
      <c r="O578" s="452"/>
      <c r="P578" s="452"/>
      <c r="Q578" s="452"/>
      <c r="R578" s="452"/>
      <c r="S578" s="452"/>
      <c r="T578" s="158"/>
    </row>
    <row r="579" spans="1:20" ht="12.75" customHeight="1" x14ac:dyDescent="0.2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1"/>
      <c r="N579" s="451"/>
      <c r="O579" s="452"/>
      <c r="P579" s="452"/>
      <c r="Q579" s="452"/>
      <c r="R579" s="452"/>
      <c r="S579" s="452"/>
      <c r="T579" s="158"/>
    </row>
    <row r="580" spans="1:20" ht="12.75" customHeight="1" x14ac:dyDescent="0.2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1"/>
      <c r="N580" s="451"/>
      <c r="O580" s="452"/>
      <c r="P580" s="452"/>
      <c r="Q580" s="452"/>
      <c r="R580" s="452"/>
      <c r="S580" s="452"/>
      <c r="T580" s="158"/>
    </row>
    <row r="581" spans="1:20" ht="12.75" customHeight="1" x14ac:dyDescent="0.2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1"/>
      <c r="N581" s="451"/>
      <c r="O581" s="452"/>
      <c r="P581" s="452"/>
      <c r="Q581" s="452"/>
      <c r="R581" s="452"/>
      <c r="S581" s="452"/>
      <c r="T581" s="158"/>
    </row>
    <row r="582" spans="1:20" ht="12.75" customHeight="1" x14ac:dyDescent="0.2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1"/>
      <c r="N582" s="451"/>
      <c r="O582" s="452"/>
      <c r="P582" s="452"/>
      <c r="Q582" s="452"/>
      <c r="R582" s="452"/>
      <c r="S582" s="452"/>
      <c r="T582" s="158"/>
    </row>
    <row r="583" spans="1:20" ht="12.75" customHeight="1" x14ac:dyDescent="0.2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1"/>
      <c r="N583" s="451"/>
      <c r="O583" s="452"/>
      <c r="P583" s="452"/>
      <c r="Q583" s="452"/>
      <c r="R583" s="452"/>
      <c r="S583" s="452"/>
      <c r="T583" s="158"/>
    </row>
    <row r="584" spans="1:20" ht="12.75" customHeight="1" x14ac:dyDescent="0.2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1"/>
      <c r="N584" s="451"/>
      <c r="O584" s="452"/>
      <c r="P584" s="452"/>
      <c r="Q584" s="452"/>
      <c r="R584" s="452"/>
      <c r="S584" s="452"/>
      <c r="T584" s="158"/>
    </row>
    <row r="585" spans="1:20" ht="12.75" customHeight="1" x14ac:dyDescent="0.2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1"/>
      <c r="N585" s="451"/>
      <c r="O585" s="452"/>
      <c r="P585" s="452"/>
      <c r="Q585" s="452"/>
      <c r="R585" s="452"/>
      <c r="S585" s="452"/>
      <c r="T585" s="158"/>
    </row>
    <row r="586" spans="1:20" ht="12.75" customHeight="1" x14ac:dyDescent="0.2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1"/>
      <c r="N586" s="451"/>
      <c r="O586" s="452"/>
      <c r="P586" s="452"/>
      <c r="Q586" s="452"/>
      <c r="R586" s="452"/>
      <c r="S586" s="452"/>
      <c r="T586" s="158"/>
    </row>
    <row r="587" spans="1:20" ht="12.75" customHeight="1" x14ac:dyDescent="0.2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1"/>
      <c r="N587" s="451"/>
      <c r="O587" s="452"/>
      <c r="P587" s="452"/>
      <c r="Q587" s="452"/>
      <c r="R587" s="452"/>
      <c r="S587" s="452"/>
      <c r="T587" s="158"/>
    </row>
    <row r="588" spans="1:20" ht="12.75" customHeight="1" x14ac:dyDescent="0.2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1"/>
      <c r="N588" s="451"/>
      <c r="O588" s="452"/>
      <c r="P588" s="452"/>
      <c r="Q588" s="452"/>
      <c r="R588" s="452"/>
      <c r="S588" s="452"/>
      <c r="T588" s="158"/>
    </row>
    <row r="589" spans="1:20" ht="12.75" customHeight="1" x14ac:dyDescent="0.2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1"/>
      <c r="N589" s="451"/>
      <c r="O589" s="452"/>
      <c r="P589" s="452"/>
      <c r="Q589" s="452"/>
      <c r="R589" s="452"/>
      <c r="S589" s="452"/>
      <c r="T589" s="158"/>
    </row>
    <row r="590" spans="1:20" ht="12.75" customHeight="1" x14ac:dyDescent="0.2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1"/>
      <c r="N590" s="451"/>
      <c r="O590" s="452"/>
      <c r="P590" s="452"/>
      <c r="Q590" s="452"/>
      <c r="R590" s="452"/>
      <c r="S590" s="452"/>
      <c r="T590" s="158"/>
    </row>
    <row r="591" spans="1:20" ht="12.75" customHeight="1" x14ac:dyDescent="0.2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1"/>
      <c r="N591" s="451"/>
      <c r="O591" s="452"/>
      <c r="P591" s="452"/>
      <c r="Q591" s="452"/>
      <c r="R591" s="452"/>
      <c r="S591" s="452"/>
      <c r="T591" s="158"/>
    </row>
    <row r="592" spans="1:20" ht="12.75" customHeight="1" x14ac:dyDescent="0.2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1"/>
      <c r="N592" s="451"/>
      <c r="O592" s="452"/>
      <c r="P592" s="452"/>
      <c r="Q592" s="452"/>
      <c r="R592" s="452"/>
      <c r="S592" s="452"/>
      <c r="T592" s="158"/>
    </row>
    <row r="593" spans="1:20" ht="12.75" customHeight="1" x14ac:dyDescent="0.2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1"/>
      <c r="N593" s="451"/>
      <c r="O593" s="452"/>
      <c r="P593" s="452"/>
      <c r="Q593" s="452"/>
      <c r="R593" s="452"/>
      <c r="S593" s="452"/>
      <c r="T593" s="158"/>
    </row>
    <row r="594" spans="1:20" ht="12.75" customHeight="1" x14ac:dyDescent="0.2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1"/>
      <c r="N594" s="451"/>
      <c r="O594" s="452"/>
      <c r="P594" s="452"/>
      <c r="Q594" s="452"/>
      <c r="R594" s="452"/>
      <c r="S594" s="452"/>
      <c r="T594" s="158"/>
    </row>
    <row r="595" spans="1:20" ht="12.75" customHeight="1" x14ac:dyDescent="0.2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1"/>
      <c r="N595" s="451"/>
      <c r="O595" s="452"/>
      <c r="P595" s="452"/>
      <c r="Q595" s="452"/>
      <c r="R595" s="452"/>
      <c r="S595" s="452"/>
      <c r="T595" s="158"/>
    </row>
    <row r="596" spans="1:20" ht="12.75" customHeight="1" x14ac:dyDescent="0.2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1"/>
      <c r="N596" s="451"/>
      <c r="O596" s="452"/>
      <c r="P596" s="452"/>
      <c r="Q596" s="452"/>
      <c r="R596" s="452"/>
      <c r="S596" s="452"/>
      <c r="T596" s="158"/>
    </row>
    <row r="597" spans="1:20" ht="12.75" customHeight="1" x14ac:dyDescent="0.2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1"/>
      <c r="N597" s="451"/>
      <c r="O597" s="452"/>
      <c r="P597" s="452"/>
      <c r="Q597" s="452"/>
      <c r="R597" s="452"/>
      <c r="S597" s="452"/>
      <c r="T597" s="158"/>
    </row>
    <row r="598" spans="1:20" ht="12.75" customHeight="1" x14ac:dyDescent="0.2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1"/>
      <c r="N598" s="451"/>
      <c r="O598" s="452"/>
      <c r="P598" s="452"/>
      <c r="Q598" s="452"/>
      <c r="R598" s="452"/>
      <c r="S598" s="452"/>
      <c r="T598" s="158"/>
    </row>
    <row r="599" spans="1:20" ht="12.75" customHeight="1" x14ac:dyDescent="0.2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1"/>
      <c r="N599" s="451"/>
      <c r="O599" s="452"/>
      <c r="P599" s="452"/>
      <c r="Q599" s="452"/>
      <c r="R599" s="452"/>
      <c r="S599" s="452"/>
      <c r="T599" s="158"/>
    </row>
    <row r="600" spans="1:20" ht="12.75" customHeight="1" x14ac:dyDescent="0.2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/>
      <c r="M600" s="451"/>
      <c r="N600" s="451">
        <v>1</v>
      </c>
      <c r="O600" s="452">
        <v>1</v>
      </c>
      <c r="P600" s="452">
        <v>1</v>
      </c>
      <c r="Q600" s="452">
        <v>1</v>
      </c>
      <c r="R600" s="452"/>
      <c r="S600" s="452">
        <v>1</v>
      </c>
      <c r="T600" s="158"/>
    </row>
    <row r="601" spans="1:20" ht="12.75" customHeight="1" x14ac:dyDescent="0.2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/>
      <c r="M601" s="451"/>
      <c r="N601" s="451">
        <v>1</v>
      </c>
      <c r="O601" s="452">
        <v>1</v>
      </c>
      <c r="P601" s="452">
        <v>1</v>
      </c>
      <c r="Q601" s="452">
        <v>1</v>
      </c>
      <c r="R601" s="452"/>
      <c r="S601" s="452">
        <v>1</v>
      </c>
      <c r="T601" s="158"/>
    </row>
    <row r="602" spans="1:20" ht="12.75" customHeight="1" x14ac:dyDescent="0.2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/>
      <c r="M602" s="451"/>
      <c r="N602" s="451">
        <v>1</v>
      </c>
      <c r="O602" s="452">
        <v>1</v>
      </c>
      <c r="P602" s="452">
        <v>1</v>
      </c>
      <c r="Q602" s="452">
        <v>1</v>
      </c>
      <c r="R602" s="452"/>
      <c r="S602" s="452">
        <v>1</v>
      </c>
      <c r="T602" s="158"/>
    </row>
    <row r="603" spans="1:20" ht="12.75" customHeight="1" x14ac:dyDescent="0.2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356"/>
      <c r="N603" s="356"/>
      <c r="O603" s="471"/>
      <c r="P603" s="471"/>
      <c r="Q603" s="471"/>
      <c r="R603" s="471"/>
      <c r="S603" s="471"/>
      <c r="T603" s="158"/>
    </row>
    <row r="604" spans="1:20" ht="12.7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339"/>
      <c r="N604" s="339"/>
      <c r="O604" s="282"/>
      <c r="P604" s="282"/>
      <c r="Q604" s="282"/>
      <c r="R604" s="282"/>
      <c r="S604" s="282"/>
      <c r="T604" s="158"/>
    </row>
    <row r="605" spans="1:20" ht="12.75" customHeight="1" x14ac:dyDescent="0.2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339"/>
      <c r="N605" s="339"/>
      <c r="O605" s="282"/>
      <c r="P605" s="282"/>
      <c r="Q605" s="282"/>
      <c r="R605" s="282"/>
      <c r="S605" s="282"/>
      <c r="T605" s="158"/>
    </row>
    <row r="606" spans="1:20" ht="12.75" customHeight="1" x14ac:dyDescent="0.2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339"/>
      <c r="N606" s="339"/>
      <c r="O606" s="282"/>
      <c r="P606" s="282"/>
      <c r="Q606" s="282"/>
      <c r="R606" s="282"/>
      <c r="S606" s="282"/>
      <c r="T606" s="158"/>
    </row>
    <row r="607" spans="1:20" ht="12.75" customHeight="1" x14ac:dyDescent="0.2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 t="s">
        <v>754</v>
      </c>
      <c r="M607" s="364" t="s">
        <v>754</v>
      </c>
      <c r="N607" s="364"/>
      <c r="O607" s="470"/>
      <c r="P607" s="470"/>
      <c r="Q607" s="470"/>
      <c r="R607" s="470"/>
      <c r="S607" s="470"/>
      <c r="T607" s="158"/>
    </row>
    <row r="608" spans="1:20" ht="12.7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339"/>
      <c r="N608" s="339"/>
      <c r="O608" s="282"/>
      <c r="P608" s="282"/>
      <c r="Q608" s="282"/>
      <c r="R608" s="282"/>
      <c r="S608" s="282"/>
      <c r="T608" s="158"/>
    </row>
    <row r="609" spans="1:20" ht="12.75" customHeight="1" x14ac:dyDescent="0.2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1"/>
      <c r="N609" s="451"/>
      <c r="O609" s="452"/>
      <c r="P609" s="452"/>
      <c r="Q609" s="452"/>
      <c r="R609" s="452"/>
      <c r="S609" s="452"/>
      <c r="T609" s="158"/>
    </row>
    <row r="610" spans="1:20" ht="12.75" customHeight="1" x14ac:dyDescent="0.2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1"/>
      <c r="N610" s="451"/>
      <c r="O610" s="452"/>
      <c r="P610" s="452"/>
      <c r="Q610" s="452"/>
      <c r="R610" s="452"/>
      <c r="S610" s="452"/>
      <c r="T610" s="158"/>
    </row>
    <row r="611" spans="1:20" ht="12.75" customHeight="1" x14ac:dyDescent="0.2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1"/>
      <c r="N611" s="451"/>
      <c r="O611" s="452"/>
      <c r="P611" s="452"/>
      <c r="Q611" s="452"/>
      <c r="R611" s="452"/>
      <c r="S611" s="452"/>
      <c r="T611" s="158"/>
    </row>
    <row r="612" spans="1:20" ht="12.75" customHeight="1" x14ac:dyDescent="0.2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1"/>
      <c r="N612" s="451"/>
      <c r="O612" s="452"/>
      <c r="P612" s="452"/>
      <c r="Q612" s="452"/>
      <c r="R612" s="452"/>
      <c r="S612" s="452"/>
      <c r="T612" s="158"/>
    </row>
    <row r="613" spans="1:20" ht="12.75" customHeight="1" x14ac:dyDescent="0.2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1"/>
      <c r="N613" s="451"/>
      <c r="O613" s="452"/>
      <c r="P613" s="452"/>
      <c r="Q613" s="452"/>
      <c r="R613" s="452"/>
      <c r="S613" s="452"/>
      <c r="T613" s="158"/>
    </row>
    <row r="614" spans="1:20" ht="12.75" customHeight="1" x14ac:dyDescent="0.2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1"/>
      <c r="N614" s="451"/>
      <c r="O614" s="452"/>
      <c r="P614" s="452"/>
      <c r="Q614" s="452"/>
      <c r="R614" s="452"/>
      <c r="S614" s="452"/>
      <c r="T614" s="158"/>
    </row>
    <row r="615" spans="1:20" ht="12.75" customHeight="1" x14ac:dyDescent="0.2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1"/>
      <c r="N615" s="451"/>
      <c r="O615" s="452"/>
      <c r="P615" s="452"/>
      <c r="Q615" s="452"/>
      <c r="R615" s="452"/>
      <c r="S615" s="452"/>
      <c r="T615" s="158"/>
    </row>
    <row r="616" spans="1:20" ht="12.75" customHeight="1" x14ac:dyDescent="0.2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1"/>
      <c r="N616" s="451"/>
      <c r="O616" s="452"/>
      <c r="P616" s="452"/>
      <c r="Q616" s="452"/>
      <c r="R616" s="452"/>
      <c r="S616" s="452"/>
      <c r="T616" s="158"/>
    </row>
    <row r="617" spans="1:20" ht="12.75" customHeight="1" x14ac:dyDescent="0.2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1"/>
      <c r="N617" s="451"/>
      <c r="O617" s="452"/>
      <c r="P617" s="452"/>
      <c r="Q617" s="452"/>
      <c r="R617" s="452"/>
      <c r="S617" s="452"/>
      <c r="T617" s="158"/>
    </row>
    <row r="618" spans="1:20" ht="12.75" customHeight="1" x14ac:dyDescent="0.2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/>
      <c r="M618" s="451"/>
      <c r="N618" s="451">
        <v>990</v>
      </c>
      <c r="O618" s="452">
        <v>990</v>
      </c>
      <c r="P618" s="452"/>
      <c r="Q618" s="452">
        <v>990</v>
      </c>
      <c r="R618" s="452">
        <v>990</v>
      </c>
      <c r="S618" s="452">
        <v>990</v>
      </c>
      <c r="T618" s="158"/>
    </row>
    <row r="619" spans="1:20" ht="12.75" customHeight="1" x14ac:dyDescent="0.2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/>
      <c r="M619" s="451"/>
      <c r="N619" s="451">
        <v>10</v>
      </c>
      <c r="O619" s="452">
        <v>10</v>
      </c>
      <c r="P619" s="452"/>
      <c r="Q619" s="452">
        <v>10</v>
      </c>
      <c r="R619" s="452">
        <v>10</v>
      </c>
      <c r="S619" s="452">
        <v>10</v>
      </c>
      <c r="T619" s="158"/>
    </row>
    <row r="620" spans="1:20" ht="12.75" customHeight="1" x14ac:dyDescent="0.2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1"/>
      <c r="N620" s="451"/>
      <c r="O620" s="452"/>
      <c r="P620" s="452"/>
      <c r="Q620" s="452"/>
      <c r="R620" s="452"/>
      <c r="S620" s="452"/>
      <c r="T620" s="158"/>
    </row>
    <row r="621" spans="1:20" ht="12.75" customHeight="1" x14ac:dyDescent="0.2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1"/>
      <c r="N621" s="451"/>
      <c r="O621" s="452"/>
      <c r="P621" s="452"/>
      <c r="Q621" s="452"/>
      <c r="R621" s="452"/>
      <c r="S621" s="452"/>
      <c r="T621" s="158"/>
    </row>
    <row r="622" spans="1:20" ht="12.75" customHeight="1" x14ac:dyDescent="0.2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/>
      <c r="M622" s="451"/>
      <c r="N622" s="451">
        <v>4.9999999999999995E-11</v>
      </c>
      <c r="O622" s="452">
        <v>4.9999999999999995E-11</v>
      </c>
      <c r="P622" s="452">
        <v>4.9999999999999995E-11</v>
      </c>
      <c r="Q622" s="452">
        <v>4.9999999999999995E-11</v>
      </c>
      <c r="R622" s="452">
        <v>4.9999999999999995E-11</v>
      </c>
      <c r="S622" s="452"/>
      <c r="T622" s="158"/>
    </row>
    <row r="623" spans="1:20" ht="12.75" customHeight="1" x14ac:dyDescent="0.2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/>
      <c r="M623" s="451"/>
      <c r="N623" s="451">
        <v>9.9999999999999995E-21</v>
      </c>
      <c r="O623" s="452">
        <v>9.9999999999999995E-21</v>
      </c>
      <c r="P623" s="452">
        <v>9.9999999999999995E-21</v>
      </c>
      <c r="Q623" s="452">
        <v>9.9999999999999995E-21</v>
      </c>
      <c r="R623" s="452">
        <v>9.9999999999999995E-21</v>
      </c>
      <c r="S623" s="452"/>
      <c r="T623" s="158"/>
    </row>
    <row r="624" spans="1:20" ht="12.75" customHeight="1" x14ac:dyDescent="0.2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1"/>
      <c r="N624" s="451"/>
      <c r="O624" s="452"/>
      <c r="P624" s="452"/>
      <c r="Q624" s="452"/>
      <c r="R624" s="452"/>
      <c r="S624" s="452"/>
      <c r="T624" s="158"/>
    </row>
    <row r="625" spans="1:20" ht="12.75" customHeight="1" x14ac:dyDescent="0.2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1"/>
      <c r="N625" s="451"/>
      <c r="O625" s="452"/>
      <c r="P625" s="452"/>
      <c r="Q625" s="452"/>
      <c r="R625" s="452"/>
      <c r="S625" s="452"/>
      <c r="T625" s="158"/>
    </row>
    <row r="626" spans="1:20" ht="12.75" customHeight="1" x14ac:dyDescent="0.2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1"/>
      <c r="N626" s="451"/>
      <c r="O626" s="452"/>
      <c r="P626" s="452"/>
      <c r="Q626" s="452"/>
      <c r="R626" s="452"/>
      <c r="S626" s="452"/>
      <c r="T626" s="158"/>
    </row>
    <row r="627" spans="1:20" ht="12.75" customHeight="1" x14ac:dyDescent="0.2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1"/>
      <c r="N627" s="451"/>
      <c r="O627" s="452"/>
      <c r="P627" s="452"/>
      <c r="Q627" s="452"/>
      <c r="R627" s="452"/>
      <c r="S627" s="452"/>
      <c r="T627" s="158"/>
    </row>
    <row r="628" spans="1:20" ht="12.75" customHeight="1" x14ac:dyDescent="0.2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1"/>
      <c r="N628" s="451"/>
      <c r="O628" s="452"/>
      <c r="P628" s="452"/>
      <c r="Q628" s="452"/>
      <c r="R628" s="452"/>
      <c r="S628" s="452"/>
      <c r="T628" s="158"/>
    </row>
    <row r="629" spans="1:20" ht="12.75" customHeight="1" x14ac:dyDescent="0.2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59"/>
      <c r="N629" s="459"/>
      <c r="O629" s="460"/>
      <c r="P629" s="460"/>
      <c r="Q629" s="460"/>
      <c r="R629" s="460"/>
      <c r="S629" s="460"/>
      <c r="T629" s="158"/>
    </row>
    <row r="630" spans="1:20" ht="12.75" customHeight="1" x14ac:dyDescent="0.2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1"/>
      <c r="N630" s="451"/>
      <c r="O630" s="452"/>
      <c r="P630" s="452"/>
      <c r="Q630" s="452"/>
      <c r="R630" s="452"/>
      <c r="S630" s="452"/>
      <c r="T630" s="158"/>
    </row>
    <row r="631" spans="1:20" ht="12.75" customHeight="1" x14ac:dyDescent="0.2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1"/>
      <c r="N631" s="451"/>
      <c r="O631" s="452"/>
      <c r="P631" s="452"/>
      <c r="Q631" s="452"/>
      <c r="R631" s="452"/>
      <c r="S631" s="452"/>
      <c r="T631" s="158"/>
    </row>
    <row r="632" spans="1:20" ht="12.75" customHeight="1" x14ac:dyDescent="0.2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1"/>
      <c r="N632" s="451"/>
      <c r="O632" s="452"/>
      <c r="P632" s="452"/>
      <c r="Q632" s="452"/>
      <c r="R632" s="452"/>
      <c r="S632" s="452"/>
      <c r="T632" s="158"/>
    </row>
    <row r="633" spans="1:20" ht="12.75" customHeight="1" x14ac:dyDescent="0.2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339"/>
      <c r="N633" s="339"/>
      <c r="O633" s="282"/>
      <c r="P633" s="282"/>
      <c r="Q633" s="282"/>
      <c r="R633" s="282"/>
      <c r="S633" s="282"/>
      <c r="T633" s="158"/>
    </row>
    <row r="634" spans="1:20" ht="12.75" customHeight="1" x14ac:dyDescent="0.2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1"/>
      <c r="N634" s="451"/>
      <c r="O634" s="452"/>
      <c r="P634" s="452"/>
      <c r="Q634" s="452"/>
      <c r="R634" s="452"/>
      <c r="S634" s="452"/>
      <c r="T634" s="158"/>
    </row>
    <row r="635" spans="1:20" ht="12.75" customHeight="1" x14ac:dyDescent="0.2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1"/>
      <c r="N635" s="451"/>
      <c r="O635" s="452"/>
      <c r="P635" s="452"/>
      <c r="Q635" s="452"/>
      <c r="R635" s="452"/>
      <c r="S635" s="452"/>
      <c r="T635" s="158"/>
    </row>
    <row r="636" spans="1:20" ht="12.75" customHeight="1" x14ac:dyDescent="0.2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1"/>
      <c r="N636" s="451"/>
      <c r="O636" s="452"/>
      <c r="P636" s="452"/>
      <c r="Q636" s="452"/>
      <c r="R636" s="452"/>
      <c r="S636" s="452"/>
      <c r="T636" s="158"/>
    </row>
    <row r="637" spans="1:20" ht="12.75" customHeight="1" x14ac:dyDescent="0.2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1"/>
      <c r="N637" s="451"/>
      <c r="O637" s="452"/>
      <c r="P637" s="452"/>
      <c r="Q637" s="452"/>
      <c r="R637" s="452"/>
      <c r="S637" s="452"/>
      <c r="T637" s="158"/>
    </row>
    <row r="638" spans="1:20" ht="12.75" customHeight="1" x14ac:dyDescent="0.2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/>
      <c r="M638" s="451"/>
      <c r="N638" s="451">
        <v>9.9999999999999995E-21</v>
      </c>
      <c r="O638" s="452">
        <v>9.9999999999999995E-21</v>
      </c>
      <c r="P638" s="452"/>
      <c r="Q638" s="452">
        <v>9.9999999999999995E-21</v>
      </c>
      <c r="R638" s="452">
        <v>9.9999999999999995E-21</v>
      </c>
      <c r="S638" s="452">
        <v>9.9999999999999995E-21</v>
      </c>
      <c r="T638" s="158"/>
    </row>
    <row r="639" spans="1:20" ht="12.75" customHeight="1" x14ac:dyDescent="0.2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1"/>
      <c r="N639" s="451"/>
      <c r="O639" s="452"/>
      <c r="P639" s="452"/>
      <c r="Q639" s="452"/>
      <c r="R639" s="452"/>
      <c r="S639" s="452"/>
      <c r="T639" s="158"/>
    </row>
    <row r="640" spans="1:20" ht="12.75" customHeight="1" x14ac:dyDescent="0.2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/>
      <c r="M640" s="451"/>
      <c r="N640" s="451">
        <v>50497524.691810384</v>
      </c>
      <c r="O640" s="452">
        <v>50497524.691810384</v>
      </c>
      <c r="P640" s="452"/>
      <c r="Q640" s="452">
        <v>50497524.691810384</v>
      </c>
      <c r="R640" s="452">
        <v>50497524.691810384</v>
      </c>
      <c r="S640" s="452">
        <v>50497524.691810384</v>
      </c>
      <c r="T640" s="158"/>
    </row>
    <row r="641" spans="1:20" ht="12.75" customHeight="1" x14ac:dyDescent="0.2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/>
      <c r="M641" s="451"/>
      <c r="N641" s="451">
        <v>94472218.138455927</v>
      </c>
      <c r="O641" s="452">
        <v>94472218.138455927</v>
      </c>
      <c r="P641" s="452"/>
      <c r="Q641" s="452">
        <v>94472218.138455927</v>
      </c>
      <c r="R641" s="452">
        <v>94472218.138455927</v>
      </c>
      <c r="S641" s="452">
        <v>94472218.138455927</v>
      </c>
      <c r="T641" s="158"/>
    </row>
    <row r="642" spans="1:20" ht="12.75" customHeight="1" x14ac:dyDescent="0.2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1"/>
      <c r="N642" s="451"/>
      <c r="O642" s="452"/>
      <c r="P642" s="452"/>
      <c r="Q642" s="452"/>
      <c r="R642" s="452"/>
      <c r="S642" s="452"/>
      <c r="T642" s="158"/>
    </row>
    <row r="643" spans="1:20" ht="12.75" customHeight="1" x14ac:dyDescent="0.2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1"/>
      <c r="N643" s="451"/>
      <c r="O643" s="452"/>
      <c r="P643" s="452"/>
      <c r="Q643" s="452"/>
      <c r="R643" s="452"/>
      <c r="S643" s="452"/>
      <c r="T643" s="158"/>
    </row>
    <row r="644" spans="1:20" ht="12.75" customHeight="1" x14ac:dyDescent="0.2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1"/>
      <c r="N644" s="451"/>
      <c r="O644" s="452"/>
      <c r="P644" s="452"/>
      <c r="Q644" s="452"/>
      <c r="R644" s="452"/>
      <c r="S644" s="452"/>
      <c r="T644" s="158"/>
    </row>
    <row r="645" spans="1:20" ht="12.75" customHeight="1" x14ac:dyDescent="0.2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1"/>
      <c r="N645" s="451"/>
      <c r="O645" s="452"/>
      <c r="P645" s="452"/>
      <c r="Q645" s="452"/>
      <c r="R645" s="452"/>
      <c r="S645" s="452"/>
      <c r="T645" s="158"/>
    </row>
    <row r="646" spans="1:20" ht="12.75" customHeight="1" x14ac:dyDescent="0.2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1"/>
      <c r="N646" s="451"/>
      <c r="O646" s="452"/>
      <c r="P646" s="452"/>
      <c r="Q646" s="452"/>
      <c r="R646" s="452"/>
      <c r="S646" s="452"/>
      <c r="T646" s="158"/>
    </row>
    <row r="647" spans="1:20" ht="12.7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339"/>
      <c r="N647" s="339"/>
      <c r="O647" s="282"/>
      <c r="P647" s="282"/>
      <c r="Q647" s="282"/>
      <c r="R647" s="282"/>
      <c r="S647" s="282"/>
      <c r="T647" s="158"/>
    </row>
    <row r="648" spans="1:20" ht="12.75" customHeight="1" x14ac:dyDescent="0.2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 t="s">
        <v>754</v>
      </c>
      <c r="M648" s="364" t="s">
        <v>754</v>
      </c>
      <c r="N648" s="364"/>
      <c r="O648" s="470"/>
      <c r="P648" s="470"/>
      <c r="Q648" s="470"/>
      <c r="R648" s="470"/>
      <c r="S648" s="470"/>
      <c r="T648" s="158"/>
    </row>
    <row r="649" spans="1:20" ht="12.7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339"/>
      <c r="N649" s="339"/>
      <c r="O649" s="282"/>
      <c r="P649" s="282"/>
      <c r="Q649" s="282"/>
      <c r="R649" s="282"/>
      <c r="S649" s="282"/>
      <c r="T649" s="158"/>
    </row>
    <row r="650" spans="1:20" ht="12.75" customHeight="1" x14ac:dyDescent="0.2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/>
      <c r="M650" s="451"/>
      <c r="N650" s="451">
        <f t="shared" ref="N650:R650" si="13">1-(0.0000258)/(IF(Tm&gt;298,EXP(-6.79*(1-Tm/298))*Pvap25*EXP((H0vap/8.314)*(1/298-1/TEMP.M)),Pvap25*EXP((H0vap/8.314)*(1/298-1/TEMP.M)))+(0.0000258))</f>
        <v>0.12462796418239608</v>
      </c>
      <c r="O650" s="452">
        <f t="shared" si="13"/>
        <v>0.12462796418239608</v>
      </c>
      <c r="P650" s="452">
        <f t="shared" si="13"/>
        <v>0.12462796418239608</v>
      </c>
      <c r="Q650" s="452">
        <f t="shared" si="13"/>
        <v>0.12462796418239608</v>
      </c>
      <c r="R650" s="452">
        <f t="shared" si="13"/>
        <v>0.12462796418239608</v>
      </c>
      <c r="S650" s="452"/>
      <c r="T650" s="158"/>
    </row>
    <row r="651" spans="1:20" ht="12.75" customHeight="1" x14ac:dyDescent="0.2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1"/>
      <c r="N651" s="451"/>
      <c r="O651" s="452"/>
      <c r="P651" s="452"/>
      <c r="Q651" s="452"/>
      <c r="R651" s="452"/>
      <c r="S651" s="452"/>
      <c r="T651" s="158"/>
    </row>
    <row r="652" spans="1:20" ht="12.75" customHeight="1" x14ac:dyDescent="0.2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/>
      <c r="M652" s="451"/>
      <c r="N652" s="451">
        <f t="shared" ref="N652:R652" si="14">(0.0000258)/(IF(Tm&gt;298,EXP(-6.79*(1-Tm/298))*Pvap25*EXP((H0vap/8.314)*(1/298-1/TEMP.M)),Pvap25*EXP((H0vap/8.314)*(1/298-1/TEMP.M)))+(0.0000258))</f>
        <v>0.87537203581760392</v>
      </c>
      <c r="O652" s="452">
        <f t="shared" si="14"/>
        <v>0.87537203581760392</v>
      </c>
      <c r="P652" s="452">
        <f t="shared" si="14"/>
        <v>0.87537203581760392</v>
      </c>
      <c r="Q652" s="452">
        <f t="shared" si="14"/>
        <v>0.87537203581760392</v>
      </c>
      <c r="R652" s="452">
        <f t="shared" si="14"/>
        <v>0.87537203581760392</v>
      </c>
      <c r="S652" s="452"/>
      <c r="T652" s="158"/>
    </row>
    <row r="653" spans="1:20" ht="12.75" customHeight="1" x14ac:dyDescent="0.2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1"/>
      <c r="N653" s="451"/>
      <c r="O653" s="452"/>
      <c r="P653" s="452"/>
      <c r="Q653" s="452"/>
      <c r="R653" s="452"/>
      <c r="S653" s="452"/>
      <c r="T653" s="158"/>
    </row>
    <row r="654" spans="1:20" ht="12.75" customHeight="1" x14ac:dyDescent="0.2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1"/>
      <c r="N654" s="451"/>
      <c r="O654" s="452"/>
      <c r="P654" s="452"/>
      <c r="Q654" s="452"/>
      <c r="R654" s="452"/>
      <c r="S654" s="452"/>
      <c r="T654" s="158"/>
    </row>
    <row r="655" spans="1:20" ht="12.75" customHeight="1" x14ac:dyDescent="0.2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1"/>
      <c r="N655" s="451"/>
      <c r="O655" s="452"/>
      <c r="P655" s="452"/>
      <c r="Q655" s="452"/>
      <c r="R655" s="452"/>
      <c r="S655" s="452"/>
      <c r="T655" s="158"/>
    </row>
    <row r="656" spans="1:20" ht="12.75" customHeight="1" x14ac:dyDescent="0.2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1"/>
      <c r="N656" s="451"/>
      <c r="O656" s="452"/>
      <c r="P656" s="452"/>
      <c r="Q656" s="452"/>
      <c r="R656" s="452"/>
      <c r="S656" s="452"/>
      <c r="T656" s="158"/>
    </row>
    <row r="657" spans="1:20" ht="12.75" customHeight="1" x14ac:dyDescent="0.2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/>
      <c r="M657" s="451"/>
      <c r="N657" s="451">
        <f t="shared" ref="N657:R657" si="15">1/(1+Kp.susp2M*SUSP.w2M/1000+0.05*Kow*0.001/1000)</f>
        <v>0.99933769729472144</v>
      </c>
      <c r="O657" s="452">
        <f t="shared" si="15"/>
        <v>0.99933769729472144</v>
      </c>
      <c r="P657" s="452">
        <f t="shared" si="15"/>
        <v>0.99933769729472144</v>
      </c>
      <c r="Q657" s="452">
        <f t="shared" si="15"/>
        <v>0.99933769729472144</v>
      </c>
      <c r="R657" s="452">
        <f t="shared" si="15"/>
        <v>0.99933769729472144</v>
      </c>
      <c r="S657" s="452"/>
      <c r="T657" s="158"/>
    </row>
    <row r="658" spans="1:20" ht="12.75" customHeight="1" x14ac:dyDescent="0.2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/>
      <c r="M658" s="451"/>
      <c r="N658" s="451">
        <f t="shared" ref="N658:R658" si="16">1/(1+Kp.susp3M*SUSP.w3M/1000+0.05*Kow*0.001/1000)</f>
        <v>0.99933769729472144</v>
      </c>
      <c r="O658" s="452">
        <f t="shared" si="16"/>
        <v>0.99933769729472144</v>
      </c>
      <c r="P658" s="452">
        <f t="shared" si="16"/>
        <v>0.99933769729472144</v>
      </c>
      <c r="Q658" s="452">
        <f t="shared" si="16"/>
        <v>0.99933769729472144</v>
      </c>
      <c r="R658" s="452">
        <f t="shared" si="16"/>
        <v>0.99933769729472144</v>
      </c>
      <c r="S658" s="452"/>
      <c r="T658" s="158"/>
    </row>
    <row r="659" spans="1:20" ht="12.75" customHeight="1" x14ac:dyDescent="0.2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1"/>
      <c r="N659" s="451"/>
      <c r="O659" s="452"/>
      <c r="P659" s="452"/>
      <c r="Q659" s="452"/>
      <c r="R659" s="452"/>
      <c r="S659" s="452"/>
      <c r="T659" s="158"/>
    </row>
    <row r="660" spans="1:20" ht="12.75" customHeight="1" x14ac:dyDescent="0.2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1"/>
      <c r="N660" s="451"/>
      <c r="O660" s="452"/>
      <c r="P660" s="452"/>
      <c r="Q660" s="452"/>
      <c r="R660" s="452"/>
      <c r="S660" s="452"/>
      <c r="T660" s="158"/>
    </row>
    <row r="661" spans="1:20" ht="12.75" customHeight="1" x14ac:dyDescent="0.2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1"/>
      <c r="N661" s="451"/>
      <c r="O661" s="452"/>
      <c r="P661" s="452"/>
      <c r="Q661" s="452"/>
      <c r="R661" s="452"/>
      <c r="S661" s="452"/>
      <c r="T661" s="158"/>
    </row>
    <row r="662" spans="1:20" ht="12.75" customHeight="1" x14ac:dyDescent="0.2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1"/>
      <c r="N662" s="451"/>
      <c r="O662" s="452"/>
      <c r="P662" s="452"/>
      <c r="Q662" s="452"/>
      <c r="R662" s="452"/>
      <c r="S662" s="452"/>
      <c r="T662" s="158"/>
    </row>
    <row r="663" spans="1:20" ht="12.75" customHeight="1" x14ac:dyDescent="0.2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1"/>
      <c r="N663" s="451"/>
      <c r="O663" s="452"/>
      <c r="P663" s="452"/>
      <c r="Q663" s="452"/>
      <c r="R663" s="452"/>
      <c r="S663" s="452"/>
      <c r="T663" s="158"/>
    </row>
    <row r="664" spans="1:20" ht="12.75" customHeight="1" x14ac:dyDescent="0.2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1"/>
      <c r="N664" s="451"/>
      <c r="O664" s="452"/>
      <c r="P664" s="452"/>
      <c r="Q664" s="452"/>
      <c r="R664" s="452"/>
      <c r="S664" s="452"/>
      <c r="T664" s="158"/>
    </row>
    <row r="665" spans="1:20" ht="12.75" customHeight="1" x14ac:dyDescent="0.2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1"/>
      <c r="N665" s="451"/>
      <c r="O665" s="452"/>
      <c r="P665" s="452"/>
      <c r="Q665" s="452"/>
      <c r="R665" s="452"/>
      <c r="S665" s="452"/>
      <c r="T665" s="158"/>
    </row>
    <row r="666" spans="1:20" ht="12.75" customHeight="1" x14ac:dyDescent="0.2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1"/>
      <c r="N666" s="451"/>
      <c r="O666" s="452"/>
      <c r="P666" s="452"/>
      <c r="Q666" s="452"/>
      <c r="R666" s="452"/>
      <c r="S666" s="452"/>
      <c r="T666" s="158"/>
    </row>
    <row r="667" spans="1:20" ht="12.75" customHeight="1" x14ac:dyDescent="0.2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1"/>
      <c r="N667" s="451"/>
      <c r="O667" s="452"/>
      <c r="P667" s="452"/>
      <c r="Q667" s="452"/>
      <c r="R667" s="452"/>
      <c r="S667" s="452"/>
      <c r="T667" s="158"/>
    </row>
    <row r="668" spans="1:20" ht="12.75" customHeight="1" x14ac:dyDescent="0.2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1"/>
      <c r="N668" s="451"/>
      <c r="O668" s="452"/>
      <c r="P668" s="452"/>
      <c r="Q668" s="452"/>
      <c r="R668" s="452"/>
      <c r="S668" s="452"/>
      <c r="T668" s="158"/>
    </row>
    <row r="669" spans="1:20" ht="12.75" customHeight="1" x14ac:dyDescent="0.2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1"/>
      <c r="N669" s="451"/>
      <c r="O669" s="452"/>
      <c r="P669" s="452"/>
      <c r="Q669" s="452"/>
      <c r="R669" s="452"/>
      <c r="S669" s="452"/>
      <c r="T669" s="158"/>
    </row>
    <row r="670" spans="1:20" ht="12.75" customHeight="1" x14ac:dyDescent="0.2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1"/>
      <c r="N670" s="451"/>
      <c r="O670" s="452"/>
      <c r="P670" s="452"/>
      <c r="Q670" s="452"/>
      <c r="R670" s="452"/>
      <c r="S670" s="452"/>
      <c r="T670" s="158"/>
    </row>
    <row r="671" spans="1:20" ht="12.75" customHeight="1" x14ac:dyDescent="0.2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1"/>
      <c r="N671" s="451"/>
      <c r="O671" s="452"/>
      <c r="P671" s="452"/>
      <c r="Q671" s="452"/>
      <c r="R671" s="452"/>
      <c r="S671" s="452"/>
      <c r="T671" s="158"/>
    </row>
    <row r="672" spans="1:20" ht="12.75" customHeight="1" x14ac:dyDescent="0.2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1"/>
      <c r="N672" s="451"/>
      <c r="O672" s="452"/>
      <c r="P672" s="452"/>
      <c r="Q672" s="452"/>
      <c r="R672" s="452"/>
      <c r="S672" s="452"/>
      <c r="T672" s="158"/>
    </row>
    <row r="673" spans="1:20" ht="12.75" customHeight="1" x14ac:dyDescent="0.2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1"/>
      <c r="N673" s="451"/>
      <c r="O673" s="452"/>
      <c r="P673" s="452"/>
      <c r="Q673" s="452"/>
      <c r="R673" s="452"/>
      <c r="S673" s="452"/>
      <c r="T673" s="158"/>
    </row>
    <row r="674" spans="1:20" ht="12.75" customHeight="1" x14ac:dyDescent="0.2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1"/>
      <c r="N674" s="451"/>
      <c r="O674" s="452"/>
      <c r="P674" s="452"/>
      <c r="Q674" s="452"/>
      <c r="R674" s="452"/>
      <c r="S674" s="452"/>
      <c r="T674" s="158"/>
    </row>
    <row r="675" spans="1:20" ht="12.75" customHeight="1" x14ac:dyDescent="0.2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1"/>
      <c r="N675" s="451"/>
      <c r="O675" s="452"/>
      <c r="P675" s="452"/>
      <c r="Q675" s="452"/>
      <c r="R675" s="452"/>
      <c r="S675" s="452"/>
      <c r="T675" s="158"/>
    </row>
    <row r="676" spans="1:20" ht="12.75" customHeight="1" x14ac:dyDescent="0.2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1"/>
      <c r="N676" s="451"/>
      <c r="O676" s="452"/>
      <c r="P676" s="452"/>
      <c r="Q676" s="452"/>
      <c r="R676" s="452"/>
      <c r="S676" s="452"/>
      <c r="T676" s="158"/>
    </row>
    <row r="677" spans="1:20" ht="12.7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339"/>
      <c r="N677" s="339"/>
      <c r="O677" s="282"/>
      <c r="P677" s="282"/>
      <c r="Q677" s="282"/>
      <c r="R677" s="282"/>
      <c r="S677" s="282"/>
      <c r="T677" s="158"/>
    </row>
    <row r="678" spans="1:20" ht="12.75" customHeight="1" x14ac:dyDescent="0.2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 t="s">
        <v>754</v>
      </c>
      <c r="M678" s="364" t="s">
        <v>754</v>
      </c>
      <c r="N678" s="364"/>
      <c r="O678" s="470"/>
      <c r="P678" s="470"/>
      <c r="Q678" s="470"/>
      <c r="R678" s="470"/>
      <c r="S678" s="470"/>
      <c r="T678" s="158"/>
    </row>
    <row r="679" spans="1:20" ht="12.7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339"/>
      <c r="N679" s="339"/>
      <c r="O679" s="282"/>
      <c r="P679" s="282"/>
      <c r="Q679" s="282"/>
      <c r="R679" s="282"/>
      <c r="S679" s="282"/>
      <c r="T679" s="158"/>
    </row>
    <row r="680" spans="1:20" ht="12.75" customHeight="1" x14ac:dyDescent="0.2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/>
      <c r="M680" s="451"/>
      <c r="N680" s="451">
        <f>((DRYDEPaerosol.M+AerosolWashout.M+GasWashout.M+GASABS.aM.wM)/HEIGHT.aC)*AREAFRAC.wM</f>
        <v>3.6755287996258572E-3</v>
      </c>
      <c r="O680" s="451">
        <f>((DRYDEPaerosol.M+AerosolWashout.M+GasWashout.M+GASABS.aM.wM)/HEIGHT.aC)*AREAFRAC.wM</f>
        <v>3.6755287996258572E-3</v>
      </c>
      <c r="P680" s="451">
        <f>((DRYDEPaerosol.M+AerosolWashout.M+GasWashout.M+GASABS.aM.wM)/HEIGHT.aC)*AREAFRAC.wM</f>
        <v>3.6755287996258572E-3</v>
      </c>
      <c r="Q680" s="451">
        <f>((DRYDEPaerosol.M+AerosolWashout.M+GasWashout.M+GASABS.aM.wM)/HEIGHT.aC)*AREAFRAC.wM</f>
        <v>3.6755287996258572E-3</v>
      </c>
      <c r="R680" s="451">
        <f>((DRYDEPaerosol.M+AerosolWashout.M+GasWashout.M+GASABS.aM.wM)/HEIGHT.aC)*AREAFRAC.wM</f>
        <v>3.6755287996258572E-3</v>
      </c>
      <c r="S680" s="452"/>
      <c r="T680" s="158"/>
    </row>
    <row r="681" spans="1:20" ht="12.75" customHeight="1" x14ac:dyDescent="0.2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/>
      <c r="M681" s="451"/>
      <c r="N681" s="451">
        <f>((DRYDEPaerosol.M+AerosolWashout.M+GasWashout.M+GASABS.aM.sM)/HEIGHT.aC)*AREAFRAC.sM</f>
        <v>3.6741531820737145E-3</v>
      </c>
      <c r="O681" s="452">
        <f>((DRYDEPaerosol.M+AerosolWashout.M+GasWashout.M+GASABS.aM.sM)/HEIGHT.aC)*AREAFRAC.sM</f>
        <v>3.6741531820737145E-3</v>
      </c>
      <c r="P681" s="452">
        <f>((DRYDEPaerosol.M+AerosolWashout.M+GasWashout.M+GASABS.aM.sM)/HEIGHT.aC)*AREAFRAC.sM</f>
        <v>3.6741531820737145E-3</v>
      </c>
      <c r="Q681" s="452">
        <f>((DRYDEPaerosol.M+AerosolWashout.M+GasWashout.M+GASABS.aM.sM)/HEIGHT.aC)*AREAFRAC.sM</f>
        <v>3.6741531820737145E-3</v>
      </c>
      <c r="R681" s="452">
        <f>((DRYDEPaerosol.M+AerosolWashout.M+GasWashout.M+GASABS.aM.sM)/HEIGHT.aC)*AREAFRAC.sM</f>
        <v>3.6741531820737145E-3</v>
      </c>
      <c r="S681" s="452"/>
      <c r="T681" s="158"/>
    </row>
    <row r="682" spans="1:20" ht="12.75" customHeight="1" x14ac:dyDescent="0.2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1"/>
      <c r="N682" s="451"/>
      <c r="O682" s="452"/>
      <c r="P682" s="452"/>
      <c r="Q682" s="452"/>
      <c r="R682" s="452"/>
      <c r="S682" s="452"/>
      <c r="T682" s="158"/>
    </row>
    <row r="683" spans="1:20" ht="12.75" customHeight="1" x14ac:dyDescent="0.2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1"/>
      <c r="N683" s="451"/>
      <c r="O683" s="452"/>
      <c r="P683" s="452"/>
      <c r="Q683" s="452"/>
      <c r="R683" s="452"/>
      <c r="S683" s="452"/>
      <c r="T683" s="158"/>
    </row>
    <row r="684" spans="1:20" ht="12.75" customHeight="1" x14ac:dyDescent="0.2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1"/>
      <c r="N684" s="451"/>
      <c r="O684" s="452"/>
      <c r="P684" s="452"/>
      <c r="Q684" s="452"/>
      <c r="R684" s="452"/>
      <c r="S684" s="452"/>
      <c r="T684" s="158"/>
    </row>
    <row r="685" spans="1:20" ht="12.75" customHeight="1" x14ac:dyDescent="0.2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1"/>
      <c r="N685" s="451"/>
      <c r="O685" s="452"/>
      <c r="P685" s="452"/>
      <c r="Q685" s="452"/>
      <c r="R685" s="452"/>
      <c r="S685" s="452"/>
      <c r="T685" s="158"/>
    </row>
    <row r="686" spans="1:20" ht="12.75" customHeight="1" x14ac:dyDescent="0.2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1"/>
      <c r="N686" s="451"/>
      <c r="O686" s="452"/>
      <c r="P686" s="452"/>
      <c r="Q686" s="452"/>
      <c r="R686" s="452"/>
      <c r="S686" s="452"/>
      <c r="T686" s="158"/>
    </row>
    <row r="687" spans="1:20" ht="12.75" customHeight="1" x14ac:dyDescent="0.2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1"/>
      <c r="N687" s="451"/>
      <c r="O687" s="452"/>
      <c r="P687" s="452"/>
      <c r="Q687" s="452"/>
      <c r="R687" s="452"/>
      <c r="S687" s="452"/>
      <c r="T687" s="158"/>
    </row>
    <row r="688" spans="1:20" ht="12.75" customHeight="1" x14ac:dyDescent="0.2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1"/>
      <c r="N688" s="451"/>
      <c r="O688" s="452"/>
      <c r="P688" s="452"/>
      <c r="Q688" s="452"/>
      <c r="R688" s="452"/>
      <c r="S688" s="452"/>
      <c r="T688" s="158"/>
    </row>
    <row r="689" spans="1:20" ht="12.75" customHeight="1" x14ac:dyDescent="0.2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1"/>
      <c r="N689" s="451"/>
      <c r="O689" s="452"/>
      <c r="P689" s="452"/>
      <c r="Q689" s="452"/>
      <c r="R689" s="452"/>
      <c r="S689" s="452"/>
      <c r="T689" s="158"/>
    </row>
    <row r="690" spans="1:20" ht="12.75" customHeight="1" x14ac:dyDescent="0.2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/>
      <c r="M690" s="451"/>
      <c r="N690" s="451">
        <f>AEROSOLdeprate.M*FRaers.aM</f>
        <v>2.352999540191509E-5</v>
      </c>
      <c r="O690" s="452">
        <f>AEROSOLdeprate.M*FRaers.aM</f>
        <v>2.352999540191509E-5</v>
      </c>
      <c r="P690" s="452">
        <f>AEROSOLdeprate.M*FRaers.aM</f>
        <v>2.352999540191509E-5</v>
      </c>
      <c r="Q690" s="452">
        <f>AEROSOLdeprate.M*FRaers.aM</f>
        <v>2.352999540191509E-5</v>
      </c>
      <c r="R690" s="452">
        <f>AEROSOLdeprate.M*FRaers.aM</f>
        <v>2.352999540191509E-5</v>
      </c>
      <c r="S690" s="452"/>
      <c r="T690" s="158"/>
    </row>
    <row r="691" spans="1:20" ht="12.75" customHeight="1" x14ac:dyDescent="0.2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/>
      <c r="M691" s="451"/>
      <c r="N691" s="451">
        <f t="shared" ref="N691:R691" si="17">(1-FRgas.aM)*COLLECTeff.M*RAINrate.M</f>
        <v>1.0622130094040873E-4</v>
      </c>
      <c r="O691" s="452">
        <f t="shared" si="17"/>
        <v>1.0622130094040873E-4</v>
      </c>
      <c r="P691" s="452">
        <f t="shared" si="17"/>
        <v>1.0622130094040873E-4</v>
      </c>
      <c r="Q691" s="452">
        <f t="shared" si="17"/>
        <v>1.0622130094040873E-4</v>
      </c>
      <c r="R691" s="452">
        <f t="shared" si="17"/>
        <v>1.0622130094040873E-4</v>
      </c>
      <c r="S691" s="452"/>
      <c r="T691" s="158"/>
    </row>
    <row r="692" spans="1:20" ht="12.75" customHeight="1" x14ac:dyDescent="0.2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/>
      <c r="M692" s="451"/>
      <c r="N692" s="451">
        <f t="shared" ref="N692:R692" si="18">FRgas.aM*RAINrate.M/Kaw.M</f>
        <v>0.44073100068471405</v>
      </c>
      <c r="O692" s="452">
        <f t="shared" si="18"/>
        <v>0.44073100068471405</v>
      </c>
      <c r="P692" s="452">
        <f t="shared" si="18"/>
        <v>0.44073100068471405</v>
      </c>
      <c r="Q692" s="452">
        <f t="shared" si="18"/>
        <v>0.44073100068471405</v>
      </c>
      <c r="R692" s="452">
        <f t="shared" si="18"/>
        <v>0.44073100068471405</v>
      </c>
      <c r="S692" s="452"/>
      <c r="T692" s="158"/>
    </row>
    <row r="693" spans="1:20" ht="12.75" customHeight="1" x14ac:dyDescent="0.2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1"/>
      <c r="N693" s="451"/>
      <c r="O693" s="452"/>
      <c r="P693" s="452"/>
      <c r="Q693" s="452"/>
      <c r="R693" s="452"/>
      <c r="S693" s="452"/>
      <c r="T693" s="158"/>
    </row>
    <row r="694" spans="1:20" ht="12.75" customHeight="1" x14ac:dyDescent="0.2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1"/>
      <c r="N694" s="451"/>
      <c r="O694" s="452"/>
      <c r="P694" s="452"/>
      <c r="Q694" s="452"/>
      <c r="R694" s="452"/>
      <c r="S694" s="452"/>
      <c r="T694" s="158"/>
    </row>
    <row r="695" spans="1:20" ht="12.75" customHeight="1" x14ac:dyDescent="0.2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1"/>
      <c r="N695" s="451"/>
      <c r="O695" s="452"/>
      <c r="P695" s="452"/>
      <c r="Q695" s="452"/>
      <c r="R695" s="452"/>
      <c r="S695" s="452"/>
      <c r="T695" s="158"/>
    </row>
    <row r="696" spans="1:20" ht="12.75" customHeight="1" x14ac:dyDescent="0.2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1"/>
      <c r="N696" s="451"/>
      <c r="O696" s="452"/>
      <c r="P696" s="452"/>
      <c r="Q696" s="452"/>
      <c r="R696" s="452"/>
      <c r="S696" s="452"/>
      <c r="T696" s="158"/>
    </row>
    <row r="697" spans="1:20" ht="12.75" customHeight="1" x14ac:dyDescent="0.2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1"/>
      <c r="N697" s="451"/>
      <c r="O697" s="452"/>
      <c r="P697" s="452"/>
      <c r="Q697" s="452"/>
      <c r="R697" s="452"/>
      <c r="S697" s="452"/>
      <c r="T697" s="158"/>
    </row>
    <row r="698" spans="1:20" ht="12.75" customHeight="1" x14ac:dyDescent="0.2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1"/>
      <c r="N698" s="451"/>
      <c r="O698" s="452"/>
      <c r="P698" s="452"/>
      <c r="Q698" s="452"/>
      <c r="R698" s="452"/>
      <c r="S698" s="452"/>
      <c r="T698" s="158"/>
    </row>
    <row r="699" spans="1:20" ht="12.75" customHeight="1" x14ac:dyDescent="0.2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1"/>
      <c r="N699" s="451"/>
      <c r="O699" s="452"/>
      <c r="P699" s="452"/>
      <c r="Q699" s="452"/>
      <c r="R699" s="452"/>
      <c r="S699" s="452"/>
      <c r="T699" s="158"/>
    </row>
    <row r="700" spans="1:20" ht="12.75" customHeight="1" x14ac:dyDescent="0.2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1"/>
      <c r="N700" s="451"/>
      <c r="O700" s="452"/>
      <c r="P700" s="452"/>
      <c r="Q700" s="452"/>
      <c r="R700" s="452"/>
      <c r="S700" s="452"/>
      <c r="T700" s="158"/>
    </row>
    <row r="701" spans="1:20" ht="12.75" customHeight="1" x14ac:dyDescent="0.2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1"/>
      <c r="N701" s="451"/>
      <c r="O701" s="452"/>
      <c r="P701" s="452"/>
      <c r="Q701" s="452"/>
      <c r="R701" s="452"/>
      <c r="S701" s="452"/>
      <c r="T701" s="158"/>
    </row>
    <row r="702" spans="1:20" ht="12.75" customHeight="1" x14ac:dyDescent="0.2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1"/>
      <c r="N702" s="451"/>
      <c r="O702" s="452"/>
      <c r="P702" s="452"/>
      <c r="Q702" s="452"/>
      <c r="R702" s="452"/>
      <c r="S702" s="452"/>
      <c r="T702" s="158"/>
    </row>
    <row r="703" spans="1:20" ht="12.75" customHeight="1" x14ac:dyDescent="0.2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1"/>
      <c r="N703" s="451"/>
      <c r="O703" s="452"/>
      <c r="P703" s="452"/>
      <c r="Q703" s="452"/>
      <c r="R703" s="452"/>
      <c r="S703" s="452"/>
      <c r="T703" s="158"/>
    </row>
    <row r="704" spans="1:20" ht="12.75" customHeight="1" x14ac:dyDescent="0.2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/>
      <c r="M704" s="451"/>
      <c r="N704" s="451">
        <v>1.1468924229780271E-8</v>
      </c>
      <c r="O704" s="452">
        <v>1.1468924229780271E-8</v>
      </c>
      <c r="P704" s="452">
        <v>1.1468924229780271E-8</v>
      </c>
      <c r="Q704" s="452">
        <v>1.1468924229780271E-8</v>
      </c>
      <c r="R704" s="452"/>
      <c r="S704" s="452">
        <v>1.1468924229780271E-8</v>
      </c>
      <c r="T704" s="158"/>
    </row>
    <row r="705" spans="1:20" ht="12.75" customHeight="1" x14ac:dyDescent="0.2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/>
      <c r="M705" s="451"/>
      <c r="N705" s="451">
        <v>1</v>
      </c>
      <c r="O705" s="452">
        <v>1</v>
      </c>
      <c r="P705" s="452">
        <v>1</v>
      </c>
      <c r="Q705" s="452">
        <v>1</v>
      </c>
      <c r="R705" s="452"/>
      <c r="S705" s="452">
        <v>1</v>
      </c>
      <c r="T705" s="158"/>
    </row>
    <row r="706" spans="1:20" ht="12.7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59"/>
      <c r="N706" s="459"/>
      <c r="O706" s="460"/>
      <c r="P706" s="460"/>
      <c r="Q706" s="460"/>
      <c r="R706" s="460"/>
      <c r="S706" s="460"/>
      <c r="T706" s="158"/>
    </row>
    <row r="707" spans="1:20" ht="12.75" customHeight="1" x14ac:dyDescent="0.2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1"/>
      <c r="N707" s="451"/>
      <c r="O707" s="452"/>
      <c r="P707" s="452"/>
      <c r="Q707" s="452"/>
      <c r="R707" s="452"/>
      <c r="S707" s="452"/>
      <c r="T707" s="158"/>
    </row>
    <row r="708" spans="1:20" ht="12.75" customHeight="1" x14ac:dyDescent="0.2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1"/>
      <c r="N708" s="451"/>
      <c r="O708" s="452"/>
      <c r="P708" s="452"/>
      <c r="Q708" s="452"/>
      <c r="R708" s="452"/>
      <c r="S708" s="452"/>
      <c r="T708" s="158"/>
    </row>
    <row r="709" spans="1:20" ht="12.75" customHeight="1" x14ac:dyDescent="0.2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1"/>
      <c r="N709" s="451"/>
      <c r="O709" s="452"/>
      <c r="P709" s="452"/>
      <c r="Q709" s="452"/>
      <c r="R709" s="452"/>
      <c r="S709" s="452"/>
      <c r="T709" s="158"/>
    </row>
    <row r="710" spans="1:20" ht="12.75" customHeight="1" x14ac:dyDescent="0.2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1"/>
      <c r="N710" s="451"/>
      <c r="O710" s="452"/>
      <c r="P710" s="452"/>
      <c r="Q710" s="452"/>
      <c r="R710" s="452"/>
      <c r="S710" s="452"/>
      <c r="T710" s="158"/>
    </row>
    <row r="711" spans="1:20" ht="12.75" customHeight="1" x14ac:dyDescent="0.2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1"/>
      <c r="N711" s="451"/>
      <c r="O711" s="452"/>
      <c r="P711" s="452"/>
      <c r="Q711" s="452"/>
      <c r="R711" s="452"/>
      <c r="S711" s="452"/>
      <c r="T711" s="158"/>
    </row>
    <row r="712" spans="1:20" ht="12.75" customHeight="1" x14ac:dyDescent="0.2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1"/>
      <c r="N712" s="451"/>
      <c r="O712" s="452"/>
      <c r="P712" s="452"/>
      <c r="Q712" s="452"/>
      <c r="R712" s="452"/>
      <c r="S712" s="452"/>
      <c r="T712" s="158"/>
    </row>
    <row r="713" spans="1:20" ht="12.75" customHeight="1" x14ac:dyDescent="0.2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1"/>
      <c r="N713" s="451"/>
      <c r="O713" s="452"/>
      <c r="P713" s="452"/>
      <c r="Q713" s="452"/>
      <c r="R713" s="452"/>
      <c r="S713" s="452"/>
      <c r="T713" s="158"/>
    </row>
    <row r="714" spans="1:20" ht="12.75" customHeight="1" x14ac:dyDescent="0.2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1"/>
      <c r="N714" s="451"/>
      <c r="O714" s="452"/>
      <c r="P714" s="452"/>
      <c r="Q714" s="452"/>
      <c r="R714" s="452"/>
      <c r="S714" s="452"/>
      <c r="T714" s="158"/>
    </row>
    <row r="715" spans="1:20" ht="12.75" customHeight="1" x14ac:dyDescent="0.2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1"/>
      <c r="N715" s="451"/>
      <c r="O715" s="452"/>
      <c r="P715" s="452"/>
      <c r="Q715" s="452"/>
      <c r="R715" s="452"/>
      <c r="S715" s="452"/>
      <c r="T715" s="158"/>
    </row>
    <row r="716" spans="1:20" ht="12.75" customHeight="1" x14ac:dyDescent="0.2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1"/>
      <c r="N716" s="451"/>
      <c r="O716" s="452"/>
      <c r="P716" s="452"/>
      <c r="Q716" s="452"/>
      <c r="R716" s="452"/>
      <c r="S716" s="452"/>
      <c r="T716" s="158"/>
    </row>
    <row r="717" spans="1:20" ht="12.75" customHeight="1" x14ac:dyDescent="0.2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1"/>
      <c r="N717" s="451"/>
      <c r="O717" s="452"/>
      <c r="P717" s="452"/>
      <c r="Q717" s="452"/>
      <c r="R717" s="452"/>
      <c r="S717" s="452"/>
      <c r="T717" s="158"/>
    </row>
    <row r="718" spans="1:20" ht="12.75" customHeight="1" x14ac:dyDescent="0.2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1"/>
      <c r="N718" s="451"/>
      <c r="O718" s="452"/>
      <c r="P718" s="452"/>
      <c r="Q718" s="452"/>
      <c r="R718" s="452"/>
      <c r="S718" s="452"/>
      <c r="T718" s="158"/>
    </row>
    <row r="719" spans="1:20" ht="12.7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59"/>
      <c r="N719" s="459"/>
      <c r="O719" s="460"/>
      <c r="P719" s="460"/>
      <c r="Q719" s="460"/>
      <c r="R719" s="460"/>
      <c r="S719" s="460"/>
      <c r="T719" s="158"/>
    </row>
    <row r="720" spans="1:20" ht="12.75" customHeight="1" x14ac:dyDescent="0.2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1"/>
      <c r="N720" s="451"/>
      <c r="O720" s="452"/>
      <c r="P720" s="452"/>
      <c r="Q720" s="452"/>
      <c r="R720" s="452"/>
      <c r="S720" s="452"/>
      <c r="T720" s="158"/>
    </row>
    <row r="721" spans="1:20" ht="12.75" customHeight="1" x14ac:dyDescent="0.2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1"/>
      <c r="N721" s="451"/>
      <c r="O721" s="452"/>
      <c r="P721" s="452"/>
      <c r="Q721" s="452"/>
      <c r="R721" s="452"/>
      <c r="S721" s="452"/>
      <c r="T721" s="158"/>
    </row>
    <row r="722" spans="1:20" ht="12.75" customHeight="1" x14ac:dyDescent="0.2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1"/>
      <c r="N722" s="451"/>
      <c r="O722" s="452"/>
      <c r="P722" s="452"/>
      <c r="Q722" s="452"/>
      <c r="R722" s="452"/>
      <c r="S722" s="452"/>
      <c r="T722" s="158"/>
    </row>
    <row r="723" spans="1:20" ht="12.75" customHeight="1" x14ac:dyDescent="0.2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/>
      <c r="M723" s="451"/>
      <c r="N723" s="451">
        <v>1</v>
      </c>
      <c r="O723" s="452">
        <v>1</v>
      </c>
      <c r="P723" s="452">
        <v>1</v>
      </c>
      <c r="Q723" s="452">
        <v>1</v>
      </c>
      <c r="R723" s="452"/>
      <c r="S723" s="452">
        <v>1</v>
      </c>
      <c r="T723" s="158"/>
    </row>
    <row r="724" spans="1:20" ht="12.7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339"/>
      <c r="N724" s="339"/>
      <c r="O724" s="282"/>
      <c r="P724" s="282"/>
      <c r="Q724" s="282"/>
      <c r="R724" s="282"/>
      <c r="S724" s="282"/>
      <c r="T724" s="158"/>
    </row>
    <row r="725" spans="1:20" ht="12.75" customHeight="1" x14ac:dyDescent="0.2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 t="s">
        <v>754</v>
      </c>
      <c r="M725" s="364" t="s">
        <v>754</v>
      </c>
      <c r="N725" s="364"/>
      <c r="O725" s="470"/>
      <c r="P725" s="470"/>
      <c r="Q725" s="470"/>
      <c r="R725" s="470"/>
      <c r="S725" s="470"/>
      <c r="T725" s="158"/>
    </row>
    <row r="726" spans="1:20" ht="12.75" customHeight="1" x14ac:dyDescent="0.2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339"/>
      <c r="N726" s="339"/>
      <c r="O726" s="282"/>
      <c r="P726" s="282"/>
      <c r="Q726" s="282"/>
      <c r="R726" s="282"/>
      <c r="S726" s="282"/>
      <c r="T726" s="158"/>
    </row>
    <row r="727" spans="1:20" ht="12.75" customHeight="1" x14ac:dyDescent="0.2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1"/>
      <c r="N727" s="451"/>
      <c r="O727" s="452"/>
      <c r="P727" s="452"/>
      <c r="Q727" s="452"/>
      <c r="R727" s="452"/>
      <c r="S727" s="452"/>
      <c r="T727" s="158"/>
    </row>
    <row r="728" spans="1:20" ht="12.75" customHeight="1" x14ac:dyDescent="0.2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1"/>
      <c r="N728" s="451"/>
      <c r="O728" s="452"/>
      <c r="P728" s="452"/>
      <c r="Q728" s="452"/>
      <c r="R728" s="452"/>
      <c r="S728" s="452"/>
      <c r="T728" s="158"/>
    </row>
    <row r="729" spans="1:20" ht="12.75" customHeight="1" x14ac:dyDescent="0.2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1"/>
      <c r="N729" s="451"/>
      <c r="O729" s="452"/>
      <c r="P729" s="452"/>
      <c r="Q729" s="452"/>
      <c r="R729" s="452"/>
      <c r="S729" s="452"/>
      <c r="T729" s="158"/>
    </row>
    <row r="730" spans="1:20" ht="12.75" customHeight="1" x14ac:dyDescent="0.2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1"/>
      <c r="N730" s="451"/>
      <c r="O730" s="452"/>
      <c r="P730" s="452"/>
      <c r="Q730" s="452"/>
      <c r="R730" s="452"/>
      <c r="S730" s="452"/>
      <c r="T730" s="158"/>
    </row>
    <row r="731" spans="1:20" ht="12.75" customHeight="1" x14ac:dyDescent="0.2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1"/>
      <c r="N731" s="451"/>
      <c r="O731" s="452"/>
      <c r="P731" s="452"/>
      <c r="Q731" s="452"/>
      <c r="R731" s="452"/>
      <c r="S731" s="452"/>
      <c r="T731" s="158"/>
    </row>
    <row r="732" spans="1:20" ht="12.75" customHeight="1" x14ac:dyDescent="0.2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1"/>
      <c r="N732" s="451"/>
      <c r="O732" s="452"/>
      <c r="P732" s="452"/>
      <c r="Q732" s="452"/>
      <c r="R732" s="452"/>
      <c r="S732" s="452"/>
      <c r="T732" s="158"/>
    </row>
    <row r="733" spans="1:20" ht="12.75" customHeight="1" x14ac:dyDescent="0.2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1"/>
      <c r="N733" s="451"/>
      <c r="O733" s="452"/>
      <c r="P733" s="452"/>
      <c r="Q733" s="452"/>
      <c r="R733" s="452"/>
      <c r="S733" s="452"/>
      <c r="T733" s="158"/>
    </row>
    <row r="734" spans="1:20" ht="12.75" customHeight="1" x14ac:dyDescent="0.2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1"/>
      <c r="N734" s="451"/>
      <c r="O734" s="452"/>
      <c r="P734" s="452"/>
      <c r="Q734" s="452"/>
      <c r="R734" s="452"/>
      <c r="S734" s="452"/>
      <c r="T734" s="158"/>
    </row>
    <row r="735" spans="1:20" ht="12.75" customHeight="1" x14ac:dyDescent="0.2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1"/>
      <c r="N735" s="451"/>
      <c r="O735" s="452"/>
      <c r="P735" s="452"/>
      <c r="Q735" s="452"/>
      <c r="R735" s="452"/>
      <c r="S735" s="452"/>
      <c r="T735" s="158"/>
    </row>
    <row r="736" spans="1:20" ht="12.75" customHeight="1" x14ac:dyDescent="0.2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1"/>
      <c r="N736" s="451"/>
      <c r="O736" s="452"/>
      <c r="P736" s="452"/>
      <c r="Q736" s="452"/>
      <c r="R736" s="452"/>
      <c r="S736" s="452"/>
      <c r="T736" s="158"/>
    </row>
    <row r="737" spans="1:20" ht="12.75" customHeight="1" x14ac:dyDescent="0.2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1"/>
      <c r="N737" s="451"/>
      <c r="O737" s="452"/>
      <c r="P737" s="452"/>
      <c r="Q737" s="452"/>
      <c r="R737" s="452"/>
      <c r="S737" s="452"/>
      <c r="T737" s="158"/>
    </row>
    <row r="738" spans="1:20" ht="12.75" customHeight="1" x14ac:dyDescent="0.2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1"/>
      <c r="N738" s="451"/>
      <c r="O738" s="452"/>
      <c r="P738" s="452"/>
      <c r="Q738" s="452"/>
      <c r="R738" s="452"/>
      <c r="S738" s="452"/>
      <c r="T738" s="158"/>
    </row>
    <row r="739" spans="1:20" ht="12.75" customHeight="1" x14ac:dyDescent="0.2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1"/>
      <c r="N739" s="451"/>
      <c r="O739" s="452"/>
      <c r="P739" s="452"/>
      <c r="Q739" s="452"/>
      <c r="R739" s="452"/>
      <c r="S739" s="452"/>
      <c r="T739" s="158"/>
    </row>
    <row r="740" spans="1:20" ht="12.75" customHeight="1" x14ac:dyDescent="0.2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1"/>
      <c r="N740" s="451"/>
      <c r="O740" s="452"/>
      <c r="P740" s="452"/>
      <c r="Q740" s="452"/>
      <c r="R740" s="452"/>
      <c r="S740" s="452"/>
      <c r="T740" s="158"/>
    </row>
    <row r="741" spans="1:20" ht="12.75" customHeight="1" x14ac:dyDescent="0.2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1"/>
      <c r="N741" s="451"/>
      <c r="O741" s="452"/>
      <c r="P741" s="452"/>
      <c r="Q741" s="452"/>
      <c r="R741" s="452"/>
      <c r="S741" s="452"/>
      <c r="T741" s="158"/>
    </row>
    <row r="742" spans="1:20" ht="12.75" customHeight="1" x14ac:dyDescent="0.2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1"/>
      <c r="N742" s="451"/>
      <c r="O742" s="452"/>
      <c r="P742" s="452"/>
      <c r="Q742" s="452"/>
      <c r="R742" s="452"/>
      <c r="S742" s="452"/>
      <c r="T742" s="158"/>
    </row>
    <row r="743" spans="1:20" ht="12.75" customHeight="1" x14ac:dyDescent="0.2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1"/>
      <c r="N743" s="451"/>
      <c r="O743" s="452"/>
      <c r="P743" s="452"/>
      <c r="Q743" s="452"/>
      <c r="R743" s="452"/>
      <c r="S743" s="452"/>
      <c r="T743" s="158"/>
    </row>
    <row r="744" spans="1:20" ht="12.75" customHeight="1" x14ac:dyDescent="0.2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/>
      <c r="M744" s="451"/>
      <c r="N744" s="451">
        <v>1</v>
      </c>
      <c r="O744" s="452">
        <v>1</v>
      </c>
      <c r="P744" s="452">
        <v>1</v>
      </c>
      <c r="Q744" s="452">
        <v>1</v>
      </c>
      <c r="R744" s="452"/>
      <c r="S744" s="452">
        <v>1</v>
      </c>
      <c r="T744" s="158"/>
    </row>
    <row r="745" spans="1:20" ht="12.75" customHeight="1" x14ac:dyDescent="0.2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356"/>
      <c r="N745" s="356"/>
      <c r="O745" s="471"/>
      <c r="P745" s="471"/>
      <c r="Q745" s="471"/>
      <c r="R745" s="471"/>
      <c r="S745" s="471"/>
      <c r="T745" s="158"/>
    </row>
    <row r="746" spans="1:20" ht="12.75" customHeight="1" x14ac:dyDescent="0.2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339"/>
      <c r="N746" s="339"/>
      <c r="O746" s="282"/>
      <c r="P746" s="282"/>
      <c r="Q746" s="282"/>
      <c r="R746" s="282"/>
      <c r="S746" s="282"/>
      <c r="T746" s="158"/>
    </row>
    <row r="747" spans="1:20" ht="12.75" customHeight="1" x14ac:dyDescent="0.2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339"/>
      <c r="N747" s="339"/>
      <c r="O747" s="282"/>
      <c r="P747" s="282"/>
      <c r="Q747" s="282"/>
      <c r="R747" s="282"/>
      <c r="S747" s="282"/>
      <c r="T747" s="158"/>
    </row>
    <row r="748" spans="1:20" ht="12.75" customHeight="1" x14ac:dyDescent="0.2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339"/>
      <c r="N748" s="339"/>
      <c r="O748" s="282"/>
      <c r="P748" s="282"/>
      <c r="Q748" s="282"/>
      <c r="R748" s="282"/>
      <c r="S748" s="282"/>
      <c r="T748" s="158"/>
    </row>
    <row r="749" spans="1:20" ht="12.7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339"/>
      <c r="N749" s="339"/>
      <c r="O749" s="282"/>
      <c r="P749" s="282"/>
      <c r="Q749" s="282"/>
      <c r="R749" s="282"/>
      <c r="S749" s="282"/>
      <c r="T749" s="158"/>
    </row>
    <row r="750" spans="1:20" ht="12.75" customHeight="1" x14ac:dyDescent="0.2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 t="s">
        <v>754</v>
      </c>
      <c r="M750" s="364" t="s">
        <v>754</v>
      </c>
      <c r="N750" s="364"/>
      <c r="O750" s="470"/>
      <c r="P750" s="470"/>
      <c r="Q750" s="470"/>
      <c r="R750" s="470"/>
      <c r="S750" s="470"/>
      <c r="T750" s="158"/>
    </row>
    <row r="751" spans="1:20" ht="12.75" customHeight="1" x14ac:dyDescent="0.2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05"/>
      <c r="N751" s="405"/>
      <c r="O751" s="473"/>
      <c r="P751" s="473"/>
      <c r="Q751" s="473"/>
      <c r="R751" s="473"/>
      <c r="S751" s="473"/>
      <c r="T751" s="158"/>
    </row>
    <row r="752" spans="1:20" ht="12.75" customHeight="1" x14ac:dyDescent="0.2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1"/>
      <c r="N752" s="451"/>
      <c r="O752" s="452"/>
      <c r="P752" s="452"/>
      <c r="Q752" s="452"/>
      <c r="R752" s="452"/>
      <c r="S752" s="452"/>
      <c r="T752" s="158"/>
    </row>
    <row r="753" spans="1:20" ht="12.75" customHeight="1" x14ac:dyDescent="0.2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1"/>
      <c r="N753" s="451"/>
      <c r="O753" s="452"/>
      <c r="P753" s="452"/>
      <c r="Q753" s="452"/>
      <c r="R753" s="452"/>
      <c r="S753" s="452"/>
      <c r="T753" s="158"/>
    </row>
    <row r="754" spans="1:20" ht="12.75" customHeight="1" x14ac:dyDescent="0.2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1"/>
      <c r="N754" s="451"/>
      <c r="O754" s="452"/>
      <c r="P754" s="452"/>
      <c r="Q754" s="452"/>
      <c r="R754" s="452"/>
      <c r="S754" s="452"/>
      <c r="T754" s="158"/>
    </row>
    <row r="755" spans="1:20" ht="12.75" customHeight="1" x14ac:dyDescent="0.2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1"/>
      <c r="N755" s="451"/>
      <c r="O755" s="452"/>
      <c r="P755" s="452"/>
      <c r="Q755" s="452"/>
      <c r="R755" s="452"/>
      <c r="S755" s="452"/>
      <c r="T755" s="158"/>
    </row>
    <row r="756" spans="1:20" ht="12.75" customHeight="1" x14ac:dyDescent="0.2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1"/>
      <c r="N756" s="451"/>
      <c r="O756" s="452"/>
      <c r="P756" s="452"/>
      <c r="Q756" s="452"/>
      <c r="R756" s="452"/>
      <c r="S756" s="452"/>
      <c r="T756" s="158"/>
    </row>
    <row r="757" spans="1:20" ht="12.75" customHeight="1" x14ac:dyDescent="0.2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1"/>
      <c r="N757" s="451"/>
      <c r="O757" s="452"/>
      <c r="P757" s="452"/>
      <c r="Q757" s="452"/>
      <c r="R757" s="452"/>
      <c r="S757" s="452"/>
      <c r="T757" s="158"/>
    </row>
    <row r="758" spans="1:20" ht="12.75" customHeight="1" x14ac:dyDescent="0.2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1"/>
      <c r="N758" s="451"/>
      <c r="O758" s="452"/>
      <c r="P758" s="452"/>
      <c r="Q758" s="452"/>
      <c r="R758" s="452"/>
      <c r="S758" s="452"/>
      <c r="T758" s="158"/>
    </row>
    <row r="759" spans="1:20" ht="12.75" customHeight="1" x14ac:dyDescent="0.2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1"/>
      <c r="N759" s="451"/>
      <c r="O759" s="452"/>
      <c r="P759" s="452"/>
      <c r="Q759" s="452"/>
      <c r="R759" s="452"/>
      <c r="S759" s="452"/>
      <c r="T759" s="158"/>
    </row>
    <row r="760" spans="1:20" ht="12.75" customHeight="1" x14ac:dyDescent="0.2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1"/>
      <c r="N760" s="451"/>
      <c r="O760" s="452"/>
      <c r="P760" s="452"/>
      <c r="Q760" s="452"/>
      <c r="R760" s="452"/>
      <c r="S760" s="452"/>
      <c r="T760" s="158"/>
    </row>
    <row r="761" spans="1:20" ht="12.75" customHeight="1" x14ac:dyDescent="0.2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/>
      <c r="M761" s="451"/>
      <c r="N761" s="451">
        <v>990</v>
      </c>
      <c r="O761" s="452">
        <v>990</v>
      </c>
      <c r="P761" s="452"/>
      <c r="Q761" s="452">
        <v>990</v>
      </c>
      <c r="R761" s="452">
        <v>990</v>
      </c>
      <c r="S761" s="452">
        <v>990</v>
      </c>
      <c r="T761" s="158"/>
    </row>
    <row r="762" spans="1:20" ht="12.75" customHeight="1" x14ac:dyDescent="0.2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/>
      <c r="M762" s="451"/>
      <c r="N762" s="451">
        <v>10</v>
      </c>
      <c r="O762" s="452">
        <v>10</v>
      </c>
      <c r="P762" s="452"/>
      <c r="Q762" s="452">
        <v>10</v>
      </c>
      <c r="R762" s="452">
        <v>10</v>
      </c>
      <c r="S762" s="452">
        <v>10</v>
      </c>
      <c r="T762" s="158"/>
    </row>
    <row r="763" spans="1:20" ht="12.75" customHeight="1" x14ac:dyDescent="0.2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1"/>
      <c r="N763" s="451"/>
      <c r="O763" s="452"/>
      <c r="P763" s="452"/>
      <c r="Q763" s="452"/>
      <c r="R763" s="452"/>
      <c r="S763" s="452"/>
      <c r="T763" s="158"/>
    </row>
    <row r="764" spans="1:20" ht="12.75" customHeight="1" x14ac:dyDescent="0.2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1"/>
      <c r="N764" s="451"/>
      <c r="O764" s="452"/>
      <c r="P764" s="452"/>
      <c r="Q764" s="452"/>
      <c r="R764" s="452"/>
      <c r="S764" s="452"/>
      <c r="T764" s="158"/>
    </row>
    <row r="765" spans="1:20" ht="12.75" customHeight="1" x14ac:dyDescent="0.2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/>
      <c r="M765" s="451"/>
      <c r="N765" s="451">
        <v>4.9999999999999995E-11</v>
      </c>
      <c r="O765" s="452">
        <v>4.9999999999999995E-11</v>
      </c>
      <c r="P765" s="452">
        <v>4.9999999999999995E-11</v>
      </c>
      <c r="Q765" s="452">
        <v>4.9999999999999995E-11</v>
      </c>
      <c r="R765" s="452">
        <v>4.9999999999999995E-11</v>
      </c>
      <c r="S765" s="452"/>
      <c r="T765" s="158"/>
    </row>
    <row r="766" spans="1:20" ht="12.75" customHeight="1" x14ac:dyDescent="0.2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/>
      <c r="M766" s="451"/>
      <c r="N766" s="451">
        <v>9.9999999999999995E-21</v>
      </c>
      <c r="O766" s="452">
        <v>9.9999999999999995E-21</v>
      </c>
      <c r="P766" s="452">
        <v>9.9999999999999995E-21</v>
      </c>
      <c r="Q766" s="452">
        <v>9.9999999999999995E-21</v>
      </c>
      <c r="R766" s="452">
        <v>9.9999999999999995E-21</v>
      </c>
      <c r="S766" s="452"/>
      <c r="T766" s="158"/>
    </row>
    <row r="767" spans="1:20" ht="12.75" customHeight="1" x14ac:dyDescent="0.2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1"/>
      <c r="N767" s="451"/>
      <c r="O767" s="452"/>
      <c r="P767" s="452"/>
      <c r="Q767" s="452"/>
      <c r="R767" s="452"/>
      <c r="S767" s="452"/>
      <c r="T767" s="158"/>
    </row>
    <row r="768" spans="1:20" ht="12.75" customHeight="1" x14ac:dyDescent="0.2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1"/>
      <c r="N768" s="451"/>
      <c r="O768" s="452"/>
      <c r="P768" s="452"/>
      <c r="Q768" s="452"/>
      <c r="R768" s="452"/>
      <c r="S768" s="452"/>
      <c r="T768" s="158"/>
    </row>
    <row r="769" spans="1:20" ht="12.75" customHeight="1" x14ac:dyDescent="0.2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1"/>
      <c r="N769" s="451"/>
      <c r="O769" s="452"/>
      <c r="P769" s="452"/>
      <c r="Q769" s="452"/>
      <c r="R769" s="452"/>
      <c r="S769" s="452"/>
      <c r="T769" s="158"/>
    </row>
    <row r="770" spans="1:20" ht="12.75" customHeight="1" x14ac:dyDescent="0.2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1"/>
      <c r="N770" s="451"/>
      <c r="O770" s="452"/>
      <c r="P770" s="452"/>
      <c r="Q770" s="452"/>
      <c r="R770" s="452"/>
      <c r="S770" s="452"/>
      <c r="T770" s="158"/>
    </row>
    <row r="771" spans="1:20" ht="12.75" customHeight="1" x14ac:dyDescent="0.2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1"/>
      <c r="N771" s="451"/>
      <c r="O771" s="452"/>
      <c r="P771" s="452"/>
      <c r="Q771" s="452"/>
      <c r="R771" s="452"/>
      <c r="S771" s="452"/>
      <c r="T771" s="158"/>
    </row>
    <row r="772" spans="1:20" ht="12.75" customHeight="1" x14ac:dyDescent="0.2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59"/>
      <c r="N772" s="459"/>
      <c r="O772" s="460"/>
      <c r="P772" s="460"/>
      <c r="Q772" s="460"/>
      <c r="R772" s="460"/>
      <c r="S772" s="460"/>
      <c r="T772" s="158"/>
    </row>
    <row r="773" spans="1:20" ht="12.75" customHeight="1" x14ac:dyDescent="0.2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1"/>
      <c r="N773" s="451"/>
      <c r="O773" s="452"/>
      <c r="P773" s="452"/>
      <c r="Q773" s="452"/>
      <c r="R773" s="452"/>
      <c r="S773" s="452"/>
      <c r="T773" s="158"/>
    </row>
    <row r="774" spans="1:20" ht="12.75" customHeight="1" x14ac:dyDescent="0.2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1"/>
      <c r="N774" s="451"/>
      <c r="O774" s="452"/>
      <c r="P774" s="452"/>
      <c r="Q774" s="452"/>
      <c r="R774" s="452"/>
      <c r="S774" s="452"/>
      <c r="T774" s="158"/>
    </row>
    <row r="775" spans="1:20" ht="12.75" customHeight="1" x14ac:dyDescent="0.2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59"/>
      <c r="N775" s="459"/>
      <c r="O775" s="460"/>
      <c r="P775" s="460"/>
      <c r="Q775" s="460"/>
      <c r="R775" s="460"/>
      <c r="S775" s="460"/>
      <c r="T775" s="158"/>
    </row>
    <row r="776" spans="1:20" ht="12.75" customHeight="1" x14ac:dyDescent="0.2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1"/>
      <c r="N776" s="451"/>
      <c r="O776" s="452"/>
      <c r="P776" s="452"/>
      <c r="Q776" s="452"/>
      <c r="R776" s="452"/>
      <c r="S776" s="452"/>
      <c r="T776" s="158"/>
    </row>
    <row r="777" spans="1:20" ht="12.75" customHeight="1" x14ac:dyDescent="0.2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/>
      <c r="M777" s="451"/>
      <c r="N777" s="451">
        <v>9.9999999999999995E-21</v>
      </c>
      <c r="O777" s="452">
        <v>9.9999999999999995E-21</v>
      </c>
      <c r="P777" s="452"/>
      <c r="Q777" s="452">
        <v>9.9999999999999995E-21</v>
      </c>
      <c r="R777" s="452">
        <v>9.9999999999999995E-21</v>
      </c>
      <c r="S777" s="452">
        <v>9.9999999999999995E-21</v>
      </c>
      <c r="T777" s="158"/>
    </row>
    <row r="778" spans="1:20" ht="12.75" customHeight="1" x14ac:dyDescent="0.2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/>
      <c r="M778" s="451"/>
      <c r="N778" s="451">
        <v>50497524.691810384</v>
      </c>
      <c r="O778" s="452">
        <v>50497524.691810384</v>
      </c>
      <c r="P778" s="452"/>
      <c r="Q778" s="452">
        <v>50497524.691810384</v>
      </c>
      <c r="R778" s="452">
        <v>50497524.691810384</v>
      </c>
      <c r="S778" s="452">
        <v>50497524.691810384</v>
      </c>
      <c r="T778" s="158"/>
    </row>
    <row r="779" spans="1:20" ht="12.75" customHeight="1" x14ac:dyDescent="0.2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1"/>
      <c r="N779" s="451"/>
      <c r="O779" s="452"/>
      <c r="P779" s="452"/>
      <c r="Q779" s="452"/>
      <c r="R779" s="452"/>
      <c r="S779" s="452"/>
      <c r="T779" s="158"/>
    </row>
    <row r="780" spans="1:20" ht="12.75" customHeight="1" x14ac:dyDescent="0.2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1"/>
      <c r="N780" s="451"/>
      <c r="O780" s="452"/>
      <c r="P780" s="452"/>
      <c r="Q780" s="452"/>
      <c r="R780" s="452"/>
      <c r="S780" s="452"/>
      <c r="T780" s="158"/>
    </row>
    <row r="781" spans="1:20" ht="12.75" customHeight="1" x14ac:dyDescent="0.2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1"/>
      <c r="N781" s="451"/>
      <c r="O781" s="452"/>
      <c r="P781" s="452"/>
      <c r="Q781" s="452"/>
      <c r="R781" s="452"/>
      <c r="S781" s="452"/>
      <c r="T781" s="158"/>
    </row>
    <row r="782" spans="1:20" ht="12.75" customHeight="1" x14ac:dyDescent="0.2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1"/>
      <c r="N782" s="451"/>
      <c r="O782" s="452"/>
      <c r="P782" s="452"/>
      <c r="Q782" s="452"/>
      <c r="R782" s="452"/>
      <c r="S782" s="452"/>
      <c r="T782" s="158"/>
    </row>
    <row r="783" spans="1:20" ht="12.7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339"/>
      <c r="N783" s="339"/>
      <c r="O783" s="282"/>
      <c r="P783" s="282"/>
      <c r="Q783" s="282"/>
      <c r="R783" s="282"/>
      <c r="S783" s="282"/>
      <c r="T783" s="158"/>
    </row>
    <row r="784" spans="1:20" ht="12.75" customHeight="1" x14ac:dyDescent="0.2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 t="s">
        <v>754</v>
      </c>
      <c r="M784" s="364" t="s">
        <v>754</v>
      </c>
      <c r="N784" s="364"/>
      <c r="O784" s="470"/>
      <c r="P784" s="470"/>
      <c r="Q784" s="470"/>
      <c r="R784" s="470"/>
      <c r="S784" s="470"/>
      <c r="T784" s="158"/>
    </row>
    <row r="785" spans="1:20" ht="12.75" customHeight="1" x14ac:dyDescent="0.2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339"/>
      <c r="N785" s="339"/>
      <c r="O785" s="282"/>
      <c r="P785" s="282"/>
      <c r="Q785" s="282"/>
      <c r="R785" s="282"/>
      <c r="S785" s="282"/>
      <c r="T785" s="158"/>
    </row>
    <row r="786" spans="1:20" ht="12.75" customHeight="1" x14ac:dyDescent="0.2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/>
      <c r="M786" s="451"/>
      <c r="N786" s="451">
        <f t="shared" ref="N786:R786" si="19">1-(0.0000258)/(IF(Tm&gt;298,EXP(-6.79*(1-Tm/298))*Pvap25*EXP((H0vap/8.314)*(1/298-1/TEMP.A)),Pvap25*EXP((H0vap/8.314)*(1/298-1/TEMP.A)))+(0.0000258))</f>
        <v>2.9151179054053289E-3</v>
      </c>
      <c r="O786" s="452">
        <f t="shared" si="19"/>
        <v>2.9151179054053289E-3</v>
      </c>
      <c r="P786" s="452">
        <f t="shared" si="19"/>
        <v>2.9151179054053289E-3</v>
      </c>
      <c r="Q786" s="452">
        <f t="shared" si="19"/>
        <v>2.9151179054053289E-3</v>
      </c>
      <c r="R786" s="452">
        <f t="shared" si="19"/>
        <v>2.9151179054053289E-3</v>
      </c>
      <c r="S786" s="452"/>
      <c r="T786" s="158"/>
    </row>
    <row r="787" spans="1:20" ht="12.75" customHeight="1" x14ac:dyDescent="0.2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1"/>
      <c r="N787" s="451"/>
      <c r="O787" s="452"/>
      <c r="P787" s="452"/>
      <c r="Q787" s="452"/>
      <c r="R787" s="452"/>
      <c r="S787" s="452"/>
      <c r="T787" s="158"/>
    </row>
    <row r="788" spans="1:20" ht="12.75" customHeight="1" x14ac:dyDescent="0.2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/>
      <c r="M788" s="451"/>
      <c r="N788" s="451">
        <f t="shared" ref="N788:R788" si="20">(0.0000258)/(IF(Tm&gt;298,EXP(-6.79*(1-Tm/298))*Pvap25*EXP((H0vap/8.314)*(1/298-1/TEMP.A)),Pvap25*EXP((H0vap/8.314)*(1/298-1/TEMP.A)))+(0.0000258))</f>
        <v>0.99708488209459467</v>
      </c>
      <c r="O788" s="452">
        <f t="shared" si="20"/>
        <v>0.99708488209459467</v>
      </c>
      <c r="P788" s="452">
        <f t="shared" si="20"/>
        <v>0.99708488209459467</v>
      </c>
      <c r="Q788" s="452">
        <f t="shared" si="20"/>
        <v>0.99708488209459467</v>
      </c>
      <c r="R788" s="452">
        <f t="shared" si="20"/>
        <v>0.99708488209459467</v>
      </c>
      <c r="S788" s="452"/>
      <c r="T788" s="158"/>
    </row>
    <row r="789" spans="1:20" ht="12.75" customHeight="1" x14ac:dyDescent="0.2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1"/>
      <c r="N789" s="451"/>
      <c r="O789" s="452"/>
      <c r="P789" s="452"/>
      <c r="Q789" s="452"/>
      <c r="R789" s="452"/>
      <c r="S789" s="452"/>
      <c r="T789" s="158"/>
    </row>
    <row r="790" spans="1:20" ht="12.75" customHeight="1" x14ac:dyDescent="0.2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1"/>
      <c r="N790" s="451"/>
      <c r="O790" s="452"/>
      <c r="P790" s="452"/>
      <c r="Q790" s="452"/>
      <c r="R790" s="452"/>
      <c r="S790" s="452"/>
      <c r="T790" s="158"/>
    </row>
    <row r="791" spans="1:20" ht="12.75" customHeight="1" x14ac:dyDescent="0.2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1"/>
      <c r="N791" s="451"/>
      <c r="O791" s="452"/>
      <c r="P791" s="452"/>
      <c r="Q791" s="452"/>
      <c r="R791" s="452"/>
      <c r="S791" s="452"/>
      <c r="T791" s="158"/>
    </row>
    <row r="792" spans="1:20" ht="12.75" customHeight="1" x14ac:dyDescent="0.2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1"/>
      <c r="N792" s="451"/>
      <c r="O792" s="452"/>
      <c r="P792" s="452"/>
      <c r="Q792" s="452"/>
      <c r="R792" s="452"/>
      <c r="S792" s="452"/>
      <c r="T792" s="158"/>
    </row>
    <row r="793" spans="1:20" ht="12.75" customHeight="1" x14ac:dyDescent="0.2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/>
      <c r="M793" s="451"/>
      <c r="N793" s="451">
        <f t="shared" ref="N793:R793" si="21">1/(1+Kp.susp2A*SUSP.w2A/1000+0.05*Kow*0.001/1000)</f>
        <v>0.99933769729472144</v>
      </c>
      <c r="O793" s="452">
        <f t="shared" si="21"/>
        <v>0.99933769729472144</v>
      </c>
      <c r="P793" s="452">
        <f t="shared" si="21"/>
        <v>0.99933769729472144</v>
      </c>
      <c r="Q793" s="452">
        <f t="shared" si="21"/>
        <v>0.99933769729472144</v>
      </c>
      <c r="R793" s="452">
        <f t="shared" si="21"/>
        <v>0.99933769729472144</v>
      </c>
      <c r="S793" s="452"/>
      <c r="T793" s="158"/>
    </row>
    <row r="794" spans="1:20" ht="12.75" customHeight="1" x14ac:dyDescent="0.2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/>
      <c r="M794" s="451"/>
      <c r="N794" s="451">
        <f t="shared" ref="N794:R794" si="22">1/(1+Kp.susp3A*SUSP.w3A/1000+0.05*Kow*0.001/1000)</f>
        <v>0.99933769729472144</v>
      </c>
      <c r="O794" s="452">
        <f t="shared" si="22"/>
        <v>0.99933769729472144</v>
      </c>
      <c r="P794" s="452">
        <f t="shared" si="22"/>
        <v>0.99933769729472144</v>
      </c>
      <c r="Q794" s="452">
        <f t="shared" si="22"/>
        <v>0.99933769729472144</v>
      </c>
      <c r="R794" s="452">
        <f t="shared" si="22"/>
        <v>0.99933769729472144</v>
      </c>
      <c r="S794" s="452"/>
      <c r="T794" s="158"/>
    </row>
    <row r="795" spans="1:20" ht="12.75" customHeight="1" x14ac:dyDescent="0.2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1"/>
      <c r="N795" s="451"/>
      <c r="O795" s="452"/>
      <c r="P795" s="452"/>
      <c r="Q795" s="452"/>
      <c r="R795" s="452"/>
      <c r="S795" s="452"/>
      <c r="T795" s="158"/>
    </row>
    <row r="796" spans="1:20" ht="12.75" customHeight="1" x14ac:dyDescent="0.2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1"/>
      <c r="N796" s="451"/>
      <c r="O796" s="452"/>
      <c r="P796" s="452"/>
      <c r="Q796" s="452"/>
      <c r="R796" s="452"/>
      <c r="S796" s="452"/>
      <c r="T796" s="158"/>
    </row>
    <row r="797" spans="1:20" ht="12.75" customHeight="1" x14ac:dyDescent="0.2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1"/>
      <c r="N797" s="451"/>
      <c r="O797" s="452"/>
      <c r="P797" s="452"/>
      <c r="Q797" s="452"/>
      <c r="R797" s="452"/>
      <c r="S797" s="452"/>
      <c r="T797" s="158"/>
    </row>
    <row r="798" spans="1:20" ht="12.75" customHeight="1" x14ac:dyDescent="0.2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1"/>
      <c r="N798" s="451"/>
      <c r="O798" s="452"/>
      <c r="P798" s="452"/>
      <c r="Q798" s="452"/>
      <c r="R798" s="452"/>
      <c r="S798" s="452"/>
      <c r="T798" s="158"/>
    </row>
    <row r="799" spans="1:20" ht="12.75" customHeight="1" x14ac:dyDescent="0.2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1"/>
      <c r="N799" s="451"/>
      <c r="O799" s="452"/>
      <c r="P799" s="452"/>
      <c r="Q799" s="452"/>
      <c r="R799" s="452"/>
      <c r="S799" s="452"/>
      <c r="T799" s="158"/>
    </row>
    <row r="800" spans="1:20" ht="12.75" customHeight="1" x14ac:dyDescent="0.2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1"/>
      <c r="N800" s="451"/>
      <c r="O800" s="452"/>
      <c r="P800" s="452"/>
      <c r="Q800" s="452"/>
      <c r="R800" s="452"/>
      <c r="S800" s="452"/>
      <c r="T800" s="158"/>
    </row>
    <row r="801" spans="1:20" ht="12.75" customHeight="1" x14ac:dyDescent="0.2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1"/>
      <c r="N801" s="451"/>
      <c r="O801" s="452"/>
      <c r="P801" s="452"/>
      <c r="Q801" s="452"/>
      <c r="R801" s="452"/>
      <c r="S801" s="452"/>
      <c r="T801" s="158"/>
    </row>
    <row r="802" spans="1:20" ht="12.75" customHeight="1" x14ac:dyDescent="0.2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1"/>
      <c r="N802" s="451"/>
      <c r="O802" s="452"/>
      <c r="P802" s="452"/>
      <c r="Q802" s="452"/>
      <c r="R802" s="452"/>
      <c r="S802" s="452"/>
      <c r="T802" s="158"/>
    </row>
    <row r="803" spans="1:20" ht="12.75" customHeight="1" x14ac:dyDescent="0.2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1"/>
      <c r="N803" s="451"/>
      <c r="O803" s="452"/>
      <c r="P803" s="452"/>
      <c r="Q803" s="452"/>
      <c r="R803" s="452"/>
      <c r="S803" s="452"/>
      <c r="T803" s="158"/>
    </row>
    <row r="804" spans="1:20" ht="12.75" customHeight="1" x14ac:dyDescent="0.2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1"/>
      <c r="N804" s="451"/>
      <c r="O804" s="452"/>
      <c r="P804" s="452"/>
      <c r="Q804" s="452"/>
      <c r="R804" s="452"/>
      <c r="S804" s="452"/>
      <c r="T804" s="158"/>
    </row>
    <row r="805" spans="1:20" ht="12.75" customHeight="1" x14ac:dyDescent="0.2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1"/>
      <c r="N805" s="451"/>
      <c r="O805" s="452"/>
      <c r="P805" s="452"/>
      <c r="Q805" s="452"/>
      <c r="R805" s="452"/>
      <c r="S805" s="452"/>
      <c r="T805" s="158"/>
    </row>
    <row r="806" spans="1:20" ht="12.75" customHeight="1" x14ac:dyDescent="0.2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1"/>
      <c r="N806" s="451"/>
      <c r="O806" s="452"/>
      <c r="P806" s="452"/>
      <c r="Q806" s="452"/>
      <c r="R806" s="452"/>
      <c r="S806" s="452"/>
      <c r="T806" s="158"/>
    </row>
    <row r="807" spans="1:20" ht="12.75" customHeight="1" x14ac:dyDescent="0.2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1"/>
      <c r="N807" s="451"/>
      <c r="O807" s="452"/>
      <c r="P807" s="452"/>
      <c r="Q807" s="452"/>
      <c r="R807" s="452"/>
      <c r="S807" s="452"/>
      <c r="T807" s="158"/>
    </row>
    <row r="808" spans="1:20" ht="12.75" customHeight="1" x14ac:dyDescent="0.2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1"/>
      <c r="N808" s="451"/>
      <c r="O808" s="452"/>
      <c r="P808" s="452"/>
      <c r="Q808" s="452"/>
      <c r="R808" s="452"/>
      <c r="S808" s="452"/>
      <c r="T808" s="158"/>
    </row>
    <row r="809" spans="1:20" ht="12.75" customHeight="1" x14ac:dyDescent="0.2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1"/>
      <c r="N809" s="451"/>
      <c r="O809" s="452"/>
      <c r="P809" s="452"/>
      <c r="Q809" s="452"/>
      <c r="R809" s="452"/>
      <c r="S809" s="452"/>
      <c r="T809" s="158"/>
    </row>
    <row r="810" spans="1:20" ht="12.75" customHeight="1" x14ac:dyDescent="0.2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1"/>
      <c r="N810" s="451"/>
      <c r="O810" s="452"/>
      <c r="P810" s="452"/>
      <c r="Q810" s="452"/>
      <c r="R810" s="452"/>
      <c r="S810" s="452"/>
      <c r="T810" s="158"/>
    </row>
    <row r="811" spans="1:20" ht="12.75" customHeight="1" x14ac:dyDescent="0.2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1"/>
      <c r="N811" s="451"/>
      <c r="O811" s="452"/>
      <c r="P811" s="452"/>
      <c r="Q811" s="452"/>
      <c r="R811" s="452"/>
      <c r="S811" s="452"/>
      <c r="T811" s="158"/>
    </row>
    <row r="812" spans="1:20" ht="12.75" customHeight="1" x14ac:dyDescent="0.2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1"/>
      <c r="N812" s="451"/>
      <c r="O812" s="452"/>
      <c r="P812" s="452"/>
      <c r="Q812" s="452"/>
      <c r="R812" s="452"/>
      <c r="S812" s="452"/>
      <c r="T812" s="158"/>
    </row>
    <row r="813" spans="1:20" ht="12.7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339"/>
      <c r="N813" s="339"/>
      <c r="O813" s="282"/>
      <c r="P813" s="282"/>
      <c r="Q813" s="282"/>
      <c r="R813" s="282"/>
      <c r="S813" s="282"/>
      <c r="T813" s="158"/>
    </row>
    <row r="814" spans="1:20" ht="12.75" customHeight="1" x14ac:dyDescent="0.2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 t="s">
        <v>754</v>
      </c>
      <c r="M814" s="364" t="s">
        <v>754</v>
      </c>
      <c r="N814" s="364"/>
      <c r="O814" s="470"/>
      <c r="P814" s="470"/>
      <c r="Q814" s="470"/>
      <c r="R814" s="470"/>
      <c r="S814" s="470"/>
      <c r="T814" s="158"/>
    </row>
    <row r="815" spans="1:20" ht="12.7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339"/>
      <c r="N815" s="339"/>
      <c r="O815" s="282"/>
      <c r="P815" s="282"/>
      <c r="Q815" s="282"/>
      <c r="R815" s="282"/>
      <c r="S815" s="282"/>
      <c r="T815" s="158"/>
    </row>
    <row r="816" spans="1:20" ht="12.75" customHeight="1" x14ac:dyDescent="0.2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/>
      <c r="M816" s="451"/>
      <c r="N816" s="451">
        <f>((DRYDEPaerosol.A+AerosolWashout.A+GasWashout.A+GASABS.aA.wA)/HEIGHT.aC)*AREAFRAC.wA</f>
        <v>4.9100836054391223E-2</v>
      </c>
      <c r="O816" s="451">
        <f>((DRYDEPaerosol.A+AerosolWashout.A+GasWashout.A+GASABS.aA.wA)/HEIGHT.aC)*AREAFRAC.wA</f>
        <v>4.9100836054391223E-2</v>
      </c>
      <c r="P816" s="451">
        <f>((DRYDEPaerosol.A+AerosolWashout.A+GasWashout.A+GASABS.aA.wA)/HEIGHT.aC)*AREAFRAC.wA</f>
        <v>4.9100836054391223E-2</v>
      </c>
      <c r="Q816" s="451">
        <f>((DRYDEPaerosol.A+AerosolWashout.A+GasWashout.A+GASABS.aA.wA)/HEIGHT.aC)*AREAFRAC.wA</f>
        <v>4.9100836054391223E-2</v>
      </c>
      <c r="R816" s="451">
        <f>((DRYDEPaerosol.A+AerosolWashout.A+GasWashout.A+GASABS.aA.wA)/HEIGHT.aC)*AREAFRAC.wA</f>
        <v>4.9100836054391223E-2</v>
      </c>
      <c r="S816" s="452"/>
      <c r="T816" s="158"/>
    </row>
    <row r="817" spans="1:20" ht="12.75" customHeight="1" x14ac:dyDescent="0.2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/>
      <c r="M817" s="451"/>
      <c r="N817" s="451">
        <f>((DRYDEPaerosol.A+AerosolWashout.A+GasWashout.A+GASABS.aA.sA)/HEIGHT.aC)*AREAFRAC.sA</f>
        <v>3.2732803484148164E-2</v>
      </c>
      <c r="O817" s="451">
        <f>((DRYDEPaerosol.A+AerosolWashout.A+GasWashout.A+GASABS.aA.sA)/HEIGHT.aC)*AREAFRAC.sA</f>
        <v>3.2732803484148164E-2</v>
      </c>
      <c r="P817" s="451">
        <f>((DRYDEPaerosol.A+AerosolWashout.A+GasWashout.A+GASABS.aA.sA)/HEIGHT.aC)*AREAFRAC.sA</f>
        <v>3.2732803484148164E-2</v>
      </c>
      <c r="Q817" s="451">
        <f>((DRYDEPaerosol.A+AerosolWashout.A+GasWashout.A+GASABS.aA.sA)/HEIGHT.aC)*AREAFRAC.sA</f>
        <v>3.2732803484148164E-2</v>
      </c>
      <c r="R817" s="451">
        <f>((DRYDEPaerosol.A+AerosolWashout.A+GasWashout.A+GASABS.aA.sA)/HEIGHT.aC)*AREAFRAC.sA</f>
        <v>3.2732803484148164E-2</v>
      </c>
      <c r="S817" s="452"/>
      <c r="T817" s="158"/>
    </row>
    <row r="818" spans="1:20" ht="12.75" customHeight="1" x14ac:dyDescent="0.2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1"/>
      <c r="N818" s="451"/>
      <c r="O818" s="452"/>
      <c r="P818" s="452"/>
      <c r="Q818" s="452"/>
      <c r="R818" s="452"/>
      <c r="S818" s="452"/>
      <c r="T818" s="158"/>
    </row>
    <row r="819" spans="1:20" ht="12.75" customHeight="1" x14ac:dyDescent="0.2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1"/>
      <c r="N819" s="451"/>
      <c r="O819" s="452"/>
      <c r="P819" s="452"/>
      <c r="Q819" s="452"/>
      <c r="R819" s="452"/>
      <c r="S819" s="452"/>
      <c r="T819" s="158"/>
    </row>
    <row r="820" spans="1:20" ht="12.75" customHeight="1" x14ac:dyDescent="0.2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1"/>
      <c r="N820" s="451"/>
      <c r="O820" s="452"/>
      <c r="P820" s="452"/>
      <c r="Q820" s="452"/>
      <c r="R820" s="452"/>
      <c r="S820" s="452"/>
      <c r="T820" s="158"/>
    </row>
    <row r="821" spans="1:20" ht="12.75" customHeight="1" x14ac:dyDescent="0.2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1"/>
      <c r="N821" s="451"/>
      <c r="O821" s="452"/>
      <c r="P821" s="452"/>
      <c r="Q821" s="452"/>
      <c r="R821" s="452"/>
      <c r="S821" s="452"/>
      <c r="T821" s="158"/>
    </row>
    <row r="822" spans="1:20" ht="12.75" customHeight="1" x14ac:dyDescent="0.2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1"/>
      <c r="N822" s="451"/>
      <c r="O822" s="452"/>
      <c r="P822" s="452"/>
      <c r="Q822" s="452"/>
      <c r="R822" s="452"/>
      <c r="S822" s="452"/>
      <c r="T822" s="158"/>
    </row>
    <row r="823" spans="1:20" ht="12.75" customHeight="1" x14ac:dyDescent="0.2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1"/>
      <c r="N823" s="451"/>
      <c r="O823" s="452"/>
      <c r="P823" s="452"/>
      <c r="Q823" s="452"/>
      <c r="R823" s="452"/>
      <c r="S823" s="452"/>
      <c r="T823" s="158"/>
    </row>
    <row r="824" spans="1:20" ht="12.75" customHeight="1" x14ac:dyDescent="0.2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1"/>
      <c r="N824" s="451"/>
      <c r="O824" s="452"/>
      <c r="P824" s="452"/>
      <c r="Q824" s="452"/>
      <c r="R824" s="452"/>
      <c r="S824" s="452"/>
      <c r="T824" s="158"/>
    </row>
    <row r="825" spans="1:20" ht="12.75" customHeight="1" x14ac:dyDescent="0.2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1"/>
      <c r="N825" s="451"/>
      <c r="O825" s="452"/>
      <c r="P825" s="452"/>
      <c r="Q825" s="452"/>
      <c r="R825" s="452"/>
      <c r="S825" s="452"/>
      <c r="T825" s="158"/>
    </row>
    <row r="826" spans="1:20" ht="12.75" customHeight="1" x14ac:dyDescent="0.2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/>
      <c r="M826" s="451"/>
      <c r="N826" s="451">
        <f>AEROSOLdeprate.A*FRaers.aA</f>
        <v>2.3247763912725882E-5</v>
      </c>
      <c r="O826" s="451">
        <f>AEROSOLdeprate.A*FRaers.aA</f>
        <v>2.3247763912725882E-5</v>
      </c>
      <c r="P826" s="451">
        <f>AEROSOLdeprate.A*FRaers.aA</f>
        <v>2.3247763912725882E-5</v>
      </c>
      <c r="Q826" s="451">
        <f>AEROSOLdeprate.A*FRaers.aA</f>
        <v>2.3247763912725882E-5</v>
      </c>
      <c r="R826" s="451">
        <f>AEROSOLdeprate.A*FRaers.aA</f>
        <v>2.3247763912725882E-5</v>
      </c>
      <c r="S826" s="452"/>
      <c r="T826" s="158"/>
    </row>
    <row r="827" spans="1:20" ht="12.75" customHeight="1" x14ac:dyDescent="0.2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/>
      <c r="M827" s="451"/>
      <c r="N827" s="451">
        <f t="shared" ref="N827:R827" si="23">(1-FRgas.aA)*COLLECTeff.A*RAINrate.A</f>
        <v>5.6498371502115854E-5</v>
      </c>
      <c r="O827" s="452">
        <f t="shared" si="23"/>
        <v>5.6498371502115854E-5</v>
      </c>
      <c r="P827" s="452">
        <f t="shared" si="23"/>
        <v>5.6498371502115854E-5</v>
      </c>
      <c r="Q827" s="452">
        <f t="shared" si="23"/>
        <v>5.6498371502115854E-5</v>
      </c>
      <c r="R827" s="452">
        <f t="shared" si="23"/>
        <v>5.6498371502115854E-5</v>
      </c>
      <c r="S827" s="452"/>
      <c r="T827" s="158"/>
    </row>
    <row r="828" spans="1:20" ht="12.75" customHeight="1" x14ac:dyDescent="0.2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/>
      <c r="M828" s="451"/>
      <c r="N828" s="451">
        <f t="shared" ref="N828:R828" si="24">FRgas.aA*RAINrate.A/Kaw.A</f>
        <v>4.9098192398628093</v>
      </c>
      <c r="O828" s="452">
        <f t="shared" si="24"/>
        <v>4.9098192398628093</v>
      </c>
      <c r="P828" s="452">
        <f t="shared" si="24"/>
        <v>4.9098192398628093</v>
      </c>
      <c r="Q828" s="452">
        <f t="shared" si="24"/>
        <v>4.9098192398628093</v>
      </c>
      <c r="R828" s="452">
        <f t="shared" si="24"/>
        <v>4.9098192398628093</v>
      </c>
      <c r="S828" s="452"/>
      <c r="T828" s="158"/>
    </row>
    <row r="829" spans="1:20" ht="12.75" customHeight="1" x14ac:dyDescent="0.2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1"/>
      <c r="N829" s="451"/>
      <c r="O829" s="452"/>
      <c r="P829" s="452"/>
      <c r="Q829" s="452"/>
      <c r="R829" s="452"/>
      <c r="S829" s="452"/>
      <c r="T829" s="158"/>
    </row>
    <row r="830" spans="1:20" ht="12.75" customHeight="1" x14ac:dyDescent="0.2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1"/>
      <c r="N830" s="451"/>
      <c r="O830" s="452"/>
      <c r="P830" s="452"/>
      <c r="Q830" s="452"/>
      <c r="R830" s="452"/>
      <c r="S830" s="452"/>
      <c r="T830" s="158"/>
    </row>
    <row r="831" spans="1:20" ht="12.75" customHeight="1" x14ac:dyDescent="0.2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1"/>
      <c r="N831" s="451"/>
      <c r="O831" s="452"/>
      <c r="P831" s="452"/>
      <c r="Q831" s="452"/>
      <c r="R831" s="452"/>
      <c r="S831" s="452"/>
      <c r="T831" s="158"/>
    </row>
    <row r="832" spans="1:20" ht="12.75" customHeight="1" x14ac:dyDescent="0.2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1"/>
      <c r="N832" s="451"/>
      <c r="O832" s="452"/>
      <c r="P832" s="452"/>
      <c r="Q832" s="452"/>
      <c r="R832" s="452"/>
      <c r="S832" s="452"/>
      <c r="T832" s="158"/>
    </row>
    <row r="833" spans="1:20" ht="12.75" customHeight="1" x14ac:dyDescent="0.2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1"/>
      <c r="N833" s="451"/>
      <c r="O833" s="452"/>
      <c r="P833" s="452"/>
      <c r="Q833" s="452"/>
      <c r="R833" s="452"/>
      <c r="S833" s="452"/>
      <c r="T833" s="158"/>
    </row>
    <row r="834" spans="1:20" ht="12.75" customHeight="1" x14ac:dyDescent="0.2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1"/>
      <c r="N834" s="451"/>
      <c r="O834" s="452"/>
      <c r="P834" s="452"/>
      <c r="Q834" s="452"/>
      <c r="R834" s="452"/>
      <c r="S834" s="452"/>
      <c r="T834" s="158"/>
    </row>
    <row r="835" spans="1:20" ht="12.75" customHeight="1" x14ac:dyDescent="0.2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1"/>
      <c r="N835" s="451"/>
      <c r="O835" s="452"/>
      <c r="P835" s="452"/>
      <c r="Q835" s="452"/>
      <c r="R835" s="452"/>
      <c r="S835" s="452"/>
      <c r="T835" s="158"/>
    </row>
    <row r="836" spans="1:20" ht="12.75" customHeight="1" x14ac:dyDescent="0.2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1"/>
      <c r="N836" s="451"/>
      <c r="O836" s="452"/>
      <c r="P836" s="452"/>
      <c r="Q836" s="452"/>
      <c r="R836" s="452"/>
      <c r="S836" s="452"/>
      <c r="T836" s="158"/>
    </row>
    <row r="837" spans="1:20" ht="12.75" customHeight="1" x14ac:dyDescent="0.2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1"/>
      <c r="N837" s="451"/>
      <c r="O837" s="452"/>
      <c r="P837" s="452"/>
      <c r="Q837" s="452"/>
      <c r="R837" s="452"/>
      <c r="S837" s="452"/>
      <c r="T837" s="158"/>
    </row>
    <row r="838" spans="1:20" ht="12.75" customHeight="1" x14ac:dyDescent="0.2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1"/>
      <c r="N838" s="451"/>
      <c r="O838" s="452"/>
      <c r="P838" s="452"/>
      <c r="Q838" s="452"/>
      <c r="R838" s="452"/>
      <c r="S838" s="452"/>
      <c r="T838" s="158"/>
    </row>
    <row r="839" spans="1:20" ht="12.75" customHeight="1" x14ac:dyDescent="0.2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1"/>
      <c r="N839" s="451"/>
      <c r="O839" s="452"/>
      <c r="P839" s="452"/>
      <c r="Q839" s="452"/>
      <c r="R839" s="452"/>
      <c r="S839" s="452"/>
      <c r="T839" s="158"/>
    </row>
    <row r="840" spans="1:20" ht="12.75" customHeight="1" x14ac:dyDescent="0.2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/>
      <c r="M840" s="451"/>
      <c r="N840" s="451">
        <v>2.799723603513301E-9</v>
      </c>
      <c r="O840" s="452">
        <v>2.799723603513301E-9</v>
      </c>
      <c r="P840" s="452">
        <v>2.799723603513301E-9</v>
      </c>
      <c r="Q840" s="452">
        <v>2.799723603513301E-9</v>
      </c>
      <c r="R840" s="452"/>
      <c r="S840" s="452">
        <v>2.799723603513301E-9</v>
      </c>
      <c r="T840" s="158"/>
    </row>
    <row r="841" spans="1:20" ht="12.75" customHeight="1" x14ac:dyDescent="0.2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/>
      <c r="M841" s="451"/>
      <c r="N841" s="451">
        <v>1</v>
      </c>
      <c r="O841" s="452">
        <v>1</v>
      </c>
      <c r="P841" s="452">
        <v>1</v>
      </c>
      <c r="Q841" s="452">
        <v>1</v>
      </c>
      <c r="R841" s="452"/>
      <c r="S841" s="452">
        <v>1</v>
      </c>
      <c r="T841" s="158"/>
    </row>
    <row r="842" spans="1:20" ht="12.7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59"/>
      <c r="N842" s="459"/>
      <c r="O842" s="460"/>
      <c r="P842" s="460"/>
      <c r="Q842" s="460"/>
      <c r="R842" s="460"/>
      <c r="S842" s="460"/>
      <c r="T842" s="158"/>
    </row>
    <row r="843" spans="1:20" ht="12.75" customHeight="1" x14ac:dyDescent="0.2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1"/>
      <c r="N843" s="451"/>
      <c r="O843" s="452"/>
      <c r="P843" s="452"/>
      <c r="Q843" s="452"/>
      <c r="R843" s="452"/>
      <c r="S843" s="452"/>
      <c r="T843" s="158"/>
    </row>
    <row r="844" spans="1:20" ht="12.75" customHeight="1" x14ac:dyDescent="0.2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1"/>
      <c r="N844" s="451"/>
      <c r="O844" s="452"/>
      <c r="P844" s="452"/>
      <c r="Q844" s="452"/>
      <c r="R844" s="452"/>
      <c r="S844" s="452"/>
      <c r="T844" s="158"/>
    </row>
    <row r="845" spans="1:20" ht="12.75" customHeight="1" x14ac:dyDescent="0.2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1"/>
      <c r="N845" s="451"/>
      <c r="O845" s="452"/>
      <c r="P845" s="452"/>
      <c r="Q845" s="452"/>
      <c r="R845" s="452"/>
      <c r="S845" s="452"/>
      <c r="T845" s="158"/>
    </row>
    <row r="846" spans="1:20" ht="12.75" customHeight="1" x14ac:dyDescent="0.2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1"/>
      <c r="N846" s="451"/>
      <c r="O846" s="452"/>
      <c r="P846" s="452"/>
      <c r="Q846" s="452"/>
      <c r="R846" s="452"/>
      <c r="S846" s="452"/>
      <c r="T846" s="158"/>
    </row>
    <row r="847" spans="1:20" ht="12.75" customHeight="1" x14ac:dyDescent="0.2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1"/>
      <c r="N847" s="451"/>
      <c r="O847" s="452"/>
      <c r="P847" s="452"/>
      <c r="Q847" s="452"/>
      <c r="R847" s="452"/>
      <c r="S847" s="452"/>
      <c r="T847" s="158"/>
    </row>
    <row r="848" spans="1:20" ht="12.75" customHeight="1" x14ac:dyDescent="0.2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1"/>
      <c r="N848" s="451"/>
      <c r="O848" s="452"/>
      <c r="P848" s="452"/>
      <c r="Q848" s="452"/>
      <c r="R848" s="452"/>
      <c r="S848" s="452"/>
      <c r="T848" s="158"/>
    </row>
    <row r="849" spans="1:20" ht="12.75" customHeight="1" x14ac:dyDescent="0.2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1"/>
      <c r="N849" s="451"/>
      <c r="O849" s="452"/>
      <c r="P849" s="452"/>
      <c r="Q849" s="452"/>
      <c r="R849" s="452"/>
      <c r="S849" s="452"/>
      <c r="T849" s="158"/>
    </row>
    <row r="850" spans="1:20" ht="12.75" customHeight="1" x14ac:dyDescent="0.2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1"/>
      <c r="N850" s="451"/>
      <c r="O850" s="452"/>
      <c r="P850" s="452"/>
      <c r="Q850" s="452"/>
      <c r="R850" s="452"/>
      <c r="S850" s="452"/>
      <c r="T850" s="158"/>
    </row>
    <row r="851" spans="1:20" ht="12.75" customHeight="1" x14ac:dyDescent="0.2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1"/>
      <c r="N851" s="451"/>
      <c r="O851" s="452"/>
      <c r="P851" s="452"/>
      <c r="Q851" s="452"/>
      <c r="R851" s="452"/>
      <c r="S851" s="452"/>
      <c r="T851" s="158"/>
    </row>
    <row r="852" spans="1:20" ht="12.75" customHeight="1" x14ac:dyDescent="0.2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1"/>
      <c r="N852" s="451"/>
      <c r="O852" s="452"/>
      <c r="P852" s="452"/>
      <c r="Q852" s="452"/>
      <c r="R852" s="452"/>
      <c r="S852" s="452"/>
      <c r="T852" s="158"/>
    </row>
    <row r="853" spans="1:20" ht="12.75" customHeight="1" x14ac:dyDescent="0.2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1"/>
      <c r="N853" s="451"/>
      <c r="O853" s="452"/>
      <c r="P853" s="452"/>
      <c r="Q853" s="452"/>
      <c r="R853" s="452"/>
      <c r="S853" s="452"/>
      <c r="T853" s="158"/>
    </row>
    <row r="854" spans="1:20" ht="12.75" customHeight="1" x14ac:dyDescent="0.2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1"/>
      <c r="N854" s="451"/>
      <c r="O854" s="452"/>
      <c r="P854" s="452"/>
      <c r="Q854" s="452"/>
      <c r="R854" s="452"/>
      <c r="S854" s="452"/>
      <c r="T854" s="158"/>
    </row>
    <row r="855" spans="1:20" ht="12.7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59"/>
      <c r="N855" s="459"/>
      <c r="O855" s="460"/>
      <c r="P855" s="460"/>
      <c r="Q855" s="460"/>
      <c r="R855" s="460"/>
      <c r="S855" s="460"/>
      <c r="T855" s="158"/>
    </row>
    <row r="856" spans="1:20" ht="12.75" customHeight="1" x14ac:dyDescent="0.2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1"/>
      <c r="N856" s="451"/>
      <c r="O856" s="452"/>
      <c r="P856" s="452"/>
      <c r="Q856" s="452"/>
      <c r="R856" s="452"/>
      <c r="S856" s="452"/>
      <c r="T856" s="158"/>
    </row>
    <row r="857" spans="1:20" ht="12.75" customHeight="1" x14ac:dyDescent="0.2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1"/>
      <c r="N857" s="451"/>
      <c r="O857" s="452"/>
      <c r="P857" s="452"/>
      <c r="Q857" s="452"/>
      <c r="R857" s="452"/>
      <c r="S857" s="452"/>
      <c r="T857" s="158"/>
    </row>
    <row r="858" spans="1:20" ht="12.75" customHeight="1" x14ac:dyDescent="0.2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1"/>
      <c r="N858" s="451"/>
      <c r="O858" s="452"/>
      <c r="P858" s="452"/>
      <c r="Q858" s="452"/>
      <c r="R858" s="452"/>
      <c r="S858" s="452"/>
      <c r="T858" s="158"/>
    </row>
    <row r="859" spans="1:20" ht="12.75" customHeight="1" x14ac:dyDescent="0.2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/>
      <c r="M859" s="451"/>
      <c r="N859" s="451">
        <v>1</v>
      </c>
      <c r="O859" s="452">
        <v>1</v>
      </c>
      <c r="P859" s="452">
        <v>1</v>
      </c>
      <c r="Q859" s="452">
        <v>1</v>
      </c>
      <c r="R859" s="452"/>
      <c r="S859" s="452">
        <v>1</v>
      </c>
      <c r="T859" s="158"/>
    </row>
    <row r="860" spans="1:20" ht="12.75" customHeight="1" x14ac:dyDescent="0.2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339"/>
      <c r="N860" s="339"/>
      <c r="O860" s="282"/>
      <c r="P860" s="282"/>
      <c r="Q860" s="282"/>
      <c r="R860" s="282"/>
      <c r="S860" s="282"/>
      <c r="T860" s="158"/>
    </row>
    <row r="861" spans="1:20" ht="12.75" customHeight="1" x14ac:dyDescent="0.2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 t="s">
        <v>754</v>
      </c>
      <c r="M861" s="364" t="s">
        <v>754</v>
      </c>
      <c r="N861" s="364"/>
      <c r="O861" s="470"/>
      <c r="P861" s="470"/>
      <c r="Q861" s="470"/>
      <c r="R861" s="470"/>
      <c r="S861" s="470"/>
      <c r="T861" s="158"/>
    </row>
    <row r="862" spans="1:20" ht="12.75" customHeight="1" x14ac:dyDescent="0.2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339"/>
      <c r="N862" s="339"/>
      <c r="O862" s="282"/>
      <c r="P862" s="282"/>
      <c r="Q862" s="282"/>
      <c r="R862" s="282"/>
      <c r="S862" s="282"/>
      <c r="T862" s="158"/>
    </row>
    <row r="863" spans="1:20" ht="12.75" customHeight="1" x14ac:dyDescent="0.2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1"/>
      <c r="N863" s="451"/>
      <c r="O863" s="452"/>
      <c r="P863" s="452"/>
      <c r="Q863" s="452"/>
      <c r="R863" s="452"/>
      <c r="S863" s="452"/>
      <c r="T863" s="158"/>
    </row>
    <row r="864" spans="1:20" ht="12.75" customHeight="1" x14ac:dyDescent="0.2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1"/>
      <c r="N864" s="451"/>
      <c r="O864" s="452"/>
      <c r="P864" s="452"/>
      <c r="Q864" s="452"/>
      <c r="R864" s="452"/>
      <c r="S864" s="452"/>
      <c r="T864" s="158"/>
    </row>
    <row r="865" spans="1:20" ht="12.75" customHeight="1" x14ac:dyDescent="0.2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1"/>
      <c r="N865" s="451"/>
      <c r="O865" s="452"/>
      <c r="P865" s="452"/>
      <c r="Q865" s="452"/>
      <c r="R865" s="452"/>
      <c r="S865" s="452"/>
      <c r="T865" s="158"/>
    </row>
    <row r="866" spans="1:20" ht="12.75" customHeight="1" x14ac:dyDescent="0.2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1"/>
      <c r="N866" s="451"/>
      <c r="O866" s="452"/>
      <c r="P866" s="452"/>
      <c r="Q866" s="452"/>
      <c r="R866" s="452"/>
      <c r="S866" s="452"/>
      <c r="T866" s="158"/>
    </row>
    <row r="867" spans="1:20" ht="12.75" customHeight="1" x14ac:dyDescent="0.2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1"/>
      <c r="N867" s="451"/>
      <c r="O867" s="452"/>
      <c r="P867" s="452"/>
      <c r="Q867" s="452"/>
      <c r="R867" s="452"/>
      <c r="S867" s="452"/>
      <c r="T867" s="158"/>
    </row>
    <row r="868" spans="1:20" ht="12.75" customHeight="1" x14ac:dyDescent="0.2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1"/>
      <c r="N868" s="451"/>
      <c r="O868" s="452"/>
      <c r="P868" s="452"/>
      <c r="Q868" s="452"/>
      <c r="R868" s="452"/>
      <c r="S868" s="452"/>
      <c r="T868" s="158"/>
    </row>
    <row r="869" spans="1:20" ht="12.75" customHeight="1" x14ac:dyDescent="0.2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1"/>
      <c r="N869" s="451"/>
      <c r="O869" s="452"/>
      <c r="P869" s="452"/>
      <c r="Q869" s="452"/>
      <c r="R869" s="452"/>
      <c r="S869" s="452"/>
      <c r="T869" s="158"/>
    </row>
    <row r="870" spans="1:20" ht="12.75" customHeight="1" x14ac:dyDescent="0.2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1"/>
      <c r="N870" s="451"/>
      <c r="O870" s="452"/>
      <c r="P870" s="452"/>
      <c r="Q870" s="452"/>
      <c r="R870" s="452"/>
      <c r="S870" s="452"/>
      <c r="T870" s="158"/>
    </row>
    <row r="871" spans="1:20" ht="12.75" customHeight="1" x14ac:dyDescent="0.2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1"/>
      <c r="N871" s="451"/>
      <c r="O871" s="452"/>
      <c r="P871" s="452"/>
      <c r="Q871" s="452"/>
      <c r="R871" s="452"/>
      <c r="S871" s="452"/>
      <c r="T871" s="158"/>
    </row>
    <row r="872" spans="1:20" ht="12.75" customHeight="1" x14ac:dyDescent="0.2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1"/>
      <c r="N872" s="451"/>
      <c r="O872" s="452"/>
      <c r="P872" s="452"/>
      <c r="Q872" s="452"/>
      <c r="R872" s="452"/>
      <c r="S872" s="452"/>
      <c r="T872" s="158"/>
    </row>
    <row r="873" spans="1:20" ht="12.75" customHeight="1" x14ac:dyDescent="0.2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1"/>
      <c r="N873" s="451"/>
      <c r="O873" s="452"/>
      <c r="P873" s="452"/>
      <c r="Q873" s="452"/>
      <c r="R873" s="452"/>
      <c r="S873" s="452"/>
      <c r="T873" s="158"/>
    </row>
    <row r="874" spans="1:20" ht="12.75" customHeight="1" x14ac:dyDescent="0.2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1"/>
      <c r="N874" s="451"/>
      <c r="O874" s="452"/>
      <c r="P874" s="452"/>
      <c r="Q874" s="452"/>
      <c r="R874" s="452"/>
      <c r="S874" s="452"/>
      <c r="T874" s="158"/>
    </row>
    <row r="875" spans="1:20" ht="12.75" customHeight="1" x14ac:dyDescent="0.2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1"/>
      <c r="N875" s="451"/>
      <c r="O875" s="452"/>
      <c r="P875" s="452"/>
      <c r="Q875" s="452"/>
      <c r="R875" s="452"/>
      <c r="S875" s="452"/>
      <c r="T875" s="158"/>
    </row>
    <row r="876" spans="1:20" ht="12.75" customHeight="1" x14ac:dyDescent="0.2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1"/>
      <c r="N876" s="451"/>
      <c r="O876" s="452"/>
      <c r="P876" s="452"/>
      <c r="Q876" s="452"/>
      <c r="R876" s="452"/>
      <c r="S876" s="452"/>
      <c r="T876" s="158"/>
    </row>
    <row r="877" spans="1:20" ht="12.75" customHeight="1" x14ac:dyDescent="0.2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1"/>
      <c r="N877" s="451"/>
      <c r="O877" s="452"/>
      <c r="P877" s="452"/>
      <c r="Q877" s="452"/>
      <c r="R877" s="452"/>
      <c r="S877" s="452"/>
      <c r="T877" s="158"/>
    </row>
    <row r="878" spans="1:20" ht="12.75" customHeight="1" x14ac:dyDescent="0.2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1"/>
      <c r="N878" s="451"/>
      <c r="O878" s="452"/>
      <c r="P878" s="452"/>
      <c r="Q878" s="452"/>
      <c r="R878" s="452"/>
      <c r="S878" s="452"/>
      <c r="T878" s="158"/>
    </row>
    <row r="879" spans="1:20" ht="12.75" customHeight="1" x14ac:dyDescent="0.2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1"/>
      <c r="N879" s="451"/>
      <c r="O879" s="452"/>
      <c r="P879" s="452"/>
      <c r="Q879" s="452"/>
      <c r="R879" s="452"/>
      <c r="S879" s="452"/>
      <c r="T879" s="158"/>
    </row>
    <row r="880" spans="1:20" ht="12.75" customHeight="1" x14ac:dyDescent="0.2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/>
      <c r="M880" s="451"/>
      <c r="N880" s="451">
        <v>1</v>
      </c>
      <c r="O880" s="452">
        <v>1</v>
      </c>
      <c r="P880" s="452">
        <v>1</v>
      </c>
      <c r="Q880" s="452">
        <v>1</v>
      </c>
      <c r="R880" s="452"/>
      <c r="S880" s="452">
        <v>1</v>
      </c>
      <c r="T880" s="158"/>
    </row>
    <row r="881" spans="1:20" ht="12.75" customHeight="1" x14ac:dyDescent="0.2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356"/>
      <c r="N881" s="356"/>
      <c r="O881" s="471"/>
      <c r="P881" s="471"/>
      <c r="Q881" s="471"/>
      <c r="R881" s="471"/>
      <c r="S881" s="471"/>
      <c r="T881" s="158"/>
    </row>
    <row r="882" spans="1:20" ht="12.75" customHeight="1" x14ac:dyDescent="0.2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339"/>
      <c r="N882" s="339"/>
      <c r="O882" s="282"/>
      <c r="P882" s="282"/>
      <c r="Q882" s="282"/>
      <c r="R882" s="282"/>
      <c r="S882" s="282"/>
      <c r="T882" s="158"/>
    </row>
    <row r="883" spans="1:20" ht="12.75" customHeight="1" x14ac:dyDescent="0.2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339"/>
      <c r="N883" s="339"/>
      <c r="O883" s="282"/>
      <c r="P883" s="282"/>
      <c r="Q883" s="282"/>
      <c r="R883" s="282"/>
      <c r="S883" s="282"/>
      <c r="T883" s="158"/>
    </row>
    <row r="884" spans="1:20" ht="12.75" customHeight="1" x14ac:dyDescent="0.2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339"/>
      <c r="N884" s="339"/>
      <c r="O884" s="282"/>
      <c r="P884" s="282"/>
      <c r="Q884" s="282"/>
      <c r="R884" s="282"/>
      <c r="S884" s="282"/>
      <c r="T884" s="158"/>
    </row>
    <row r="885" spans="1:20" ht="12.7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339"/>
      <c r="N885" s="339"/>
      <c r="O885" s="282"/>
      <c r="P885" s="282"/>
      <c r="Q885" s="282"/>
      <c r="R885" s="282"/>
      <c r="S885" s="282"/>
      <c r="T885" s="158"/>
    </row>
    <row r="886" spans="1:20" ht="12.75" customHeight="1" x14ac:dyDescent="0.2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 t="s">
        <v>754</v>
      </c>
      <c r="M886" s="364" t="s">
        <v>754</v>
      </c>
      <c r="N886" s="364"/>
      <c r="O886" s="470"/>
      <c r="P886" s="470"/>
      <c r="Q886" s="470"/>
      <c r="R886" s="470"/>
      <c r="S886" s="470"/>
      <c r="T886" s="158"/>
    </row>
    <row r="887" spans="1:20" ht="12.7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339"/>
      <c r="N887" s="339"/>
      <c r="O887" s="282"/>
      <c r="P887" s="282"/>
      <c r="Q887" s="282"/>
      <c r="R887" s="282"/>
      <c r="S887" s="282"/>
      <c r="T887" s="158"/>
    </row>
    <row r="888" spans="1:20" ht="12.75" customHeight="1" x14ac:dyDescent="0.2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1"/>
      <c r="N888" s="451"/>
      <c r="O888" s="452"/>
      <c r="P888" s="452"/>
      <c r="Q888" s="452"/>
      <c r="R888" s="452"/>
      <c r="S888" s="452"/>
      <c r="T888" s="158"/>
    </row>
    <row r="889" spans="1:20" ht="12.75" customHeight="1" x14ac:dyDescent="0.2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1"/>
      <c r="N889" s="451"/>
      <c r="O889" s="452"/>
      <c r="P889" s="452"/>
      <c r="Q889" s="452"/>
      <c r="R889" s="452"/>
      <c r="S889" s="452"/>
      <c r="T889" s="158"/>
    </row>
    <row r="890" spans="1:20" ht="12.75" customHeight="1" x14ac:dyDescent="0.2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1"/>
      <c r="N890" s="451"/>
      <c r="O890" s="452"/>
      <c r="P890" s="452"/>
      <c r="Q890" s="452"/>
      <c r="R890" s="452"/>
      <c r="S890" s="452"/>
      <c r="T890" s="158"/>
    </row>
    <row r="891" spans="1:20" ht="12.75" customHeight="1" x14ac:dyDescent="0.2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1"/>
      <c r="N891" s="451"/>
      <c r="O891" s="452"/>
      <c r="P891" s="452"/>
      <c r="Q891" s="452"/>
      <c r="R891" s="452"/>
      <c r="S891" s="452"/>
      <c r="T891" s="158"/>
    </row>
    <row r="892" spans="1:20" ht="12.75" customHeight="1" x14ac:dyDescent="0.2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1"/>
      <c r="N892" s="451"/>
      <c r="O892" s="452"/>
      <c r="P892" s="452"/>
      <c r="Q892" s="452"/>
      <c r="R892" s="452"/>
      <c r="S892" s="452"/>
      <c r="T892" s="158"/>
    </row>
    <row r="893" spans="1:20" ht="12.75" customHeight="1" x14ac:dyDescent="0.2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1"/>
      <c r="N893" s="451"/>
      <c r="O893" s="452"/>
      <c r="P893" s="452"/>
      <c r="Q893" s="452"/>
      <c r="R893" s="452"/>
      <c r="S893" s="452"/>
      <c r="T893" s="158"/>
    </row>
    <row r="894" spans="1:20" ht="12.75" customHeight="1" x14ac:dyDescent="0.2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1"/>
      <c r="N894" s="451"/>
      <c r="O894" s="452"/>
      <c r="P894" s="452"/>
      <c r="Q894" s="452"/>
      <c r="R894" s="452"/>
      <c r="S894" s="452"/>
      <c r="T894" s="158"/>
    </row>
    <row r="895" spans="1:20" ht="12.75" customHeight="1" x14ac:dyDescent="0.2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1"/>
      <c r="N895" s="451"/>
      <c r="O895" s="452"/>
      <c r="P895" s="452"/>
      <c r="Q895" s="452"/>
      <c r="R895" s="452"/>
      <c r="S895" s="452"/>
      <c r="T895" s="158"/>
    </row>
    <row r="896" spans="1:20" ht="12.75" customHeight="1" x14ac:dyDescent="0.2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1"/>
      <c r="N896" s="451"/>
      <c r="O896" s="452"/>
      <c r="P896" s="452"/>
      <c r="Q896" s="452"/>
      <c r="R896" s="452"/>
      <c r="S896" s="452"/>
      <c r="T896" s="158"/>
    </row>
    <row r="897" spans="1:20" ht="12.75" customHeight="1" x14ac:dyDescent="0.2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/>
      <c r="M897" s="451"/>
      <c r="N897" s="451">
        <v>990</v>
      </c>
      <c r="O897" s="452">
        <v>990</v>
      </c>
      <c r="P897" s="452"/>
      <c r="Q897" s="452">
        <v>990</v>
      </c>
      <c r="R897" s="452">
        <v>990</v>
      </c>
      <c r="S897" s="452">
        <v>990</v>
      </c>
      <c r="T897" s="158"/>
    </row>
    <row r="898" spans="1:20" ht="12.75" customHeight="1" x14ac:dyDescent="0.2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/>
      <c r="M898" s="451"/>
      <c r="N898" s="451">
        <v>10</v>
      </c>
      <c r="O898" s="452">
        <v>10</v>
      </c>
      <c r="P898" s="452"/>
      <c r="Q898" s="452">
        <v>10</v>
      </c>
      <c r="R898" s="452">
        <v>10</v>
      </c>
      <c r="S898" s="452">
        <v>10</v>
      </c>
      <c r="T898" s="158"/>
    </row>
    <row r="899" spans="1:20" ht="12.75" customHeight="1" x14ac:dyDescent="0.2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1"/>
      <c r="N899" s="451"/>
      <c r="O899" s="452"/>
      <c r="P899" s="452"/>
      <c r="Q899" s="452"/>
      <c r="R899" s="452"/>
      <c r="S899" s="452"/>
      <c r="T899" s="158"/>
    </row>
    <row r="900" spans="1:20" ht="12.75" customHeight="1" x14ac:dyDescent="0.2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1"/>
      <c r="N900" s="451"/>
      <c r="O900" s="452"/>
      <c r="P900" s="452"/>
      <c r="Q900" s="452"/>
      <c r="R900" s="452"/>
      <c r="S900" s="452"/>
      <c r="T900" s="158"/>
    </row>
    <row r="901" spans="1:20" ht="12.75" customHeight="1" x14ac:dyDescent="0.2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/>
      <c r="M901" s="451"/>
      <c r="N901" s="451">
        <v>4.9999999999999995E-11</v>
      </c>
      <c r="O901" s="452">
        <v>4.9999999999999995E-11</v>
      </c>
      <c r="P901" s="452">
        <v>4.9999999999999995E-11</v>
      </c>
      <c r="Q901" s="452">
        <v>4.9999999999999995E-11</v>
      </c>
      <c r="R901" s="452">
        <v>4.9999999999999995E-11</v>
      </c>
      <c r="S901" s="452"/>
      <c r="T901" s="158"/>
    </row>
    <row r="902" spans="1:20" ht="12.75" customHeight="1" x14ac:dyDescent="0.2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/>
      <c r="M902" s="451"/>
      <c r="N902" s="451">
        <v>9.9999999999999995E-21</v>
      </c>
      <c r="O902" s="452">
        <v>9.9999999999999995E-21</v>
      </c>
      <c r="P902" s="452">
        <v>9.9999999999999995E-21</v>
      </c>
      <c r="Q902" s="452">
        <v>9.9999999999999995E-21</v>
      </c>
      <c r="R902" s="452">
        <v>9.9999999999999995E-21</v>
      </c>
      <c r="S902" s="452"/>
      <c r="T902" s="158"/>
    </row>
    <row r="903" spans="1:20" ht="12.75" customHeight="1" x14ac:dyDescent="0.2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1"/>
      <c r="N903" s="451"/>
      <c r="O903" s="452"/>
      <c r="P903" s="452"/>
      <c r="Q903" s="452"/>
      <c r="R903" s="452"/>
      <c r="S903" s="452"/>
      <c r="T903" s="158"/>
    </row>
    <row r="904" spans="1:20" ht="12.75" customHeight="1" x14ac:dyDescent="0.2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1"/>
      <c r="N904" s="451"/>
      <c r="O904" s="452"/>
      <c r="P904" s="452"/>
      <c r="Q904" s="452"/>
      <c r="R904" s="452"/>
      <c r="S904" s="452"/>
      <c r="T904" s="158"/>
    </row>
    <row r="905" spans="1:20" ht="12.75" customHeight="1" x14ac:dyDescent="0.2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1"/>
      <c r="N905" s="451"/>
      <c r="O905" s="452"/>
      <c r="P905" s="452"/>
      <c r="Q905" s="452"/>
      <c r="R905" s="452"/>
      <c r="S905" s="452"/>
      <c r="T905" s="158"/>
    </row>
    <row r="906" spans="1:20" ht="12.75" customHeight="1" x14ac:dyDescent="0.2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1"/>
      <c r="N906" s="451"/>
      <c r="O906" s="452"/>
      <c r="P906" s="452"/>
      <c r="Q906" s="452"/>
      <c r="R906" s="452"/>
      <c r="S906" s="452"/>
      <c r="T906" s="158"/>
    </row>
    <row r="907" spans="1:20" ht="12.75" customHeight="1" x14ac:dyDescent="0.2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1"/>
      <c r="N907" s="451"/>
      <c r="O907" s="452"/>
      <c r="P907" s="452"/>
      <c r="Q907" s="452"/>
      <c r="R907" s="452"/>
      <c r="S907" s="452"/>
      <c r="T907" s="158"/>
    </row>
    <row r="908" spans="1:20" ht="12.75" customHeight="1" x14ac:dyDescent="0.2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1"/>
      <c r="N908" s="451"/>
      <c r="O908" s="452"/>
      <c r="P908" s="452"/>
      <c r="Q908" s="452"/>
      <c r="R908" s="452"/>
      <c r="S908" s="452"/>
      <c r="T908" s="158"/>
    </row>
    <row r="909" spans="1:20" ht="12.75" customHeight="1" x14ac:dyDescent="0.2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1"/>
      <c r="N909" s="451"/>
      <c r="O909" s="452"/>
      <c r="P909" s="452"/>
      <c r="Q909" s="452"/>
      <c r="R909" s="452"/>
      <c r="S909" s="452"/>
      <c r="T909" s="158"/>
    </row>
    <row r="910" spans="1:20" ht="12.75" customHeight="1" x14ac:dyDescent="0.2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1"/>
      <c r="N910" s="451"/>
      <c r="O910" s="452"/>
      <c r="P910" s="452"/>
      <c r="Q910" s="452"/>
      <c r="R910" s="452"/>
      <c r="S910" s="452"/>
      <c r="T910" s="158"/>
    </row>
    <row r="911" spans="1:20" ht="12.75" customHeight="1" x14ac:dyDescent="0.2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1"/>
      <c r="N911" s="451"/>
      <c r="O911" s="452"/>
      <c r="P911" s="452"/>
      <c r="Q911" s="452"/>
      <c r="R911" s="452"/>
      <c r="S911" s="452"/>
      <c r="T911" s="158"/>
    </row>
    <row r="912" spans="1:20" ht="12.75" customHeight="1" x14ac:dyDescent="0.2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1"/>
      <c r="N912" s="451"/>
      <c r="O912" s="452"/>
      <c r="P912" s="452"/>
      <c r="Q912" s="452"/>
      <c r="R912" s="452"/>
      <c r="S912" s="452"/>
      <c r="T912" s="158"/>
    </row>
    <row r="913" spans="1:20" ht="12.75" customHeight="1" x14ac:dyDescent="0.2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/>
      <c r="M913" s="451"/>
      <c r="N913" s="451">
        <v>9.9999999999999995E-21</v>
      </c>
      <c r="O913" s="452">
        <v>9.9999999999999995E-21</v>
      </c>
      <c r="P913" s="452"/>
      <c r="Q913" s="452">
        <v>9.9999999999999995E-21</v>
      </c>
      <c r="R913" s="452">
        <v>9.9999999999999995E-21</v>
      </c>
      <c r="S913" s="452">
        <v>9.9999999999999995E-21</v>
      </c>
      <c r="T913" s="158"/>
    </row>
    <row r="914" spans="1:20" ht="12.75" customHeight="1" x14ac:dyDescent="0.2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/>
      <c r="M914" s="451"/>
      <c r="N914" s="451">
        <v>94472218.138455927</v>
      </c>
      <c r="O914" s="452">
        <v>94472218.138455927</v>
      </c>
      <c r="P914" s="452"/>
      <c r="Q914" s="452">
        <v>94472218.138455927</v>
      </c>
      <c r="R914" s="452">
        <v>94472218.138455927</v>
      </c>
      <c r="S914" s="452">
        <v>94472218.138455927</v>
      </c>
      <c r="T914" s="158"/>
    </row>
    <row r="915" spans="1:20" ht="12.75" customHeight="1" x14ac:dyDescent="0.2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1"/>
      <c r="N915" s="451"/>
      <c r="O915" s="452"/>
      <c r="P915" s="452"/>
      <c r="Q915" s="452"/>
      <c r="R915" s="452"/>
      <c r="S915" s="452"/>
      <c r="T915" s="158"/>
    </row>
    <row r="916" spans="1:20" ht="12.75" customHeight="1" x14ac:dyDescent="0.2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1"/>
      <c r="N916" s="451"/>
      <c r="O916" s="452"/>
      <c r="P916" s="452"/>
      <c r="Q916" s="452"/>
      <c r="R916" s="452"/>
      <c r="S916" s="452"/>
      <c r="T916" s="158"/>
    </row>
    <row r="917" spans="1:20" ht="12.75" customHeight="1" x14ac:dyDescent="0.2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1"/>
      <c r="N917" s="451"/>
      <c r="O917" s="452"/>
      <c r="P917" s="452"/>
      <c r="Q917" s="452"/>
      <c r="R917" s="452"/>
      <c r="S917" s="452"/>
      <c r="T917" s="158"/>
    </row>
    <row r="918" spans="1:20" ht="12.75" customHeight="1" x14ac:dyDescent="0.2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1"/>
      <c r="N918" s="451"/>
      <c r="O918" s="452"/>
      <c r="P918" s="452"/>
      <c r="Q918" s="452"/>
      <c r="R918" s="452"/>
      <c r="S918" s="452"/>
      <c r="T918" s="158"/>
    </row>
    <row r="919" spans="1:20" ht="12.7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339"/>
      <c r="N919" s="339"/>
      <c r="O919" s="282"/>
      <c r="P919" s="282"/>
      <c r="Q919" s="282"/>
      <c r="R919" s="282"/>
      <c r="S919" s="282"/>
      <c r="T919" s="158"/>
    </row>
    <row r="920" spans="1:20" ht="12.75" customHeight="1" x14ac:dyDescent="0.2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 t="s">
        <v>754</v>
      </c>
      <c r="M920" s="364" t="s">
        <v>754</v>
      </c>
      <c r="N920" s="364"/>
      <c r="O920" s="470"/>
      <c r="P920" s="470"/>
      <c r="Q920" s="470"/>
      <c r="R920" s="470"/>
      <c r="S920" s="470"/>
      <c r="T920" s="158"/>
    </row>
    <row r="921" spans="1:20" ht="12.7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339"/>
      <c r="N921" s="339"/>
      <c r="O921" s="282"/>
      <c r="P921" s="282"/>
      <c r="Q921" s="282"/>
      <c r="R921" s="282"/>
      <c r="S921" s="282"/>
      <c r="T921" s="158"/>
    </row>
    <row r="922" spans="1:20" ht="12.75" customHeight="1" x14ac:dyDescent="0.2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/>
      <c r="M922" s="451"/>
      <c r="N922" s="451">
        <f t="shared" ref="N922:R922" si="25">1-(0.0000258)/(IF(Tm&gt;298,EXP(-6.79*(1-Tm/298))*Pvap25*EXP((H0vap/8.314)*(1/298-1/TEMP.T)),Pvap25*EXP((H0vap/8.314)*(1/298-1/TEMP.T)))+(0.0000258))</f>
        <v>0.5192546583226858</v>
      </c>
      <c r="O922" s="452">
        <f t="shared" si="25"/>
        <v>0.5192546583226858</v>
      </c>
      <c r="P922" s="452">
        <f t="shared" si="25"/>
        <v>0.5192546583226858</v>
      </c>
      <c r="Q922" s="452">
        <f t="shared" si="25"/>
        <v>0.5192546583226858</v>
      </c>
      <c r="R922" s="452">
        <f t="shared" si="25"/>
        <v>0.5192546583226858</v>
      </c>
      <c r="S922" s="452"/>
      <c r="T922" s="158"/>
    </row>
    <row r="923" spans="1:20" ht="12.75" customHeight="1" x14ac:dyDescent="0.2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1"/>
      <c r="N923" s="451"/>
      <c r="O923" s="452"/>
      <c r="P923" s="452"/>
      <c r="Q923" s="452"/>
      <c r="R923" s="452"/>
      <c r="S923" s="452"/>
      <c r="T923" s="158"/>
    </row>
    <row r="924" spans="1:20" ht="12.75" customHeight="1" x14ac:dyDescent="0.2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/>
      <c r="M924" s="451"/>
      <c r="N924" s="451">
        <f t="shared" ref="N924:R924" si="26">(0.0000258)/(IF(Tm&gt;298,EXP(-6.79*(1-Tm/298))*Pvap25*EXP((H0vap/8.314)*(1/298-1/TEMP.T)),Pvap25*EXP((H0vap/8.314)*(1/298-1/TEMP.T)))+(0.0000258))</f>
        <v>0.48074534167731414</v>
      </c>
      <c r="O924" s="452">
        <f t="shared" si="26"/>
        <v>0.48074534167731414</v>
      </c>
      <c r="P924" s="452">
        <f t="shared" si="26"/>
        <v>0.48074534167731414</v>
      </c>
      <c r="Q924" s="452">
        <f t="shared" si="26"/>
        <v>0.48074534167731414</v>
      </c>
      <c r="R924" s="452">
        <f t="shared" si="26"/>
        <v>0.48074534167731414</v>
      </c>
      <c r="S924" s="452"/>
      <c r="T924" s="158"/>
    </row>
    <row r="925" spans="1:20" ht="12.75" customHeight="1" x14ac:dyDescent="0.2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1"/>
      <c r="N925" s="451"/>
      <c r="O925" s="452"/>
      <c r="P925" s="452"/>
      <c r="Q925" s="452"/>
      <c r="R925" s="452"/>
      <c r="S925" s="452"/>
      <c r="T925" s="158"/>
    </row>
    <row r="926" spans="1:20" ht="12.75" customHeight="1" x14ac:dyDescent="0.2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1"/>
      <c r="N926" s="451"/>
      <c r="O926" s="452"/>
      <c r="P926" s="452"/>
      <c r="Q926" s="452"/>
      <c r="R926" s="452"/>
      <c r="S926" s="452"/>
      <c r="T926" s="158"/>
    </row>
    <row r="927" spans="1:20" ht="12.75" customHeight="1" x14ac:dyDescent="0.2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1"/>
      <c r="N927" s="451"/>
      <c r="O927" s="452"/>
      <c r="P927" s="452"/>
      <c r="Q927" s="452"/>
      <c r="R927" s="452"/>
      <c r="S927" s="452"/>
      <c r="T927" s="158"/>
    </row>
    <row r="928" spans="1:20" ht="12.75" customHeight="1" x14ac:dyDescent="0.2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1"/>
      <c r="N928" s="451"/>
      <c r="O928" s="452"/>
      <c r="P928" s="452"/>
      <c r="Q928" s="452"/>
      <c r="R928" s="452"/>
      <c r="S928" s="452"/>
      <c r="T928" s="158"/>
    </row>
    <row r="929" spans="1:20" ht="12.75" customHeight="1" x14ac:dyDescent="0.2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/>
      <c r="M929" s="451"/>
      <c r="N929" s="451">
        <f t="shared" ref="N929:R929" si="27">1/(1+Kp.susp2T*SUSP.w2T/1000+0.05*Kow*0.001/1000)</f>
        <v>0.99933769729472144</v>
      </c>
      <c r="O929" s="452">
        <f t="shared" si="27"/>
        <v>0.99933769729472144</v>
      </c>
      <c r="P929" s="452">
        <f t="shared" si="27"/>
        <v>0.99933769729472144</v>
      </c>
      <c r="Q929" s="452">
        <f t="shared" si="27"/>
        <v>0.99933769729472144</v>
      </c>
      <c r="R929" s="452">
        <f t="shared" si="27"/>
        <v>0.99933769729472144</v>
      </c>
      <c r="S929" s="452"/>
      <c r="T929" s="158"/>
    </row>
    <row r="930" spans="1:20" ht="12.75" customHeight="1" x14ac:dyDescent="0.2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/>
      <c r="M930" s="451"/>
      <c r="N930" s="451">
        <f t="shared" ref="N930:R930" si="28">1/(1+Kp.susp3T*SUSP.w3T/1000+0.05*Kow*0.001/1000)</f>
        <v>0.99933769729472144</v>
      </c>
      <c r="O930" s="452">
        <f t="shared" si="28"/>
        <v>0.99933769729472144</v>
      </c>
      <c r="P930" s="452">
        <f t="shared" si="28"/>
        <v>0.99933769729472144</v>
      </c>
      <c r="Q930" s="452">
        <f t="shared" si="28"/>
        <v>0.99933769729472144</v>
      </c>
      <c r="R930" s="452">
        <f t="shared" si="28"/>
        <v>0.99933769729472144</v>
      </c>
      <c r="S930" s="452"/>
      <c r="T930" s="158"/>
    </row>
    <row r="931" spans="1:20" ht="12.75" customHeight="1" x14ac:dyDescent="0.2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1"/>
      <c r="N931" s="451"/>
      <c r="O931" s="452"/>
      <c r="P931" s="452"/>
      <c r="Q931" s="452"/>
      <c r="R931" s="452"/>
      <c r="S931" s="452"/>
      <c r="T931" s="158"/>
    </row>
    <row r="932" spans="1:20" ht="12.75" customHeight="1" x14ac:dyDescent="0.2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1"/>
      <c r="N932" s="451"/>
      <c r="O932" s="452"/>
      <c r="P932" s="452"/>
      <c r="Q932" s="452"/>
      <c r="R932" s="452"/>
      <c r="S932" s="452"/>
      <c r="T932" s="158"/>
    </row>
    <row r="933" spans="1:20" ht="12.75" customHeight="1" x14ac:dyDescent="0.2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1"/>
      <c r="N933" s="451"/>
      <c r="O933" s="452"/>
      <c r="P933" s="452"/>
      <c r="Q933" s="452"/>
      <c r="R933" s="452"/>
      <c r="S933" s="452"/>
      <c r="T933" s="158"/>
    </row>
    <row r="934" spans="1:20" ht="12.75" customHeight="1" x14ac:dyDescent="0.2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1"/>
      <c r="N934" s="451"/>
      <c r="O934" s="452"/>
      <c r="P934" s="452"/>
      <c r="Q934" s="452"/>
      <c r="R934" s="452"/>
      <c r="S934" s="452"/>
      <c r="T934" s="158"/>
    </row>
    <row r="935" spans="1:20" ht="12.75" customHeight="1" x14ac:dyDescent="0.2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1"/>
      <c r="N935" s="451"/>
      <c r="O935" s="452"/>
      <c r="P935" s="452"/>
      <c r="Q935" s="452"/>
      <c r="R935" s="452"/>
      <c r="S935" s="452"/>
      <c r="T935" s="158"/>
    </row>
    <row r="936" spans="1:20" ht="12.75" customHeight="1" x14ac:dyDescent="0.2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1"/>
      <c r="N936" s="451"/>
      <c r="O936" s="452"/>
      <c r="P936" s="452"/>
      <c r="Q936" s="452"/>
      <c r="R936" s="452"/>
      <c r="S936" s="452"/>
      <c r="T936" s="158"/>
    </row>
    <row r="937" spans="1:20" ht="12.75" customHeight="1" x14ac:dyDescent="0.2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1"/>
      <c r="N937" s="451"/>
      <c r="O937" s="452"/>
      <c r="P937" s="452"/>
      <c r="Q937" s="452"/>
      <c r="R937" s="452"/>
      <c r="S937" s="452"/>
      <c r="T937" s="158"/>
    </row>
    <row r="938" spans="1:20" ht="12.75" customHeight="1" x14ac:dyDescent="0.2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1"/>
      <c r="N938" s="451"/>
      <c r="O938" s="452"/>
      <c r="P938" s="452"/>
      <c r="Q938" s="452"/>
      <c r="R938" s="452"/>
      <c r="S938" s="452"/>
      <c r="T938" s="158"/>
    </row>
    <row r="939" spans="1:20" ht="12.75" customHeight="1" x14ac:dyDescent="0.2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1"/>
      <c r="N939" s="451"/>
      <c r="O939" s="452"/>
      <c r="P939" s="452"/>
      <c r="Q939" s="452"/>
      <c r="R939" s="452"/>
      <c r="S939" s="452"/>
      <c r="T939" s="158"/>
    </row>
    <row r="940" spans="1:20" ht="12.75" customHeight="1" x14ac:dyDescent="0.2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1"/>
      <c r="N940" s="451"/>
      <c r="O940" s="452"/>
      <c r="P940" s="452"/>
      <c r="Q940" s="452"/>
      <c r="R940" s="452"/>
      <c r="S940" s="452"/>
      <c r="T940" s="158"/>
    </row>
    <row r="941" spans="1:20" ht="12.75" customHeight="1" x14ac:dyDescent="0.2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1"/>
      <c r="N941" s="451"/>
      <c r="O941" s="452"/>
      <c r="P941" s="452"/>
      <c r="Q941" s="452"/>
      <c r="R941" s="452"/>
      <c r="S941" s="452"/>
      <c r="T941" s="158"/>
    </row>
    <row r="942" spans="1:20" ht="12.75" customHeight="1" x14ac:dyDescent="0.2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1"/>
      <c r="N942" s="451"/>
      <c r="O942" s="452"/>
      <c r="P942" s="452"/>
      <c r="Q942" s="452"/>
      <c r="R942" s="452"/>
      <c r="S942" s="452"/>
      <c r="T942" s="158"/>
    </row>
    <row r="943" spans="1:20" ht="12.75" customHeight="1" x14ac:dyDescent="0.2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1"/>
      <c r="N943" s="451"/>
      <c r="O943" s="452"/>
      <c r="P943" s="452"/>
      <c r="Q943" s="452"/>
      <c r="R943" s="452"/>
      <c r="S943" s="452"/>
      <c r="T943" s="158"/>
    </row>
    <row r="944" spans="1:20" ht="12.75" customHeight="1" x14ac:dyDescent="0.2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1"/>
      <c r="N944" s="451"/>
      <c r="O944" s="452"/>
      <c r="P944" s="452"/>
      <c r="Q944" s="452"/>
      <c r="R944" s="452"/>
      <c r="S944" s="452"/>
      <c r="T944" s="158"/>
    </row>
    <row r="945" spans="1:20" ht="12.75" customHeight="1" x14ac:dyDescent="0.2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1"/>
      <c r="N945" s="451"/>
      <c r="O945" s="452"/>
      <c r="P945" s="452"/>
      <c r="Q945" s="452"/>
      <c r="R945" s="452"/>
      <c r="S945" s="452"/>
      <c r="T945" s="158"/>
    </row>
    <row r="946" spans="1:20" ht="12.75" customHeight="1" x14ac:dyDescent="0.2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1"/>
      <c r="N946" s="451"/>
      <c r="O946" s="452"/>
      <c r="P946" s="452"/>
      <c r="Q946" s="452"/>
      <c r="R946" s="452"/>
      <c r="S946" s="452"/>
      <c r="T946" s="158"/>
    </row>
    <row r="947" spans="1:20" ht="12.75" customHeight="1" x14ac:dyDescent="0.2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1"/>
      <c r="N947" s="451"/>
      <c r="O947" s="452"/>
      <c r="P947" s="452"/>
      <c r="Q947" s="452"/>
      <c r="R947" s="452"/>
      <c r="S947" s="452"/>
      <c r="T947" s="158"/>
    </row>
    <row r="948" spans="1:20" ht="12.75" customHeight="1" x14ac:dyDescent="0.2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1"/>
      <c r="N948" s="451"/>
      <c r="O948" s="452"/>
      <c r="P948" s="452"/>
      <c r="Q948" s="452"/>
      <c r="R948" s="452"/>
      <c r="S948" s="452"/>
      <c r="T948" s="158"/>
    </row>
    <row r="949" spans="1:20" ht="12.7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339"/>
      <c r="N949" s="339"/>
      <c r="O949" s="282"/>
      <c r="P949" s="282"/>
      <c r="Q949" s="282"/>
      <c r="R949" s="282"/>
      <c r="S949" s="282"/>
      <c r="T949" s="158"/>
    </row>
    <row r="950" spans="1:20" ht="12.75" customHeight="1" x14ac:dyDescent="0.2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 t="s">
        <v>754</v>
      </c>
      <c r="M950" s="364" t="s">
        <v>754</v>
      </c>
      <c r="N950" s="364"/>
      <c r="O950" s="470"/>
      <c r="P950" s="470"/>
      <c r="Q950" s="470"/>
      <c r="R950" s="470"/>
      <c r="S950" s="470"/>
      <c r="T950" s="158"/>
    </row>
    <row r="951" spans="1:20" ht="12.7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339"/>
      <c r="N951" s="339"/>
      <c r="O951" s="282"/>
      <c r="P951" s="282"/>
      <c r="Q951" s="282"/>
      <c r="R951" s="282"/>
      <c r="S951" s="282"/>
      <c r="T951" s="158"/>
    </row>
    <row r="952" spans="1:20" ht="12.75" customHeight="1" x14ac:dyDescent="0.2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/>
      <c r="M952" s="451"/>
      <c r="N952" s="451">
        <f>((DRYDEPaerosol.T+AerosolWashout.T+GasWashout.T+GASABS.aT.wT)/HEIGHT.aT)*AREAFRAC.wT</f>
        <v>1.5876117326674712E-3</v>
      </c>
      <c r="O952" s="451">
        <f>((DRYDEPaerosol.T+AerosolWashout.T+GasWashout.T+GASABS.aT.wT)/HEIGHT.aT)*AREAFRAC.wT</f>
        <v>1.5876117326674712E-3</v>
      </c>
      <c r="P952" s="451">
        <f>((DRYDEPaerosol.T+AerosolWashout.T+GasWashout.T+GASABS.aT.wT)/HEIGHT.aT)*AREAFRAC.wT</f>
        <v>1.5876117326674712E-3</v>
      </c>
      <c r="Q952" s="451">
        <f>((DRYDEPaerosol.T+AerosolWashout.T+GasWashout.T+GASABS.aT.wT)/HEIGHT.aT)*AREAFRAC.wT</f>
        <v>1.5876117326674712E-3</v>
      </c>
      <c r="R952" s="451">
        <f>((DRYDEPaerosol.T+AerosolWashout.T+GasWashout.T+GASABS.aT.wT)/HEIGHT.aT)*AREAFRAC.wT</f>
        <v>1.5876117326674712E-3</v>
      </c>
      <c r="S952" s="452"/>
      <c r="T952" s="158"/>
    </row>
    <row r="953" spans="1:20" ht="12.75" customHeight="1" x14ac:dyDescent="0.2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/>
      <c r="M953" s="451"/>
      <c r="N953" s="451">
        <f>((DRYDEPaerosol.T+AerosolWashout.T+GasWashout.T+GASABS.aT.sT)/HEIGHT.aT)*AREAFRAC.sT</f>
        <v>6.7957943825524929E-4</v>
      </c>
      <c r="O953" s="451">
        <f>((DRYDEPaerosol.T+AerosolWashout.T+GasWashout.T+GASABS.aT.sT)/HEIGHT.aT)*AREAFRAC.sT</f>
        <v>6.7957943825524929E-4</v>
      </c>
      <c r="P953" s="451">
        <f>((DRYDEPaerosol.T+AerosolWashout.T+GasWashout.T+GASABS.aT.sT)/HEIGHT.aT)*AREAFRAC.sT</f>
        <v>6.7957943825524929E-4</v>
      </c>
      <c r="Q953" s="451">
        <f>((DRYDEPaerosol.T+AerosolWashout.T+GasWashout.T+GASABS.aT.sT)/HEIGHT.aT)*AREAFRAC.sT</f>
        <v>6.7957943825524929E-4</v>
      </c>
      <c r="R953" s="451">
        <f>((DRYDEPaerosol.T+AerosolWashout.T+GasWashout.T+GASABS.aT.sT)/HEIGHT.aT)*AREAFRAC.sT</f>
        <v>6.7957943825524929E-4</v>
      </c>
      <c r="S953" s="452"/>
      <c r="T953" s="158"/>
    </row>
    <row r="954" spans="1:20" ht="12.75" customHeight="1" x14ac:dyDescent="0.2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1"/>
      <c r="N954" s="451"/>
      <c r="O954" s="452"/>
      <c r="P954" s="452"/>
      <c r="Q954" s="452"/>
      <c r="R954" s="452"/>
      <c r="S954" s="452"/>
      <c r="T954" s="158"/>
    </row>
    <row r="955" spans="1:20" ht="12.75" customHeight="1" x14ac:dyDescent="0.2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1"/>
      <c r="N955" s="451"/>
      <c r="O955" s="452"/>
      <c r="P955" s="452"/>
      <c r="Q955" s="452"/>
      <c r="R955" s="452"/>
      <c r="S955" s="452"/>
      <c r="T955" s="158"/>
    </row>
    <row r="956" spans="1:20" ht="12.75" customHeight="1" x14ac:dyDescent="0.2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1"/>
      <c r="N956" s="451"/>
      <c r="O956" s="452"/>
      <c r="P956" s="452"/>
      <c r="Q956" s="452"/>
      <c r="R956" s="452"/>
      <c r="S956" s="452"/>
      <c r="T956" s="158"/>
    </row>
    <row r="957" spans="1:20" ht="12.75" customHeight="1" x14ac:dyDescent="0.2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1"/>
      <c r="N957" s="451"/>
      <c r="O957" s="452"/>
      <c r="P957" s="452"/>
      <c r="Q957" s="452"/>
      <c r="R957" s="452"/>
      <c r="S957" s="452"/>
      <c r="T957" s="158"/>
    </row>
    <row r="958" spans="1:20" ht="12.75" customHeight="1" x14ac:dyDescent="0.2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1"/>
      <c r="N958" s="451"/>
      <c r="O958" s="452"/>
      <c r="P958" s="452"/>
      <c r="Q958" s="452"/>
      <c r="R958" s="452"/>
      <c r="S958" s="452"/>
      <c r="T958" s="158"/>
    </row>
    <row r="959" spans="1:20" ht="12.75" customHeight="1" x14ac:dyDescent="0.2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1"/>
      <c r="N959" s="451"/>
      <c r="O959" s="452"/>
      <c r="P959" s="452"/>
      <c r="Q959" s="452"/>
      <c r="R959" s="452"/>
      <c r="S959" s="452"/>
      <c r="T959" s="158"/>
    </row>
    <row r="960" spans="1:20" ht="12.75" customHeight="1" x14ac:dyDescent="0.2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1"/>
      <c r="N960" s="451"/>
      <c r="O960" s="452"/>
      <c r="P960" s="452"/>
      <c r="Q960" s="452"/>
      <c r="R960" s="452"/>
      <c r="S960" s="452"/>
      <c r="T960" s="158"/>
    </row>
    <row r="961" spans="1:20" ht="12.75" customHeight="1" x14ac:dyDescent="0.2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1"/>
      <c r="N961" s="451"/>
      <c r="O961" s="452"/>
      <c r="P961" s="452"/>
      <c r="Q961" s="452"/>
      <c r="R961" s="452"/>
      <c r="S961" s="452"/>
      <c r="T961" s="158"/>
    </row>
    <row r="962" spans="1:20" ht="12.75" customHeight="1" x14ac:dyDescent="0.2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/>
      <c r="M962" s="451"/>
      <c r="N962" s="451">
        <f>AEROSOLdeprate.T*FRaers.aT</f>
        <v>2.3537793839004767E-5</v>
      </c>
      <c r="O962" s="451">
        <f>AEROSOLdeprate.T*FRaers.aT</f>
        <v>2.3537793839004767E-5</v>
      </c>
      <c r="P962" s="451">
        <f>AEROSOLdeprate.T*FRaers.aT</f>
        <v>2.3537793839004767E-5</v>
      </c>
      <c r="Q962" s="451">
        <f>AEROSOLdeprate.T*FRaers.aT</f>
        <v>2.3537793839004767E-5</v>
      </c>
      <c r="R962" s="451">
        <f>AEROSOLdeprate.T*FRaers.aT</f>
        <v>2.3537793839004767E-5</v>
      </c>
      <c r="S962" s="452"/>
      <c r="T962" s="158"/>
    </row>
    <row r="963" spans="1:20" ht="12.75" customHeight="1" x14ac:dyDescent="0.2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/>
      <c r="M963" s="451"/>
      <c r="N963" s="451">
        <f t="shared" ref="N963:R963" si="29">(1-FRgas.aT)*COLLECTeff.T*RAINrate.T</f>
        <v>1.9460105841749811E-4</v>
      </c>
      <c r="O963" s="452">
        <f t="shared" si="29"/>
        <v>1.9460105841749811E-4</v>
      </c>
      <c r="P963" s="452">
        <f t="shared" si="29"/>
        <v>1.9460105841749811E-4</v>
      </c>
      <c r="Q963" s="452">
        <f t="shared" si="29"/>
        <v>1.9460105841749811E-4</v>
      </c>
      <c r="R963" s="452">
        <f t="shared" si="29"/>
        <v>1.9460105841749811E-4</v>
      </c>
      <c r="S963" s="452"/>
      <c r="T963" s="158"/>
    </row>
    <row r="964" spans="1:20" ht="12.75" customHeight="1" x14ac:dyDescent="0.2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/>
      <c r="M964" s="451"/>
      <c r="N964" s="451">
        <f t="shared" ref="N964:R964" si="30">FRgas.aT*RAINrate.T/Kaw.T</f>
        <v>0.13565904295464432</v>
      </c>
      <c r="O964" s="452">
        <f t="shared" si="30"/>
        <v>0.13565904295464432</v>
      </c>
      <c r="P964" s="452">
        <f t="shared" si="30"/>
        <v>0.13565904295464432</v>
      </c>
      <c r="Q964" s="452">
        <f t="shared" si="30"/>
        <v>0.13565904295464432</v>
      </c>
      <c r="R964" s="452">
        <f t="shared" si="30"/>
        <v>0.13565904295464432</v>
      </c>
      <c r="S964" s="452"/>
      <c r="T964" s="158"/>
    </row>
    <row r="965" spans="1:20" ht="12.75" customHeight="1" x14ac:dyDescent="0.2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1"/>
      <c r="N965" s="451"/>
      <c r="O965" s="452"/>
      <c r="P965" s="452"/>
      <c r="Q965" s="452"/>
      <c r="R965" s="452"/>
      <c r="S965" s="452"/>
      <c r="T965" s="158"/>
    </row>
    <row r="966" spans="1:20" ht="12.75" customHeight="1" x14ac:dyDescent="0.2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1"/>
      <c r="N966" s="451"/>
      <c r="O966" s="452"/>
      <c r="P966" s="452"/>
      <c r="Q966" s="452"/>
      <c r="R966" s="452"/>
      <c r="S966" s="452"/>
      <c r="T966" s="158"/>
    </row>
    <row r="967" spans="1:20" ht="12.75" customHeight="1" x14ac:dyDescent="0.2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1"/>
      <c r="N967" s="451"/>
      <c r="O967" s="452"/>
      <c r="P967" s="452"/>
      <c r="Q967" s="452"/>
      <c r="R967" s="452"/>
      <c r="S967" s="452"/>
      <c r="T967" s="158"/>
    </row>
    <row r="968" spans="1:20" ht="12.75" customHeight="1" x14ac:dyDescent="0.2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1"/>
      <c r="N968" s="451"/>
      <c r="O968" s="452"/>
      <c r="P968" s="452"/>
      <c r="Q968" s="452"/>
      <c r="R968" s="452"/>
      <c r="S968" s="452"/>
      <c r="T968" s="158"/>
    </row>
    <row r="969" spans="1:20" ht="12.75" customHeight="1" x14ac:dyDescent="0.2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1"/>
      <c r="N969" s="451"/>
      <c r="O969" s="452"/>
      <c r="P969" s="452"/>
      <c r="Q969" s="452"/>
      <c r="R969" s="452"/>
      <c r="S969" s="452"/>
      <c r="T969" s="158"/>
    </row>
    <row r="970" spans="1:20" ht="12.75" customHeight="1" x14ac:dyDescent="0.2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1"/>
      <c r="N970" s="451"/>
      <c r="O970" s="452"/>
      <c r="P970" s="452"/>
      <c r="Q970" s="452"/>
      <c r="R970" s="452"/>
      <c r="S970" s="452"/>
      <c r="T970" s="158"/>
    </row>
    <row r="971" spans="1:20" ht="12.75" customHeight="1" x14ac:dyDescent="0.2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1"/>
      <c r="N971" s="451"/>
      <c r="O971" s="452"/>
      <c r="P971" s="452"/>
      <c r="Q971" s="452"/>
      <c r="R971" s="452"/>
      <c r="S971" s="452"/>
      <c r="T971" s="158"/>
    </row>
    <row r="972" spans="1:20" ht="12.75" customHeight="1" x14ac:dyDescent="0.2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1"/>
      <c r="N972" s="451"/>
      <c r="O972" s="452"/>
      <c r="P972" s="452"/>
      <c r="Q972" s="452"/>
      <c r="R972" s="452"/>
      <c r="S972" s="452"/>
      <c r="T972" s="158"/>
    </row>
    <row r="973" spans="1:20" ht="12.75" customHeight="1" x14ac:dyDescent="0.2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1"/>
      <c r="N973" s="451"/>
      <c r="O973" s="452"/>
      <c r="P973" s="452"/>
      <c r="Q973" s="452"/>
      <c r="R973" s="452"/>
      <c r="S973" s="452"/>
      <c r="T973" s="158"/>
    </row>
    <row r="974" spans="1:20" ht="12.75" customHeight="1" x14ac:dyDescent="0.2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1"/>
      <c r="N974" s="451"/>
      <c r="O974" s="452"/>
      <c r="P974" s="452"/>
      <c r="Q974" s="452"/>
      <c r="R974" s="452"/>
      <c r="S974" s="452"/>
      <c r="T974" s="158"/>
    </row>
    <row r="975" spans="1:20" ht="12.75" customHeight="1" x14ac:dyDescent="0.2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1"/>
      <c r="N975" s="451"/>
      <c r="O975" s="452"/>
      <c r="P975" s="452"/>
      <c r="Q975" s="452"/>
      <c r="R975" s="452"/>
      <c r="S975" s="452"/>
      <c r="T975" s="158"/>
    </row>
    <row r="976" spans="1:20" ht="12.75" customHeight="1" x14ac:dyDescent="0.2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/>
      <c r="M976" s="451"/>
      <c r="N976" s="451">
        <v>2.5308522804345867E-8</v>
      </c>
      <c r="O976" s="452">
        <v>2.5308522804345867E-8</v>
      </c>
      <c r="P976" s="452">
        <v>2.5308522804345867E-8</v>
      </c>
      <c r="Q976" s="452">
        <v>2.5308522804345867E-8</v>
      </c>
      <c r="R976" s="452"/>
      <c r="S976" s="452">
        <v>2.5308522804345867E-8</v>
      </c>
      <c r="T976" s="158"/>
    </row>
    <row r="977" spans="1:20" ht="12.75" customHeight="1" x14ac:dyDescent="0.2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/>
      <c r="M977" s="451"/>
      <c r="N977" s="451">
        <v>1</v>
      </c>
      <c r="O977" s="452">
        <v>1</v>
      </c>
      <c r="P977" s="452">
        <v>1</v>
      </c>
      <c r="Q977" s="452">
        <v>1</v>
      </c>
      <c r="R977" s="452"/>
      <c r="S977" s="452">
        <v>1</v>
      </c>
      <c r="T977" s="158"/>
    </row>
    <row r="978" spans="1:20" ht="12.7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59"/>
      <c r="N978" s="459"/>
      <c r="O978" s="460"/>
      <c r="P978" s="460"/>
      <c r="Q978" s="460"/>
      <c r="R978" s="460"/>
      <c r="S978" s="460"/>
      <c r="T978" s="158"/>
    </row>
    <row r="979" spans="1:20" ht="12.75" customHeight="1" x14ac:dyDescent="0.2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1"/>
      <c r="N979" s="451"/>
      <c r="O979" s="452"/>
      <c r="P979" s="452"/>
      <c r="Q979" s="452"/>
      <c r="R979" s="452"/>
      <c r="S979" s="452"/>
      <c r="T979" s="158"/>
    </row>
    <row r="980" spans="1:20" ht="12.75" customHeight="1" x14ac:dyDescent="0.2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1"/>
      <c r="N980" s="451"/>
      <c r="O980" s="452"/>
      <c r="P980" s="452"/>
      <c r="Q980" s="452"/>
      <c r="R980" s="452"/>
      <c r="S980" s="452"/>
      <c r="T980" s="158"/>
    </row>
    <row r="981" spans="1:20" ht="12.75" customHeight="1" x14ac:dyDescent="0.2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1"/>
      <c r="N981" s="451"/>
      <c r="O981" s="452"/>
      <c r="P981" s="452"/>
      <c r="Q981" s="452"/>
      <c r="R981" s="452"/>
      <c r="S981" s="452"/>
      <c r="T981" s="158"/>
    </row>
    <row r="982" spans="1:20" ht="12.75" customHeight="1" x14ac:dyDescent="0.2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1"/>
      <c r="N982" s="451"/>
      <c r="O982" s="452"/>
      <c r="P982" s="452"/>
      <c r="Q982" s="452"/>
      <c r="R982" s="452"/>
      <c r="S982" s="452"/>
      <c r="T982" s="158"/>
    </row>
    <row r="983" spans="1:20" ht="12.75" customHeight="1" x14ac:dyDescent="0.2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1"/>
      <c r="N983" s="451"/>
      <c r="O983" s="452"/>
      <c r="P983" s="452"/>
      <c r="Q983" s="452"/>
      <c r="R983" s="452"/>
      <c r="S983" s="452"/>
      <c r="T983" s="158"/>
    </row>
    <row r="984" spans="1:20" ht="12.75" customHeight="1" x14ac:dyDescent="0.2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1"/>
      <c r="N984" s="451"/>
      <c r="O984" s="452"/>
      <c r="P984" s="452"/>
      <c r="Q984" s="452"/>
      <c r="R984" s="452"/>
      <c r="S984" s="452"/>
      <c r="T984" s="158"/>
    </row>
    <row r="985" spans="1:20" ht="12.75" customHeight="1" x14ac:dyDescent="0.2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1"/>
      <c r="N985" s="451"/>
      <c r="O985" s="452"/>
      <c r="P985" s="452"/>
      <c r="Q985" s="452"/>
      <c r="R985" s="452"/>
      <c r="S985" s="452"/>
      <c r="T985" s="158"/>
    </row>
    <row r="986" spans="1:20" ht="12.75" customHeight="1" x14ac:dyDescent="0.2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1"/>
      <c r="N986" s="451"/>
      <c r="O986" s="452"/>
      <c r="P986" s="452"/>
      <c r="Q986" s="452"/>
      <c r="R986" s="452"/>
      <c r="S986" s="452"/>
      <c r="T986" s="158"/>
    </row>
    <row r="987" spans="1:20" ht="12.75" customHeight="1" x14ac:dyDescent="0.2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1"/>
      <c r="N987" s="451"/>
      <c r="O987" s="452"/>
      <c r="P987" s="452"/>
      <c r="Q987" s="452"/>
      <c r="R987" s="452"/>
      <c r="S987" s="452"/>
      <c r="T987" s="158"/>
    </row>
    <row r="988" spans="1:20" ht="12.75" customHeight="1" x14ac:dyDescent="0.2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1"/>
      <c r="N988" s="451"/>
      <c r="O988" s="452"/>
      <c r="P988" s="452"/>
      <c r="Q988" s="452"/>
      <c r="R988" s="452"/>
      <c r="S988" s="452"/>
      <c r="T988" s="158"/>
    </row>
    <row r="989" spans="1:20" ht="12.75" customHeight="1" x14ac:dyDescent="0.2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1"/>
      <c r="N989" s="451"/>
      <c r="O989" s="452"/>
      <c r="P989" s="452"/>
      <c r="Q989" s="452"/>
      <c r="R989" s="452"/>
      <c r="S989" s="452"/>
      <c r="T989" s="158"/>
    </row>
    <row r="990" spans="1:20" ht="12.75" customHeight="1" x14ac:dyDescent="0.2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1"/>
      <c r="N990" s="451"/>
      <c r="O990" s="452"/>
      <c r="P990" s="452"/>
      <c r="Q990" s="452"/>
      <c r="R990" s="452"/>
      <c r="S990" s="452"/>
      <c r="T990" s="158"/>
    </row>
    <row r="991" spans="1:20" ht="12.7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59"/>
      <c r="N991" s="459"/>
      <c r="O991" s="460"/>
      <c r="P991" s="460"/>
      <c r="Q991" s="460"/>
      <c r="R991" s="460"/>
      <c r="S991" s="460"/>
      <c r="T991" s="158"/>
    </row>
    <row r="992" spans="1:20" ht="12.75" customHeight="1" x14ac:dyDescent="0.2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1"/>
      <c r="N992" s="451"/>
      <c r="O992" s="452"/>
      <c r="P992" s="452"/>
      <c r="Q992" s="452"/>
      <c r="R992" s="452"/>
      <c r="S992" s="452"/>
      <c r="T992" s="158"/>
    </row>
    <row r="993" spans="1:20" ht="12.75" customHeight="1" x14ac:dyDescent="0.2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1"/>
      <c r="N993" s="451"/>
      <c r="O993" s="452"/>
      <c r="P993" s="452"/>
      <c r="Q993" s="452"/>
      <c r="R993" s="452"/>
      <c r="S993" s="452"/>
      <c r="T993" s="158"/>
    </row>
    <row r="994" spans="1:20" ht="12.75" customHeight="1" x14ac:dyDescent="0.2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1"/>
      <c r="N994" s="451"/>
      <c r="O994" s="452"/>
      <c r="P994" s="452"/>
      <c r="Q994" s="452"/>
      <c r="R994" s="452"/>
      <c r="S994" s="452"/>
      <c r="T994" s="158"/>
    </row>
    <row r="995" spans="1:20" ht="12.75" customHeight="1" x14ac:dyDescent="0.2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/>
      <c r="M995" s="451"/>
      <c r="N995" s="451">
        <v>1</v>
      </c>
      <c r="O995" s="452">
        <v>1</v>
      </c>
      <c r="P995" s="452">
        <v>1</v>
      </c>
      <c r="Q995" s="452">
        <v>1</v>
      </c>
      <c r="R995" s="452"/>
      <c r="S995" s="452">
        <v>1</v>
      </c>
      <c r="T995" s="158"/>
    </row>
    <row r="996" spans="1:20" ht="12.7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339"/>
      <c r="N996" s="339"/>
      <c r="O996" s="282"/>
      <c r="P996" s="282"/>
      <c r="Q996" s="282"/>
      <c r="R996" s="282"/>
      <c r="S996" s="282"/>
      <c r="T996" s="158"/>
    </row>
    <row r="997" spans="1:20" ht="12.75" customHeight="1" x14ac:dyDescent="0.2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 t="s">
        <v>754</v>
      </c>
      <c r="M997" s="364" t="s">
        <v>754</v>
      </c>
      <c r="N997" s="364"/>
      <c r="O997" s="470"/>
      <c r="P997" s="470"/>
      <c r="Q997" s="470"/>
      <c r="R997" s="470"/>
      <c r="S997" s="470"/>
      <c r="T997" s="158"/>
    </row>
    <row r="998" spans="1:20" ht="12.75" customHeight="1" x14ac:dyDescent="0.2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339"/>
      <c r="N998" s="339"/>
      <c r="O998" s="282"/>
      <c r="P998" s="282"/>
      <c r="Q998" s="282"/>
      <c r="R998" s="282"/>
      <c r="S998" s="282"/>
      <c r="T998" s="158"/>
    </row>
    <row r="999" spans="1:20" ht="12.75" customHeight="1" x14ac:dyDescent="0.2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1"/>
      <c r="N999" s="451"/>
      <c r="O999" s="452"/>
      <c r="P999" s="452"/>
      <c r="Q999" s="452"/>
      <c r="R999" s="452"/>
      <c r="S999" s="452"/>
      <c r="T999" s="158"/>
    </row>
    <row r="1000" spans="1:20" ht="12.75" customHeight="1" x14ac:dyDescent="0.2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1"/>
      <c r="N1000" s="451"/>
      <c r="O1000" s="452"/>
      <c r="P1000" s="452"/>
      <c r="Q1000" s="452"/>
      <c r="R1000" s="452"/>
      <c r="S1000" s="452"/>
      <c r="T1000" s="158"/>
    </row>
    <row r="1001" spans="1:20" ht="12.75" customHeight="1" x14ac:dyDescent="0.2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1"/>
      <c r="N1001" s="451"/>
      <c r="O1001" s="452"/>
      <c r="P1001" s="452"/>
      <c r="Q1001" s="452"/>
      <c r="R1001" s="452"/>
      <c r="S1001" s="452"/>
      <c r="T1001" s="158"/>
    </row>
    <row r="1002" spans="1:20" ht="12.75" customHeight="1" x14ac:dyDescent="0.2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1"/>
      <c r="N1002" s="451"/>
      <c r="O1002" s="452"/>
      <c r="P1002" s="452"/>
      <c r="Q1002" s="452"/>
      <c r="R1002" s="452"/>
      <c r="S1002" s="452"/>
      <c r="T1002" s="158"/>
    </row>
    <row r="1003" spans="1:20" ht="12.75" customHeight="1" x14ac:dyDescent="0.2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1"/>
      <c r="N1003" s="451"/>
      <c r="O1003" s="452"/>
      <c r="P1003" s="452"/>
      <c r="Q1003" s="452"/>
      <c r="R1003" s="452"/>
      <c r="S1003" s="452"/>
      <c r="T1003" s="158"/>
    </row>
    <row r="1004" spans="1:20" ht="12.75" customHeight="1" x14ac:dyDescent="0.2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1"/>
      <c r="N1004" s="451"/>
      <c r="O1004" s="452"/>
      <c r="P1004" s="452"/>
      <c r="Q1004" s="452"/>
      <c r="R1004" s="452"/>
      <c r="S1004" s="452"/>
      <c r="T1004" s="158"/>
    </row>
    <row r="1005" spans="1:20" ht="12.75" customHeight="1" x14ac:dyDescent="0.2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1"/>
      <c r="N1005" s="451"/>
      <c r="O1005" s="452"/>
      <c r="P1005" s="452"/>
      <c r="Q1005" s="452"/>
      <c r="R1005" s="452"/>
      <c r="S1005" s="452"/>
      <c r="T1005" s="158"/>
    </row>
    <row r="1006" spans="1:20" ht="12.75" customHeight="1" x14ac:dyDescent="0.2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1"/>
      <c r="N1006" s="451"/>
      <c r="O1006" s="452"/>
      <c r="P1006" s="452"/>
      <c r="Q1006" s="452"/>
      <c r="R1006" s="452"/>
      <c r="S1006" s="452"/>
      <c r="T1006" s="158"/>
    </row>
    <row r="1007" spans="1:20" ht="12.75" customHeight="1" x14ac:dyDescent="0.2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1"/>
      <c r="N1007" s="451"/>
      <c r="O1007" s="452"/>
      <c r="P1007" s="452"/>
      <c r="Q1007" s="452"/>
      <c r="R1007" s="452"/>
      <c r="S1007" s="452"/>
      <c r="T1007" s="158"/>
    </row>
    <row r="1008" spans="1:20" ht="12.75" customHeight="1" x14ac:dyDescent="0.2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1"/>
      <c r="N1008" s="451"/>
      <c r="O1008" s="452"/>
      <c r="P1008" s="452"/>
      <c r="Q1008" s="452"/>
      <c r="R1008" s="452"/>
      <c r="S1008" s="452"/>
      <c r="T1008" s="158"/>
    </row>
    <row r="1009" spans="1:20" ht="12.75" customHeight="1" x14ac:dyDescent="0.2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1"/>
      <c r="N1009" s="451"/>
      <c r="O1009" s="452"/>
      <c r="P1009" s="452"/>
      <c r="Q1009" s="452"/>
      <c r="R1009" s="452"/>
      <c r="S1009" s="452"/>
      <c r="T1009" s="158"/>
    </row>
    <row r="1010" spans="1:20" ht="12.75" customHeight="1" x14ac:dyDescent="0.2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1"/>
      <c r="N1010" s="451"/>
      <c r="O1010" s="452"/>
      <c r="P1010" s="452"/>
      <c r="Q1010" s="452"/>
      <c r="R1010" s="452"/>
      <c r="S1010" s="452"/>
      <c r="T1010" s="158"/>
    </row>
    <row r="1011" spans="1:20" ht="12.75" customHeight="1" x14ac:dyDescent="0.2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1"/>
      <c r="N1011" s="451"/>
      <c r="O1011" s="452"/>
      <c r="P1011" s="452"/>
      <c r="Q1011" s="452"/>
      <c r="R1011" s="452"/>
      <c r="S1011" s="452"/>
      <c r="T1011" s="158"/>
    </row>
    <row r="1012" spans="1:20" ht="12.75" customHeight="1" x14ac:dyDescent="0.2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1"/>
      <c r="N1012" s="451"/>
      <c r="O1012" s="452"/>
      <c r="P1012" s="452"/>
      <c r="Q1012" s="452"/>
      <c r="R1012" s="452"/>
      <c r="S1012" s="452"/>
      <c r="T1012" s="158"/>
    </row>
    <row r="1013" spans="1:20" ht="12.75" customHeight="1" x14ac:dyDescent="0.2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1"/>
      <c r="N1013" s="451"/>
      <c r="O1013" s="452"/>
      <c r="P1013" s="452"/>
      <c r="Q1013" s="452"/>
      <c r="R1013" s="452"/>
      <c r="S1013" s="452"/>
      <c r="T1013" s="158"/>
    </row>
    <row r="1014" spans="1:20" ht="12.75" customHeight="1" x14ac:dyDescent="0.2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1"/>
      <c r="N1014" s="451"/>
      <c r="O1014" s="452"/>
      <c r="P1014" s="452"/>
      <c r="Q1014" s="452"/>
      <c r="R1014" s="452"/>
      <c r="S1014" s="452"/>
      <c r="T1014" s="158"/>
    </row>
    <row r="1015" spans="1:20" ht="12.75" customHeight="1" x14ac:dyDescent="0.2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1"/>
      <c r="N1015" s="451"/>
      <c r="O1015" s="452"/>
      <c r="P1015" s="452"/>
      <c r="Q1015" s="452"/>
      <c r="R1015" s="452"/>
      <c r="S1015" s="452"/>
      <c r="T1015" s="158"/>
    </row>
    <row r="1016" spans="1:20" ht="12.75" customHeight="1" x14ac:dyDescent="0.2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/>
      <c r="M1016" s="451"/>
      <c r="N1016" s="451">
        <v>1</v>
      </c>
      <c r="O1016" s="452">
        <v>1</v>
      </c>
      <c r="P1016" s="452">
        <v>1</v>
      </c>
      <c r="Q1016" s="452">
        <v>1</v>
      </c>
      <c r="R1016" s="452"/>
      <c r="S1016" s="452">
        <v>1</v>
      </c>
      <c r="T1016" s="158"/>
    </row>
    <row r="1017" spans="1:20" ht="12.75" customHeight="1" thickBot="1" x14ac:dyDescent="0.2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474"/>
      <c r="N1017" s="474"/>
      <c r="O1017" s="362"/>
      <c r="P1017" s="362"/>
      <c r="Q1017" s="362"/>
      <c r="R1017" s="362"/>
      <c r="S1017" s="362"/>
      <c r="T1017" s="158"/>
    </row>
    <row r="1018" spans="1:20" ht="12.75" customHeight="1" x14ac:dyDescent="0.2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42"/>
      <c r="N1018" s="342"/>
      <c r="O1018" s="360"/>
      <c r="P1018" s="360"/>
      <c r="Q1018" s="360"/>
      <c r="R1018" s="360"/>
      <c r="S1018" s="360"/>
      <c r="T1018" s="158"/>
    </row>
  </sheetData>
  <phoneticPr fontId="5" type="noConversion"/>
  <conditionalFormatting sqref="J341:S341">
    <cfRule type="cellIs" dxfId="152" priority="73" operator="equal">
      <formula>0</formula>
    </cfRule>
  </conditionalFormatting>
  <conditionalFormatting sqref="J343:S343">
    <cfRule type="cellIs" dxfId="151" priority="72" operator="equal">
      <formula>0</formula>
    </cfRule>
  </conditionalFormatting>
  <conditionalFormatting sqref="J517:S520">
    <cfRule type="cellIs" dxfId="150" priority="68" operator="equal">
      <formula>0</formula>
    </cfRule>
  </conditionalFormatting>
  <conditionalFormatting sqref="J532:S532">
    <cfRule type="cellIs" dxfId="149" priority="67" operator="equal">
      <formula>0</formula>
    </cfRule>
  </conditionalFormatting>
  <conditionalFormatting sqref="J535:S535">
    <cfRule type="cellIs" dxfId="148" priority="66" operator="equal">
      <formula>0</formula>
    </cfRule>
  </conditionalFormatting>
  <conditionalFormatting sqref="J538:S538">
    <cfRule type="cellIs" dxfId="147" priority="65" operator="equal">
      <formula>0</formula>
    </cfRule>
  </conditionalFormatting>
  <conditionalFormatting sqref="N703:Q703 S703">
    <cfRule type="cellIs" dxfId="146" priority="58" operator="equal">
      <formula>0</formula>
    </cfRule>
  </conditionalFormatting>
  <conditionalFormatting sqref="N839:S839">
    <cfRule type="cellIs" dxfId="145" priority="55" operator="equal">
      <formula>0</formula>
    </cfRule>
  </conditionalFormatting>
  <conditionalFormatting sqref="N975:S975">
    <cfRule type="cellIs" dxfId="144" priority="52" operator="equal">
      <formula>0</formula>
    </cfRule>
  </conditionalFormatting>
  <conditionalFormatting sqref="N493:R498">
    <cfRule type="cellIs" dxfId="143" priority="49" operator="equal">
      <formula>0</formula>
    </cfRule>
  </conditionalFormatting>
  <conditionalFormatting sqref="O493:R498">
    <cfRule type="cellIs" dxfId="142" priority="48" operator="equal">
      <formula>0</formula>
    </cfRule>
  </conditionalFormatting>
  <conditionalFormatting sqref="O493:R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style="79" customWidth="1"/>
    <col min="8" max="8" width="10.7109375" style="79" customWidth="1"/>
    <col min="9" max="9" width="9.140625" style="357" customWidth="1"/>
    <col min="10" max="10" width="9.140625" style="432" customWidth="1"/>
    <col min="11" max="11" width="9.5703125" style="644" customWidth="1"/>
    <col min="12" max="12" width="14" style="644" customWidth="1"/>
    <col min="13" max="13" width="9.140625" customWidth="1"/>
    <col min="14" max="14" width="79.85546875" style="79" customWidth="1"/>
    <col min="15" max="15" width="2.7109375" customWidth="1"/>
  </cols>
  <sheetData>
    <row r="1" spans="1:15" ht="12.75" customHeight="1" x14ac:dyDescent="0.2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2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2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2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2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2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2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2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2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2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2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2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2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2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2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2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2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2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2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2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2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2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2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2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2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2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2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2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2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2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2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2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2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2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2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2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2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2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2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2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2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2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2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2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2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2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2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2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2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2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2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2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2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2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2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2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2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0.97607289323959479</v>
      </c>
      <c r="L60" s="636">
        <f t="shared" ref="L60:L65" si="2">IF(ISBLANK(I60),IF(ISNUMBER(J60)=FALSE,K60,J60),I60)</f>
        <v>0.97607289323959479</v>
      </c>
      <c r="M60" s="36" t="s">
        <v>486</v>
      </c>
      <c r="N60" s="36"/>
      <c r="O60" s="36"/>
    </row>
    <row r="61" spans="1:15" ht="12.75" customHeight="1" x14ac:dyDescent="0.2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3.9711135849005027E-4</v>
      </c>
      <c r="L61" s="636">
        <f t="shared" si="2"/>
        <v>3.9711135849005027E-4</v>
      </c>
      <c r="M61" s="36" t="s">
        <v>486</v>
      </c>
      <c r="N61" s="36" t="s">
        <v>2185</v>
      </c>
      <c r="O61" s="36"/>
    </row>
    <row r="62" spans="1:15" ht="12.75" customHeight="1" x14ac:dyDescent="0.2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2.3529995401915089E-2</v>
      </c>
      <c r="L62" s="636">
        <f t="shared" si="2"/>
        <v>2.3529995401915089E-2</v>
      </c>
      <c r="M62" s="36" t="s">
        <v>486</v>
      </c>
      <c r="N62" s="36" t="s">
        <v>2185</v>
      </c>
      <c r="O62" s="36"/>
    </row>
    <row r="63" spans="1:15" ht="12.75" customHeight="1" x14ac:dyDescent="0.2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4.9158665603902462E-8</v>
      </c>
      <c r="L63" s="636">
        <f t="shared" si="2"/>
        <v>4.9158665603902462E-8</v>
      </c>
      <c r="M63" s="36" t="s">
        <v>486</v>
      </c>
      <c r="N63" s="36"/>
      <c r="O63" s="36"/>
    </row>
    <row r="64" spans="1:15" ht="12.75" customHeight="1" x14ac:dyDescent="0.2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20342300.315913603</v>
      </c>
      <c r="L64" s="636">
        <f t="shared" si="2"/>
        <v>20342300.315913603</v>
      </c>
      <c r="M64" s="36" t="s">
        <v>486</v>
      </c>
      <c r="N64" s="36"/>
      <c r="O64" s="36"/>
    </row>
    <row r="65" spans="1:15" ht="12.75" customHeight="1" x14ac:dyDescent="0.2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1205340070.6487617</v>
      </c>
      <c r="L65" s="636">
        <f t="shared" si="2"/>
        <v>1205340070.6487617</v>
      </c>
      <c r="M65" s="36" t="s">
        <v>486</v>
      </c>
      <c r="N65" s="36" t="s">
        <v>924</v>
      </c>
      <c r="O65" s="36"/>
    </row>
    <row r="66" spans="1:15" ht="12.75" customHeight="1" x14ac:dyDescent="0.2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0.99968498850414056</v>
      </c>
      <c r="L66" s="636">
        <f>IF(ISBLANK(I66),IF(ISNUMBER(J66)=FALSE,K66,J66),I66)</f>
        <v>0.99968498850414056</v>
      </c>
      <c r="M66" s="36" t="s">
        <v>486</v>
      </c>
      <c r="N66" s="36"/>
      <c r="O66" s="36"/>
    </row>
    <row r="67" spans="1:15" ht="12.75" customHeight="1" x14ac:dyDescent="0.2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102.20032562438601</v>
      </c>
      <c r="L67" s="636">
        <f>IF(ISBLANK(I67),IF(ISNUMBER(J67)=FALSE,K67,J67),I67)</f>
        <v>102.20032562438601</v>
      </c>
      <c r="M67" s="36" t="s">
        <v>1498</v>
      </c>
      <c r="N67" s="36"/>
      <c r="O67" s="36"/>
    </row>
    <row r="68" spans="1:15" ht="12.75" customHeight="1" x14ac:dyDescent="0.2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2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2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264.01059655875667</v>
      </c>
      <c r="L70" s="636">
        <f>IF(ISBLANK(I70),IF(ISNUMBER(J70)=FALSE,K70,J70),I70)</f>
        <v>264.01059655875667</v>
      </c>
      <c r="M70" s="36" t="s">
        <v>1498</v>
      </c>
      <c r="N70" s="36"/>
      <c r="O70" s="36"/>
    </row>
    <row r="71" spans="1:15" ht="12.75" customHeight="1" x14ac:dyDescent="0.2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2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0.99820620799108495</v>
      </c>
      <c r="L72" s="636">
        <f t="shared" ref="L72:L104" si="3">IF(ISBLANK(I72),IF(ISNUMBER(J72)=FALSE,K72,J72),I72)</f>
        <v>0.99820620799108495</v>
      </c>
      <c r="M72" s="36" t="s">
        <v>486</v>
      </c>
      <c r="N72" s="36"/>
      <c r="O72" s="36"/>
    </row>
    <row r="73" spans="1:15" ht="12.75" customHeight="1" x14ac:dyDescent="0.2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102.20032562438601</v>
      </c>
      <c r="L73" s="636">
        <f t="shared" si="3"/>
        <v>102.20032562438601</v>
      </c>
      <c r="M73" s="36" t="s">
        <v>1498</v>
      </c>
      <c r="N73" s="36"/>
      <c r="O73" s="36"/>
    </row>
    <row r="74" spans="1:15" ht="12.75" customHeight="1" x14ac:dyDescent="0.2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2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2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264.01059655875667</v>
      </c>
      <c r="L76" s="636">
        <f t="shared" si="3"/>
        <v>264.01059655875667</v>
      </c>
      <c r="M76" s="36" t="s">
        <v>1498</v>
      </c>
      <c r="N76" s="36"/>
      <c r="O76" s="36"/>
    </row>
    <row r="77" spans="1:15" ht="12.75" customHeight="1" x14ac:dyDescent="0.2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2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0.99923939228777903</v>
      </c>
      <c r="L78" s="636">
        <f t="shared" si="3"/>
        <v>0.99923939228777903</v>
      </c>
      <c r="M78" s="36" t="s">
        <v>486</v>
      </c>
      <c r="N78" s="36"/>
      <c r="O78" s="36"/>
    </row>
    <row r="79" spans="1:15" ht="12.75" customHeight="1" x14ac:dyDescent="0.2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99.435216023782488</v>
      </c>
      <c r="L79" s="636">
        <f t="shared" si="3"/>
        <v>99.435216023782488</v>
      </c>
      <c r="M79" s="36" t="s">
        <v>1498</v>
      </c>
      <c r="N79" s="36"/>
      <c r="O79" s="36"/>
    </row>
    <row r="80" spans="1:15" ht="12.75" customHeight="1" x14ac:dyDescent="0.2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2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2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264.01059655875667</v>
      </c>
      <c r="L82" s="636">
        <f t="shared" si="3"/>
        <v>264.01059655875667</v>
      </c>
      <c r="M82" s="36" t="s">
        <v>1498</v>
      </c>
      <c r="N82" s="36"/>
      <c r="O82" s="36"/>
    </row>
    <row r="83" spans="1:15" ht="12.75" customHeight="1" x14ac:dyDescent="0.2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2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26.409494856359572</v>
      </c>
      <c r="L84" s="636">
        <f t="shared" si="3"/>
        <v>26.409494856359572</v>
      </c>
      <c r="M84" s="36" t="s">
        <v>486</v>
      </c>
      <c r="N84" s="36"/>
      <c r="O84" s="36"/>
    </row>
    <row r="85" spans="1:15" ht="12.75" customHeight="1" x14ac:dyDescent="0.2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51.21898971271915</v>
      </c>
      <c r="L85" s="636">
        <f t="shared" si="3"/>
        <v>51.21898971271915</v>
      </c>
      <c r="M85" s="36" t="s">
        <v>1498</v>
      </c>
      <c r="N85" s="36"/>
      <c r="O85" s="36"/>
    </row>
    <row r="86" spans="1:15" ht="12.75" customHeight="1" x14ac:dyDescent="0.2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2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26.231033926700718</v>
      </c>
      <c r="L87" s="636">
        <f t="shared" si="3"/>
        <v>26.231033926700718</v>
      </c>
      <c r="M87" s="29" t="s">
        <v>486</v>
      </c>
      <c r="N87" s="36"/>
      <c r="O87" s="36"/>
    </row>
    <row r="88" spans="1:15" ht="12.75" customHeight="1" x14ac:dyDescent="0.2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50.862067853401449</v>
      </c>
      <c r="L88" s="636">
        <f t="shared" si="3"/>
        <v>50.862067853401449</v>
      </c>
      <c r="M88" s="36" t="s">
        <v>1498</v>
      </c>
      <c r="N88" s="36"/>
      <c r="O88" s="36"/>
    </row>
    <row r="89" spans="1:15" ht="12.75" customHeight="1" x14ac:dyDescent="0.2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2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30.955150979220729</v>
      </c>
      <c r="L90" s="636">
        <f t="shared" si="3"/>
        <v>30.955150979220729</v>
      </c>
      <c r="M90" s="29" t="s">
        <v>486</v>
      </c>
      <c r="N90" s="36"/>
      <c r="O90" s="36"/>
    </row>
    <row r="91" spans="1:15" ht="12.75" customHeight="1" x14ac:dyDescent="0.2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6.4609602496933077E-3</v>
      </c>
      <c r="L91" s="636">
        <f t="shared" si="3"/>
        <v>6.4609602496933077E-3</v>
      </c>
      <c r="M91" s="29"/>
      <c r="N91" s="36"/>
      <c r="O91" s="36"/>
    </row>
    <row r="92" spans="1:15" ht="12.75" customHeight="1" x14ac:dyDescent="0.2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0.99353903943270516</v>
      </c>
      <c r="L92" s="636">
        <f t="shared" si="3"/>
        <v>0.99353903943270516</v>
      </c>
      <c r="M92" s="29"/>
      <c r="N92" s="36"/>
      <c r="O92" s="36"/>
    </row>
    <row r="93" spans="1:15" ht="12.75" customHeight="1" x14ac:dyDescent="0.2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20.503433979592884</v>
      </c>
      <c r="L93" s="636">
        <f t="shared" si="3"/>
        <v>20.503433979592884</v>
      </c>
      <c r="M93" s="36" t="s">
        <v>1498</v>
      </c>
      <c r="N93" s="36"/>
      <c r="O93" s="36"/>
    </row>
    <row r="94" spans="1:15" ht="12.75" customHeight="1" x14ac:dyDescent="0.2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2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30.931393837430026</v>
      </c>
      <c r="L95" s="636">
        <f t="shared" si="3"/>
        <v>30.931393837430026</v>
      </c>
      <c r="M95" s="29" t="s">
        <v>486</v>
      </c>
      <c r="N95" s="36"/>
      <c r="O95" s="36"/>
    </row>
    <row r="96" spans="1:15" ht="12.75" customHeight="1" x14ac:dyDescent="0.2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6.4659226496925713E-3</v>
      </c>
      <c r="L96" s="636">
        <f t="shared" si="3"/>
        <v>6.4659226496925713E-3</v>
      </c>
      <c r="M96" s="29" t="s">
        <v>486</v>
      </c>
      <c r="N96" s="36"/>
      <c r="O96" s="36"/>
    </row>
    <row r="97" spans="1:15" ht="12.75" customHeight="1" x14ac:dyDescent="0.2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0.99353407703352459</v>
      </c>
      <c r="L97" s="636">
        <f t="shared" si="3"/>
        <v>0.99353407703352459</v>
      </c>
      <c r="M97" s="5" t="s">
        <v>486</v>
      </c>
      <c r="N97" s="36"/>
      <c r="O97" s="36"/>
    </row>
    <row r="98" spans="1:15" ht="12.75" customHeight="1" x14ac:dyDescent="0.2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20.487595885087657</v>
      </c>
      <c r="L98" s="636">
        <f t="shared" si="3"/>
        <v>20.487595885087657</v>
      </c>
      <c r="M98" s="36" t="s">
        <v>1498</v>
      </c>
      <c r="N98" s="36"/>
      <c r="O98" s="36"/>
    </row>
    <row r="99" spans="1:15" ht="12.75" customHeight="1" x14ac:dyDescent="0.2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2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30.931393837430026</v>
      </c>
      <c r="L100" s="636">
        <f t="shared" si="3"/>
        <v>30.931393837430026</v>
      </c>
      <c r="M100" s="29" t="s">
        <v>486</v>
      </c>
      <c r="N100" s="36"/>
      <c r="O100" s="36"/>
    </row>
    <row r="101" spans="1:15" ht="12.75" customHeight="1" x14ac:dyDescent="0.2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6.4659226496925713E-3</v>
      </c>
      <c r="L101" s="636">
        <f t="shared" si="3"/>
        <v>6.4659226496925713E-3</v>
      </c>
      <c r="M101" s="29" t="s">
        <v>486</v>
      </c>
      <c r="N101" s="36"/>
      <c r="O101" s="36"/>
    </row>
    <row r="102" spans="1:15" ht="12.75" customHeight="1" x14ac:dyDescent="0.2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0.99353407703352459</v>
      </c>
      <c r="L102" s="636">
        <f t="shared" si="3"/>
        <v>0.99353407703352459</v>
      </c>
      <c r="M102" s="5" t="s">
        <v>486</v>
      </c>
      <c r="N102" s="36"/>
      <c r="O102" s="36"/>
    </row>
    <row r="103" spans="1:15" ht="12.75" customHeight="1" x14ac:dyDescent="0.2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20.487595885087657</v>
      </c>
      <c r="L103" s="636">
        <f t="shared" si="3"/>
        <v>20.487595885087657</v>
      </c>
      <c r="M103" s="36" t="s">
        <v>1498</v>
      </c>
      <c r="N103" s="36"/>
      <c r="O103" s="36"/>
    </row>
    <row r="104" spans="1:15" ht="12.75" customHeight="1" x14ac:dyDescent="0.2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2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2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2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2.374072651935071E-8</v>
      </c>
      <c r="L108" s="636">
        <f>IF(ISBLANK(I108),IF(ISNUMBER(J108)=FALSE,K108,J108),I108)</f>
        <v>2.374072651935071E-8</v>
      </c>
      <c r="M108" s="29" t="s">
        <v>1488</v>
      </c>
      <c r="N108" s="325"/>
      <c r="O108" s="36"/>
    </row>
    <row r="109" spans="1:15" ht="12.75" customHeight="1" x14ac:dyDescent="0.2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2.6114799171285784E-7</v>
      </c>
      <c r="L109" s="636">
        <f t="shared" ref="L109:L137" si="4">IF(ISBLANK(I109),IF(ISNUMBER(J109)=FALSE,K109,J109),I109)</f>
        <v>2.6114799171285784E-7</v>
      </c>
      <c r="M109" s="29" t="s">
        <v>1488</v>
      </c>
      <c r="N109" s="325"/>
      <c r="O109" s="36"/>
    </row>
    <row r="110" spans="1:15" ht="12.75" customHeight="1" x14ac:dyDescent="0.2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4.1546531074683008E-8</v>
      </c>
      <c r="L110" s="636">
        <f t="shared" si="4"/>
        <v>4.1546531074683008E-8</v>
      </c>
      <c r="M110" s="29" t="s">
        <v>1488</v>
      </c>
      <c r="N110" s="325"/>
      <c r="O110" s="36"/>
    </row>
    <row r="111" spans="1:15" ht="12.75" customHeight="1" x14ac:dyDescent="0.2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1.8244019594217839E-6</v>
      </c>
      <c r="L111" s="636">
        <f t="shared" si="4"/>
        <v>1.8244019594217839E-6</v>
      </c>
      <c r="M111" s="29" t="s">
        <v>1488</v>
      </c>
      <c r="N111" s="325"/>
      <c r="O111" s="36"/>
    </row>
    <row r="112" spans="1:15" ht="12.75" customHeight="1" x14ac:dyDescent="0.2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4.054226576492852E-6</v>
      </c>
      <c r="L112" s="636">
        <f t="shared" si="4"/>
        <v>4.054226576492852E-6</v>
      </c>
      <c r="M112" s="29" t="s">
        <v>1488</v>
      </c>
      <c r="N112" s="325"/>
      <c r="O112" s="36"/>
    </row>
    <row r="113" spans="1:15" ht="12.75" customHeight="1" x14ac:dyDescent="0.2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6.7570442941547551E-7</v>
      </c>
      <c r="L113" s="636">
        <f t="shared" si="4"/>
        <v>6.7570442941547551E-7</v>
      </c>
      <c r="M113" s="29" t="s">
        <v>1488</v>
      </c>
      <c r="N113" s="325"/>
      <c r="O113" s="36"/>
    </row>
    <row r="114" spans="1:15" ht="12.75" customHeight="1" x14ac:dyDescent="0.2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1.893474429147487E-12</v>
      </c>
      <c r="L114" s="636">
        <f>IF(ISBLANK(I114),IF(ISNUMBER(J114)=FALSE,K114,J114),I114)</f>
        <v>1.893474429147487E-12</v>
      </c>
      <c r="M114" s="29" t="s">
        <v>1488</v>
      </c>
      <c r="N114" s="325"/>
      <c r="O114" s="36"/>
    </row>
    <row r="115" spans="1:15" ht="12.75" customHeight="1" x14ac:dyDescent="0.2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6.3022450457971401E-11</v>
      </c>
      <c r="L115" s="636">
        <f t="shared" si="4"/>
        <v>6.3022450457971401E-11</v>
      </c>
      <c r="M115" s="29" t="s">
        <v>1488</v>
      </c>
      <c r="N115" s="325"/>
      <c r="O115" s="36"/>
    </row>
    <row r="116" spans="1:15" ht="12.75" customHeight="1" x14ac:dyDescent="0.2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1.83680665698391E-11</v>
      </c>
      <c r="L116" s="636">
        <f t="shared" si="4"/>
        <v>1.83680665698391E-11</v>
      </c>
      <c r="M116" s="29" t="s">
        <v>1488</v>
      </c>
      <c r="N116" s="325"/>
      <c r="O116" s="36"/>
    </row>
    <row r="117" spans="1:15" ht="12.75" customHeight="1" x14ac:dyDescent="0.2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4.2270403804875319E-11</v>
      </c>
      <c r="L117" s="636">
        <f t="shared" si="4"/>
        <v>4.2270403804875319E-11</v>
      </c>
      <c r="M117" s="29" t="s">
        <v>1488</v>
      </c>
      <c r="N117" s="325"/>
      <c r="O117" s="36"/>
    </row>
    <row r="118" spans="1:15" ht="12.75" customHeight="1" x14ac:dyDescent="0.2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1.9185761529896352E-11</v>
      </c>
      <c r="L118" s="636">
        <f t="shared" si="4"/>
        <v>1.9185761529896352E-11</v>
      </c>
      <c r="M118" s="29" t="s">
        <v>1488</v>
      </c>
      <c r="N118" s="325"/>
      <c r="O118" s="36"/>
    </row>
    <row r="119" spans="1:15" ht="12.75" customHeight="1" x14ac:dyDescent="0.2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4.2161483400515841E-11</v>
      </c>
      <c r="L119" s="636">
        <f t="shared" si="4"/>
        <v>4.2161483400515841E-11</v>
      </c>
      <c r="M119" s="29" t="s">
        <v>1488</v>
      </c>
      <c r="N119" s="325"/>
      <c r="O119" s="36"/>
    </row>
    <row r="120" spans="1:15" ht="12.75" customHeight="1" x14ac:dyDescent="0.2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5.7643095100117848E-6</v>
      </c>
      <c r="L120" s="636">
        <f t="shared" si="4"/>
        <v>5.7643095100117848E-6</v>
      </c>
      <c r="M120" s="29" t="s">
        <v>1488</v>
      </c>
      <c r="N120" s="325"/>
      <c r="O120" s="36"/>
    </row>
    <row r="121" spans="1:15" ht="12.75" customHeight="1" x14ac:dyDescent="0.2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2.5346526134205699E-5</v>
      </c>
      <c r="L121" s="636">
        <f t="shared" si="4"/>
        <v>2.5346526134205699E-5</v>
      </c>
      <c r="M121" s="29" t="s">
        <v>1488</v>
      </c>
      <c r="N121" s="325"/>
      <c r="O121" s="36"/>
    </row>
    <row r="122" spans="1:15" ht="12.75" customHeight="1" x14ac:dyDescent="0.2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1.9606143730954318E-5</v>
      </c>
      <c r="L122" s="636">
        <f t="shared" si="4"/>
        <v>1.9606143730954318E-5</v>
      </c>
      <c r="M122" s="29" t="s">
        <v>1488</v>
      </c>
      <c r="N122" s="325"/>
      <c r="O122" s="36"/>
    </row>
    <row r="123" spans="1:15" ht="12.75" customHeight="1" x14ac:dyDescent="0.2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7.366842356627169E-3</v>
      </c>
      <c r="L123" s="636">
        <f t="shared" si="4"/>
        <v>7.366842356627169E-3</v>
      </c>
      <c r="M123" s="29" t="s">
        <v>1488</v>
      </c>
      <c r="N123" s="325"/>
      <c r="O123" s="36"/>
    </row>
    <row r="124" spans="1:15" ht="12.75" customHeight="1" x14ac:dyDescent="0.2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2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2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2.3927106760405139E-5</v>
      </c>
      <c r="L126" s="636">
        <f t="shared" si="4"/>
        <v>2.3927106760405139E-5</v>
      </c>
      <c r="M126" s="29" t="s">
        <v>1490</v>
      </c>
      <c r="N126" s="325"/>
      <c r="O126" s="36"/>
    </row>
    <row r="127" spans="1:15" ht="12.75" customHeight="1" x14ac:dyDescent="0.2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1.7409729390052177E-3</v>
      </c>
      <c r="L127" s="636">
        <f t="shared" si="4"/>
        <v>1.7409729390052177E-3</v>
      </c>
      <c r="M127" s="29" t="s">
        <v>1490</v>
      </c>
      <c r="N127" s="325"/>
      <c r="O127" s="36"/>
    </row>
    <row r="128" spans="1:15" ht="12.75" customHeight="1" x14ac:dyDescent="0.2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7.3455191670639692</v>
      </c>
      <c r="L128" s="636">
        <f t="shared" si="4"/>
        <v>7.3455191670639692</v>
      </c>
      <c r="M128" s="29" t="s">
        <v>1490</v>
      </c>
      <c r="N128" s="325"/>
      <c r="O128" s="36"/>
    </row>
    <row r="129" spans="1:15" ht="12.75" customHeight="1" x14ac:dyDescent="0.2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2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2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3.7735276288031836E-3</v>
      </c>
      <c r="L131" s="636">
        <f t="shared" ref="L131:L134" si="5">IF(ISBLANK(I131),IF(ISNUMBER(J131)=FALSE,K131,J131),I131)</f>
        <v>3.7735276288031836E-3</v>
      </c>
      <c r="M131" s="36" t="s">
        <v>4047</v>
      </c>
      <c r="N131" s="325"/>
      <c r="O131" s="36"/>
    </row>
    <row r="132" spans="1:15" ht="12.75" customHeight="1" x14ac:dyDescent="0.2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1.0222970376939818E-3</v>
      </c>
      <c r="L132" s="636">
        <f t="shared" si="5"/>
        <v>1.0222970376939818E-3</v>
      </c>
      <c r="M132" s="36" t="s">
        <v>4047</v>
      </c>
      <c r="N132" s="325"/>
      <c r="O132" s="36"/>
    </row>
    <row r="133" spans="1:15" ht="12.75" customHeight="1" x14ac:dyDescent="0.2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1.893474429147487E-10</v>
      </c>
      <c r="L133" s="636">
        <f t="shared" si="5"/>
        <v>1.893474429147487E-10</v>
      </c>
      <c r="M133" s="36" t="s">
        <v>4047</v>
      </c>
      <c r="N133" s="325"/>
      <c r="O133" s="36"/>
    </row>
    <row r="134" spans="1:15" ht="12.75" customHeight="1" x14ac:dyDescent="0.2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1.890673513739142E-10</v>
      </c>
      <c r="L134" s="636">
        <f t="shared" si="5"/>
        <v>1.890673513739142E-10</v>
      </c>
      <c r="M134" s="36" t="s">
        <v>4047</v>
      </c>
      <c r="N134" s="325"/>
      <c r="O134" s="36"/>
    </row>
    <row r="135" spans="1:15" ht="12.75" customHeight="1" x14ac:dyDescent="0.2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1.8368066569839099E-10</v>
      </c>
      <c r="L135" s="636">
        <f t="shared" si="4"/>
        <v>1.8368066569839099E-10</v>
      </c>
      <c r="M135" s="36" t="s">
        <v>4047</v>
      </c>
      <c r="N135" s="325"/>
      <c r="O135" s="36"/>
    </row>
    <row r="136" spans="1:15" ht="12.75" customHeight="1" x14ac:dyDescent="0.2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3.8661873187415758E-3</v>
      </c>
      <c r="L136" s="636">
        <f t="shared" si="4"/>
        <v>3.8661873187415758E-3</v>
      </c>
      <c r="M136" s="29" t="s">
        <v>1490</v>
      </c>
      <c r="N136" s="325"/>
      <c r="O136" s="36"/>
    </row>
    <row r="137" spans="1:15" ht="12.75" customHeight="1" x14ac:dyDescent="0.2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4.6712434275245704E-6</v>
      </c>
      <c r="L137" s="636">
        <f t="shared" si="4"/>
        <v>4.6712434275245704E-6</v>
      </c>
      <c r="M137" s="29" t="s">
        <v>1490</v>
      </c>
      <c r="N137" s="325"/>
      <c r="O137" s="36"/>
    </row>
    <row r="138" spans="1:15" ht="12.75" customHeight="1" x14ac:dyDescent="0.2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2.1135201902437659E-12</v>
      </c>
      <c r="L138" s="636">
        <f t="shared" ref="L138:L145" si="6">IF(ISBLANK(I138),IF(ISNUMBER(J138)=FALSE,K138,J138),I138)</f>
        <v>2.1135201902437659E-12</v>
      </c>
      <c r="M138" s="36" t="s">
        <v>4047</v>
      </c>
      <c r="N138" s="325"/>
      <c r="O138" s="36"/>
    </row>
    <row r="139" spans="1:15" ht="12.75" customHeight="1" x14ac:dyDescent="0.2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3.8371523059792708E-12</v>
      </c>
      <c r="L139" s="636">
        <f t="shared" si="6"/>
        <v>3.8371523059792708E-12</v>
      </c>
      <c r="M139" s="36" t="s">
        <v>4047</v>
      </c>
      <c r="N139" s="325"/>
      <c r="O139" s="36"/>
    </row>
    <row r="140" spans="1:15" ht="12.75" customHeight="1" x14ac:dyDescent="0.2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2.1080741700257921E-12</v>
      </c>
      <c r="L140" s="636">
        <f t="shared" si="6"/>
        <v>2.1080741700257921E-12</v>
      </c>
      <c r="M140" s="36" t="s">
        <v>4047</v>
      </c>
      <c r="N140" s="325"/>
      <c r="O140" s="36"/>
    </row>
    <row r="141" spans="1:15" ht="12.75" customHeight="1" x14ac:dyDescent="0.2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2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4.3455503205058606E-9</v>
      </c>
      <c r="L142" s="636">
        <f t="shared" si="6"/>
        <v>4.3455503205058606E-9</v>
      </c>
      <c r="M142" s="29" t="s">
        <v>1490</v>
      </c>
      <c r="N142" s="325"/>
      <c r="O142" s="36"/>
    </row>
    <row r="143" spans="1:15" ht="12.75" customHeight="1" x14ac:dyDescent="0.2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2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2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2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2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2.6453105432102753E-8</v>
      </c>
      <c r="L147" s="636">
        <f t="shared" ref="L147:L167" si="7">IF(ISBLANK(I147),IF(ISNUMBER(J147)=FALSE,K147,J147),I147)</f>
        <v>2.6453105432102753E-8</v>
      </c>
      <c r="M147" s="29" t="s">
        <v>1488</v>
      </c>
      <c r="N147" s="642"/>
      <c r="O147" s="36"/>
    </row>
    <row r="148" spans="1:15" ht="12.75" customHeight="1" x14ac:dyDescent="0.2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4.9492355023972612E-9</v>
      </c>
      <c r="L148" s="636">
        <f t="shared" si="7"/>
        <v>4.9492355023972612E-9</v>
      </c>
      <c r="M148" s="29" t="s">
        <v>1488</v>
      </c>
      <c r="N148" s="36"/>
      <c r="O148" s="36"/>
    </row>
    <row r="149" spans="1:15" ht="12.75" customHeight="1" x14ac:dyDescent="0.2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6.0755804044606696E-8</v>
      </c>
      <c r="L149" s="636">
        <f t="shared" si="7"/>
        <v>6.0755804044606696E-8</v>
      </c>
      <c r="M149" s="29" t="s">
        <v>1488</v>
      </c>
      <c r="N149" s="36"/>
      <c r="O149" s="36"/>
    </row>
    <row r="150" spans="1:15" ht="12.75" customHeight="1" x14ac:dyDescent="0.2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4.2483903201830168E-8</v>
      </c>
      <c r="L150" s="636">
        <f t="shared" si="7"/>
        <v>4.2483903201830168E-8</v>
      </c>
      <c r="M150" s="29" t="s">
        <v>1488</v>
      </c>
      <c r="N150" s="36"/>
      <c r="O150" s="36"/>
    </row>
    <row r="151" spans="1:15" ht="12.75" customHeight="1" x14ac:dyDescent="0.2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5.1903703961662373E-8</v>
      </c>
      <c r="L151" s="636">
        <f t="shared" si="7"/>
        <v>5.1903703961662373E-8</v>
      </c>
      <c r="M151" s="36" t="s">
        <v>4047</v>
      </c>
      <c r="N151" s="325"/>
      <c r="O151" s="36"/>
    </row>
    <row r="152" spans="1:15" ht="12.75" customHeight="1" x14ac:dyDescent="0.2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2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2.20083250063939E-8</v>
      </c>
      <c r="L153" s="636">
        <f t="shared" si="7"/>
        <v>2.20083250063939E-8</v>
      </c>
      <c r="M153" s="36" t="s">
        <v>4047</v>
      </c>
      <c r="N153" s="325"/>
      <c r="O153" s="36"/>
    </row>
    <row r="154" spans="1:15" ht="12.75" customHeight="1" x14ac:dyDescent="0.2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2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2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2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2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2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2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2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2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2.7455612334645886E-8</v>
      </c>
      <c r="L162" s="636">
        <f t="shared" si="7"/>
        <v>2.7455612334645886E-8</v>
      </c>
      <c r="M162" s="36" t="s">
        <v>4047</v>
      </c>
      <c r="N162" s="36"/>
      <c r="O162" s="36"/>
    </row>
    <row r="163" spans="1:15" ht="12.75" customHeight="1" x14ac:dyDescent="0.2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1.0414796134741724E-9</v>
      </c>
      <c r="L163" s="636">
        <f t="shared" si="7"/>
        <v>1.0414796134741724E-9</v>
      </c>
      <c r="M163" s="36" t="s">
        <v>4047</v>
      </c>
      <c r="N163" s="36"/>
      <c r="O163" s="36"/>
    </row>
    <row r="164" spans="1:15" ht="12.75" customHeight="1" x14ac:dyDescent="0.2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2.7484030017578719E-8</v>
      </c>
      <c r="L164" s="636">
        <f t="shared" si="7"/>
        <v>2.7484030017578719E-8</v>
      </c>
      <c r="M164" s="36" t="s">
        <v>4047</v>
      </c>
      <c r="N164" s="36"/>
      <c r="O164" s="36"/>
    </row>
    <row r="165" spans="1:15" ht="12.75" customHeight="1" x14ac:dyDescent="0.2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1.0485652442030531E-9</v>
      </c>
      <c r="L165" s="636">
        <f t="shared" si="7"/>
        <v>1.0485652442030531E-9</v>
      </c>
      <c r="M165" s="36" t="s">
        <v>4047</v>
      </c>
      <c r="N165" s="36"/>
      <c r="O165" s="36"/>
    </row>
    <row r="166" spans="1:15" ht="12.75" customHeight="1" x14ac:dyDescent="0.2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2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2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2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4.1985331810591978E-9</v>
      </c>
      <c r="L169" s="636">
        <f t="shared" ref="L169:L183" si="8">IF(ISBLANK(I169),IF(ISNUMBER(J169)=FALSE,K169,J169),I169)</f>
        <v>4.1985331810591978E-9</v>
      </c>
      <c r="M169" s="29" t="s">
        <v>1488</v>
      </c>
      <c r="N169" s="36"/>
      <c r="O169" s="36"/>
    </row>
    <row r="170" spans="1:15" ht="12.75" customHeight="1" x14ac:dyDescent="0.2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1.9120199778154223E-9</v>
      </c>
      <c r="L170" s="636">
        <f t="shared" si="8"/>
        <v>1.9120199778154223E-9</v>
      </c>
      <c r="M170" s="29" t="s">
        <v>1488</v>
      </c>
      <c r="N170" s="36"/>
      <c r="O170" s="36"/>
    </row>
    <row r="171" spans="1:15" ht="12.75" customHeight="1" x14ac:dyDescent="0.2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4.2017408811478692E-9</v>
      </c>
      <c r="L171" s="636">
        <f t="shared" si="8"/>
        <v>4.2017408811478692E-9</v>
      </c>
      <c r="M171" s="29" t="s">
        <v>1488</v>
      </c>
      <c r="N171" s="36"/>
      <c r="O171" s="36"/>
    </row>
    <row r="172" spans="1:15" ht="12.75" customHeight="1" x14ac:dyDescent="0.2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3.8168483464174523E-10</v>
      </c>
      <c r="L172" s="636">
        <f t="shared" si="8"/>
        <v>3.8168483464174523E-10</v>
      </c>
      <c r="M172" s="29" t="s">
        <v>1488</v>
      </c>
      <c r="N172" s="36"/>
      <c r="O172" s="36"/>
    </row>
    <row r="173" spans="1:15" ht="12.75" customHeight="1" x14ac:dyDescent="0.2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1.7381999798322019E-10</v>
      </c>
      <c r="L173" s="636">
        <f t="shared" si="8"/>
        <v>1.7381999798322019E-10</v>
      </c>
      <c r="M173" s="29" t="s">
        <v>1488</v>
      </c>
      <c r="N173" s="36"/>
      <c r="O173" s="36"/>
    </row>
    <row r="174" spans="1:15" ht="12.75" customHeight="1" x14ac:dyDescent="0.2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3.8197644374071532E-10</v>
      </c>
      <c r="L174" s="636">
        <f t="shared" si="8"/>
        <v>3.8197644374071532E-10</v>
      </c>
      <c r="M174" s="29" t="s">
        <v>1488</v>
      </c>
      <c r="N174" s="36"/>
      <c r="O174" s="36"/>
    </row>
    <row r="175" spans="1:15" ht="12.75" customHeight="1" x14ac:dyDescent="0.2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2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2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2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2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2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2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2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2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2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2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2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2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9.0459815058013851E-6</v>
      </c>
      <c r="L187" s="636">
        <f t="shared" ref="L187:L211" si="9">IF(ISBLANK(I187),IF(ISNUMBER(J187)=FALSE,K187,J187),I187)</f>
        <v>9.0459815058013851E-6</v>
      </c>
      <c r="M187" s="29" t="s">
        <v>1488</v>
      </c>
      <c r="N187" s="36"/>
      <c r="O187" s="36"/>
    </row>
    <row r="188" spans="1:15" ht="12.75" customHeight="1" x14ac:dyDescent="0.2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8.6883628443981305E-8</v>
      </c>
      <c r="L188" s="636">
        <f>IF(ISBLANK(I188),IF(ISNUMBER(J188)=FALSE,K188,J188),I188)</f>
        <v>8.6883628443981305E-8</v>
      </c>
      <c r="M188" s="29" t="s">
        <v>1488</v>
      </c>
      <c r="N188" s="36"/>
      <c r="O188" s="36"/>
    </row>
    <row r="189" spans="1:15" ht="12.75" customHeight="1" x14ac:dyDescent="0.2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8.6755106141331973E-8</v>
      </c>
      <c r="L189" s="636">
        <f t="shared" si="9"/>
        <v>8.6755106141331973E-8</v>
      </c>
      <c r="M189" s="29" t="s">
        <v>1488</v>
      </c>
      <c r="N189" s="36"/>
      <c r="O189" s="36"/>
    </row>
    <row r="190" spans="1:15" ht="12.75" customHeight="1" x14ac:dyDescent="0.2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8.6844901228364787E-8</v>
      </c>
      <c r="L190" s="636">
        <f t="shared" si="9"/>
        <v>8.6844901228364787E-8</v>
      </c>
      <c r="M190" s="29" t="s">
        <v>1488</v>
      </c>
      <c r="N190" s="36"/>
      <c r="O190" s="36"/>
    </row>
    <row r="191" spans="1:15" ht="12.75" customHeight="1" x14ac:dyDescent="0.2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1.2561171773023441E-8</v>
      </c>
      <c r="L191" s="636">
        <f t="shared" si="9"/>
        <v>1.2561171773023441E-8</v>
      </c>
      <c r="M191" s="29" t="s">
        <v>1488</v>
      </c>
      <c r="N191" s="36"/>
      <c r="O191" s="36"/>
    </row>
    <row r="192" spans="1:15" ht="12.75" customHeight="1" x14ac:dyDescent="0.2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1.1779136849972535E-8</v>
      </c>
      <c r="L192" s="636">
        <f t="shared" si="9"/>
        <v>1.1779136849972535E-8</v>
      </c>
      <c r="M192" s="29" t="s">
        <v>1488</v>
      </c>
      <c r="N192" s="36"/>
      <c r="O192" s="36"/>
    </row>
    <row r="193" spans="1:15" ht="12.75" customHeight="1" x14ac:dyDescent="0.2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4.3486201567445368E-8</v>
      </c>
      <c r="L193" s="636">
        <f t="shared" si="9"/>
        <v>4.3486201567445368E-8</v>
      </c>
      <c r="M193" s="29" t="s">
        <v>1488</v>
      </c>
      <c r="N193" s="36"/>
      <c r="O193" s="36"/>
    </row>
    <row r="194" spans="1:15" ht="12.75" customHeight="1" x14ac:dyDescent="0.2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4.3469483354178676E-8</v>
      </c>
      <c r="L194" s="636">
        <f t="shared" si="9"/>
        <v>4.3469483354178676E-8</v>
      </c>
      <c r="M194" s="29" t="s">
        <v>1488</v>
      </c>
      <c r="N194" s="36"/>
      <c r="O194" s="36"/>
    </row>
    <row r="195" spans="1:15" ht="12.75" customHeight="1" x14ac:dyDescent="0.2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4.3486225145605207E-8</v>
      </c>
      <c r="L195" s="636">
        <f t="shared" si="9"/>
        <v>4.3486225145605207E-8</v>
      </c>
      <c r="M195" s="29" t="s">
        <v>1488</v>
      </c>
      <c r="N195" s="36"/>
      <c r="O195" s="36"/>
    </row>
    <row r="196" spans="1:15" ht="12.75" customHeight="1" x14ac:dyDescent="0.2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2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9.0456151799195571E-6</v>
      </c>
      <c r="L197" s="636">
        <f t="shared" si="9"/>
        <v>9.0456151799195571E-6</v>
      </c>
      <c r="M197" s="36" t="s">
        <v>1488</v>
      </c>
      <c r="N197" s="36"/>
      <c r="O197" s="36"/>
    </row>
    <row r="198" spans="1:15" ht="12.75" customHeight="1" x14ac:dyDescent="0.2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2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2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8.6883628443981305E-8</v>
      </c>
      <c r="L200" s="636">
        <f>IF(ISBLANK(I200),IF(ISNUMBER(J200)=FALSE,K200,J200),I200)</f>
        <v>8.6883628443981305E-8</v>
      </c>
      <c r="M200" s="36" t="s">
        <v>1488</v>
      </c>
      <c r="N200" s="36"/>
      <c r="O200" s="36"/>
    </row>
    <row r="201" spans="1:15" ht="12.75" customHeight="1" x14ac:dyDescent="0.2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8.6755106141331973E-8</v>
      </c>
      <c r="L201" s="636">
        <f t="shared" si="9"/>
        <v>8.6755106141331973E-8</v>
      </c>
      <c r="M201" s="36" t="s">
        <v>1488</v>
      </c>
      <c r="N201" s="36"/>
      <c r="O201" s="36"/>
    </row>
    <row r="202" spans="1:15" ht="12.75" customHeight="1" x14ac:dyDescent="0.2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8.6844901228364787E-8</v>
      </c>
      <c r="L202" s="636">
        <f t="shared" si="9"/>
        <v>8.6844901228364787E-8</v>
      </c>
      <c r="M202" s="36" t="s">
        <v>1488</v>
      </c>
      <c r="N202" s="36"/>
      <c r="O202" s="36"/>
    </row>
    <row r="203" spans="1:15" ht="12.75" customHeight="1" x14ac:dyDescent="0.2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2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2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2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2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9.6658035166392018E-9</v>
      </c>
      <c r="L207" s="636">
        <f t="shared" si="9"/>
        <v>9.6658035166392018E-9</v>
      </c>
      <c r="M207" s="36" t="s">
        <v>1488</v>
      </c>
      <c r="N207" s="36"/>
      <c r="O207" s="36"/>
    </row>
    <row r="208" spans="1:15" ht="12.75" customHeight="1" x14ac:dyDescent="0.2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9.6658035166392018E-9</v>
      </c>
      <c r="L208" s="636">
        <f t="shared" si="9"/>
        <v>9.6658035166392018E-9</v>
      </c>
      <c r="M208" s="36" t="s">
        <v>1488</v>
      </c>
      <c r="N208" s="36"/>
      <c r="O208" s="36"/>
    </row>
    <row r="209" spans="1:15" ht="12.75" customHeight="1" x14ac:dyDescent="0.2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4.3455503205058602E-8</v>
      </c>
      <c r="L209" s="636">
        <f t="shared" si="9"/>
        <v>4.3455503205058602E-8</v>
      </c>
      <c r="M209" s="36" t="s">
        <v>1488</v>
      </c>
      <c r="N209" s="36"/>
      <c r="O209" s="36"/>
    </row>
    <row r="210" spans="1:15" ht="12.75" customHeight="1" x14ac:dyDescent="0.2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4.3455503205058602E-8</v>
      </c>
      <c r="L210" s="636">
        <f t="shared" si="9"/>
        <v>4.3455503205058602E-8</v>
      </c>
      <c r="M210" s="36" t="s">
        <v>1488</v>
      </c>
      <c r="N210" s="36"/>
      <c r="O210" s="36"/>
    </row>
    <row r="211" spans="1:15" ht="12.75" customHeight="1" x14ac:dyDescent="0.2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4.3455503205058602E-8</v>
      </c>
      <c r="L211" s="636">
        <f t="shared" si="9"/>
        <v>4.3455503205058602E-8</v>
      </c>
      <c r="M211" s="36" t="s">
        <v>1488</v>
      </c>
      <c r="N211" s="36"/>
      <c r="O211" s="36"/>
    </row>
    <row r="212" spans="1:15" ht="12.75" customHeight="1" x14ac:dyDescent="0.2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2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2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2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2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2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2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2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opLeftCell="A139" zoomScaleNormal="100" workbookViewId="0">
      <selection activeCell="K145" sqref="K145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customWidth="1"/>
    <col min="8" max="8" width="10.7109375" customWidth="1"/>
    <col min="9" max="11" width="9.140625" style="644" customWidth="1"/>
    <col min="12" max="12" width="12.140625" style="644" customWidth="1"/>
    <col min="13" max="13" width="9.140625" customWidth="1"/>
    <col min="14" max="14" width="83" bestFit="1" customWidth="1"/>
    <col min="15" max="15" width="2.7109375" customWidth="1"/>
  </cols>
  <sheetData>
    <row r="1" spans="1:15" ht="12.75" customHeight="1" x14ac:dyDescent="0.2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2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2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2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2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2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2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2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2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2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2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2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2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2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2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2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2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2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2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2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2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2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2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2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2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2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2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2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2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2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2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2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2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2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2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2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2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2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2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2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2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2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2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2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2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2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2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2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2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2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2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2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2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2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2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2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2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2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2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2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2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2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2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0.97607289323959479</v>
      </c>
      <c r="L66" s="636">
        <f t="shared" ref="L66:L110" si="2">IF(ISBLANK(I66),IF(ISNUMBER(J66)=FALSE,K66,J66),I66)</f>
        <v>0.97607289323959479</v>
      </c>
      <c r="M66" s="20" t="s">
        <v>486</v>
      </c>
      <c r="N66" s="36"/>
      <c r="O66" s="36"/>
    </row>
    <row r="67" spans="1:15" ht="12.75" customHeight="1" x14ac:dyDescent="0.2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3.9711135849005027E-4</v>
      </c>
      <c r="L67" s="636">
        <f t="shared" si="2"/>
        <v>3.9711135849005027E-4</v>
      </c>
      <c r="M67" s="36" t="s">
        <v>486</v>
      </c>
      <c r="N67" s="29" t="s">
        <v>2185</v>
      </c>
      <c r="O67" s="36"/>
    </row>
    <row r="68" spans="1:15" ht="12.75" customHeight="1" x14ac:dyDescent="0.2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2.3529995401915089E-2</v>
      </c>
      <c r="L68" s="636">
        <f t="shared" si="2"/>
        <v>2.3529995401915089E-2</v>
      </c>
      <c r="M68" s="36" t="s">
        <v>486</v>
      </c>
      <c r="N68" s="29" t="s">
        <v>2185</v>
      </c>
      <c r="O68" s="36"/>
    </row>
    <row r="69" spans="1:15" ht="12.75" customHeight="1" x14ac:dyDescent="0.2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4.9158665603902462E-8</v>
      </c>
      <c r="L69" s="636">
        <f t="shared" ref="L69:L71" si="3">IF(ISBLANK(I69),IF(ISNUMBER(J69)=FALSE,K69,J69),I69)</f>
        <v>4.9158665603902462E-8</v>
      </c>
      <c r="M69" s="36" t="s">
        <v>486</v>
      </c>
      <c r="N69" s="29"/>
      <c r="O69" s="36"/>
    </row>
    <row r="70" spans="1:15" ht="12.75" customHeight="1" x14ac:dyDescent="0.2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20342300.315913603</v>
      </c>
      <c r="L70" s="636">
        <f t="shared" si="3"/>
        <v>20342300.315913603</v>
      </c>
      <c r="M70" s="36" t="s">
        <v>486</v>
      </c>
      <c r="N70" s="29"/>
      <c r="O70" s="36"/>
    </row>
    <row r="71" spans="1:15" ht="12.75" customHeight="1" x14ac:dyDescent="0.2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1205340070.6487617</v>
      </c>
      <c r="L71" s="636">
        <f t="shared" si="3"/>
        <v>1205340070.6487617</v>
      </c>
      <c r="M71" s="36" t="s">
        <v>486</v>
      </c>
      <c r="N71" s="29" t="s">
        <v>924</v>
      </c>
      <c r="O71" s="36"/>
    </row>
    <row r="72" spans="1:15" ht="12.75" customHeight="1" x14ac:dyDescent="0.2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0.99968498850414056</v>
      </c>
      <c r="L72" s="636">
        <f t="shared" si="2"/>
        <v>0.99968498850414056</v>
      </c>
      <c r="M72" s="36" t="s">
        <v>486</v>
      </c>
      <c r="N72" s="29"/>
      <c r="O72" s="36"/>
    </row>
    <row r="73" spans="1:15" ht="12.75" customHeight="1" x14ac:dyDescent="0.2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102.20032562438601</v>
      </c>
      <c r="L73" s="636">
        <f t="shared" si="2"/>
        <v>102.20032562438601</v>
      </c>
      <c r="M73" s="36" t="s">
        <v>1498</v>
      </c>
      <c r="N73" s="29"/>
      <c r="O73" s="36"/>
    </row>
    <row r="74" spans="1:15" ht="12.75" customHeight="1" x14ac:dyDescent="0.2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2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2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264.01059655875667</v>
      </c>
      <c r="L76" s="636">
        <f>IF(ISBLANK(I76),IF(ISNUMBER(J76)=FALSE,K76,J76),I76)</f>
        <v>264.01059655875667</v>
      </c>
      <c r="M76" s="36" t="s">
        <v>1498</v>
      </c>
      <c r="N76" s="29"/>
      <c r="O76" s="36"/>
    </row>
    <row r="77" spans="1:15" ht="12.75" customHeight="1" x14ac:dyDescent="0.2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2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0.99820620799108495</v>
      </c>
      <c r="L78" s="646">
        <f t="shared" si="2"/>
        <v>0.99820620799108495</v>
      </c>
      <c r="M78" s="36" t="s">
        <v>486</v>
      </c>
      <c r="N78" s="29"/>
      <c r="O78" s="36"/>
    </row>
    <row r="79" spans="1:15" ht="12.75" customHeight="1" x14ac:dyDescent="0.2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102.20032562438601</v>
      </c>
      <c r="L79" s="636">
        <f t="shared" si="2"/>
        <v>102.20032562438601</v>
      </c>
      <c r="M79" s="36" t="s">
        <v>1498</v>
      </c>
      <c r="N79" s="29"/>
      <c r="O79" s="36"/>
    </row>
    <row r="80" spans="1:15" ht="12.75" customHeight="1" x14ac:dyDescent="0.2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2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2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264.01059655875667</v>
      </c>
      <c r="L82" s="636">
        <f t="shared" si="2"/>
        <v>264.01059655875667</v>
      </c>
      <c r="M82" s="36" t="s">
        <v>1498</v>
      </c>
      <c r="N82" s="29"/>
      <c r="O82" s="36"/>
    </row>
    <row r="83" spans="1:15" ht="12.75" customHeight="1" x14ac:dyDescent="0.2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2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0.99923939228777903</v>
      </c>
      <c r="L84" s="636">
        <f t="shared" si="2"/>
        <v>0.99923939228777903</v>
      </c>
      <c r="M84" s="36" t="s">
        <v>486</v>
      </c>
      <c r="N84" s="29"/>
      <c r="O84" s="36"/>
    </row>
    <row r="85" spans="1:15" ht="12.75" customHeight="1" x14ac:dyDescent="0.2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99.435216023782488</v>
      </c>
      <c r="L85" s="636">
        <f t="shared" si="2"/>
        <v>99.435216023782488</v>
      </c>
      <c r="M85" s="36" t="s">
        <v>1498</v>
      </c>
      <c r="N85" s="29"/>
      <c r="O85" s="36"/>
    </row>
    <row r="86" spans="1:15" ht="12.75" customHeight="1" x14ac:dyDescent="0.2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2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2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264.01059655875667</v>
      </c>
      <c r="L88" s="636">
        <f t="shared" si="2"/>
        <v>264.01059655875667</v>
      </c>
      <c r="M88" s="36" t="s">
        <v>1498</v>
      </c>
      <c r="N88" s="29"/>
      <c r="O88" s="36"/>
    </row>
    <row r="89" spans="1:15" ht="12.75" customHeight="1" x14ac:dyDescent="0.2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2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26.409494856359572</v>
      </c>
      <c r="L90" s="636">
        <f t="shared" si="2"/>
        <v>26.409494856359572</v>
      </c>
      <c r="M90" s="36" t="s">
        <v>486</v>
      </c>
      <c r="N90" s="29"/>
      <c r="O90" s="36"/>
    </row>
    <row r="91" spans="1:15" ht="12.75" customHeight="1" x14ac:dyDescent="0.2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51.21898971271915</v>
      </c>
      <c r="L91" s="636">
        <f t="shared" si="2"/>
        <v>51.21898971271915</v>
      </c>
      <c r="M91" s="36" t="s">
        <v>1498</v>
      </c>
      <c r="N91" s="29"/>
      <c r="O91" s="36"/>
    </row>
    <row r="92" spans="1:15" ht="12.75" customHeight="1" x14ac:dyDescent="0.2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2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26.231033926700718</v>
      </c>
      <c r="L93" s="636">
        <f t="shared" si="2"/>
        <v>26.231033926700718</v>
      </c>
      <c r="M93" s="29" t="s">
        <v>486</v>
      </c>
      <c r="N93" s="29"/>
      <c r="O93" s="36"/>
    </row>
    <row r="94" spans="1:15" ht="12.75" customHeight="1" x14ac:dyDescent="0.2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50.862067853401449</v>
      </c>
      <c r="L94" s="636">
        <f t="shared" si="2"/>
        <v>50.862067853401449</v>
      </c>
      <c r="M94" s="36" t="s">
        <v>1498</v>
      </c>
      <c r="N94" s="29"/>
      <c r="O94" s="36"/>
    </row>
    <row r="95" spans="1:15" ht="12.75" customHeight="1" x14ac:dyDescent="0.2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2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30.955150979220729</v>
      </c>
      <c r="L96" s="636">
        <f t="shared" si="2"/>
        <v>30.955150979220729</v>
      </c>
      <c r="M96" s="29" t="s">
        <v>486</v>
      </c>
      <c r="N96" s="29"/>
      <c r="O96" s="36"/>
    </row>
    <row r="97" spans="1:15" ht="12.75" customHeight="1" x14ac:dyDescent="0.2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6.4609602496933077E-3</v>
      </c>
      <c r="L97" s="636">
        <f t="shared" si="2"/>
        <v>6.4609602496933077E-3</v>
      </c>
      <c r="M97" s="29" t="s">
        <v>486</v>
      </c>
      <c r="N97" s="29"/>
      <c r="O97" s="36"/>
    </row>
    <row r="98" spans="1:15" ht="12.75" customHeight="1" x14ac:dyDescent="0.2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0.99353903943270516</v>
      </c>
      <c r="L98" s="636">
        <f t="shared" si="2"/>
        <v>0.99353903943270516</v>
      </c>
      <c r="M98" s="5" t="s">
        <v>486</v>
      </c>
      <c r="N98" s="29"/>
      <c r="O98" s="36"/>
    </row>
    <row r="99" spans="1:15" ht="12.75" customHeight="1" x14ac:dyDescent="0.2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20.503433979592884</v>
      </c>
      <c r="L99" s="636">
        <f t="shared" si="2"/>
        <v>20.503433979592884</v>
      </c>
      <c r="M99" s="36" t="s">
        <v>1498</v>
      </c>
      <c r="N99" s="29"/>
      <c r="O99" s="36"/>
    </row>
    <row r="100" spans="1:15" ht="12.75" customHeight="1" x14ac:dyDescent="0.2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2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30.931393837430026</v>
      </c>
      <c r="L101" s="636">
        <f t="shared" si="2"/>
        <v>30.931393837430026</v>
      </c>
      <c r="M101" s="29" t="s">
        <v>486</v>
      </c>
      <c r="N101" s="29"/>
      <c r="O101" s="36"/>
    </row>
    <row r="102" spans="1:15" ht="12.75" customHeight="1" x14ac:dyDescent="0.2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6.4659226496925713E-3</v>
      </c>
      <c r="L102" s="636">
        <f t="shared" si="2"/>
        <v>6.4659226496925713E-3</v>
      </c>
      <c r="M102" s="29" t="s">
        <v>486</v>
      </c>
      <c r="N102" s="29"/>
      <c r="O102" s="36"/>
    </row>
    <row r="103" spans="1:15" ht="12.75" customHeight="1" x14ac:dyDescent="0.2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0.99353407703352459</v>
      </c>
      <c r="L103" s="636">
        <f t="shared" si="2"/>
        <v>0.99353407703352459</v>
      </c>
      <c r="M103" s="36" t="s">
        <v>486</v>
      </c>
      <c r="N103" s="29"/>
      <c r="O103" s="36"/>
    </row>
    <row r="104" spans="1:15" ht="12.75" customHeight="1" x14ac:dyDescent="0.2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20.487595885087657</v>
      </c>
      <c r="L104" s="636">
        <f t="shared" si="2"/>
        <v>20.487595885087657</v>
      </c>
      <c r="M104" s="36" t="s">
        <v>1498</v>
      </c>
      <c r="N104" s="29"/>
      <c r="O104" s="36"/>
    </row>
    <row r="105" spans="1:15" ht="12.75" customHeight="1" x14ac:dyDescent="0.2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2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30.931393837430026</v>
      </c>
      <c r="L106" s="636">
        <f t="shared" si="2"/>
        <v>30.931393837430026</v>
      </c>
      <c r="M106" s="29" t="s">
        <v>486</v>
      </c>
      <c r="N106" s="29"/>
      <c r="O106" s="36"/>
    </row>
    <row r="107" spans="1:15" ht="12.75" customHeight="1" x14ac:dyDescent="0.2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6.4659226496925713E-3</v>
      </c>
      <c r="L107" s="636">
        <f t="shared" si="2"/>
        <v>6.4659226496925713E-3</v>
      </c>
      <c r="M107" s="29" t="s">
        <v>486</v>
      </c>
      <c r="N107" s="29"/>
      <c r="O107" s="36"/>
    </row>
    <row r="108" spans="1:15" ht="12.75" customHeight="1" x14ac:dyDescent="0.2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0.99353407703352459</v>
      </c>
      <c r="L108" s="636">
        <f t="shared" si="2"/>
        <v>0.99353407703352459</v>
      </c>
      <c r="M108" s="36" t="s">
        <v>486</v>
      </c>
      <c r="N108" s="29"/>
      <c r="O108" s="36"/>
    </row>
    <row r="109" spans="1:15" ht="12.75" customHeight="1" x14ac:dyDescent="0.2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20.487595885087657</v>
      </c>
      <c r="L109" s="636">
        <f t="shared" si="2"/>
        <v>20.487595885087657</v>
      </c>
      <c r="M109" s="36" t="s">
        <v>1498</v>
      </c>
      <c r="N109" s="29"/>
      <c r="O109" s="36"/>
    </row>
    <row r="110" spans="1:15" ht="12.75" customHeight="1" x14ac:dyDescent="0.2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2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2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2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2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1.1541526550681395E-8</v>
      </c>
      <c r="L114" s="636">
        <f>IF(ISBLANK(I114),IF(ISNUMBER(J114)=FALSE,K114,J114),I114)</f>
        <v>1.1541526550681395E-8</v>
      </c>
      <c r="M114" s="29" t="s">
        <v>1488</v>
      </c>
      <c r="N114" s="29"/>
      <c r="O114" s="36"/>
    </row>
    <row r="115" spans="1:15" ht="12.75" customHeight="1" x14ac:dyDescent="0.2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1.2695679205749533E-7</v>
      </c>
      <c r="L115" s="636">
        <f t="shared" ref="L115:L136" si="4">IF(ISBLANK(I115),IF(ISNUMBER(J115)=FALSE,K115,J115),I115)</f>
        <v>1.2695679205749533E-7</v>
      </c>
      <c r="M115" s="29" t="s">
        <v>1488</v>
      </c>
      <c r="N115" s="29"/>
      <c r="O115" s="36"/>
    </row>
    <row r="116" spans="1:15" ht="12.75" customHeight="1" x14ac:dyDescent="0.2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4.91800198615723E-6</v>
      </c>
      <c r="L116" s="636">
        <f t="shared" si="4"/>
        <v>4.91800198615723E-6</v>
      </c>
      <c r="M116" s="29" t="s">
        <v>1488</v>
      </c>
      <c r="N116" s="29"/>
      <c r="O116" s="36"/>
    </row>
    <row r="117" spans="1:15" ht="12.75" customHeight="1" x14ac:dyDescent="0.2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8.8680928962836139E-7</v>
      </c>
      <c r="L117" s="636">
        <f t="shared" si="4"/>
        <v>8.8680928962836139E-7</v>
      </c>
      <c r="M117" s="29" t="s">
        <v>1488</v>
      </c>
      <c r="N117" s="29"/>
      <c r="O117" s="36"/>
    </row>
    <row r="118" spans="1:15" ht="12.75" customHeight="1" x14ac:dyDescent="0.2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1.9706873102852476E-6</v>
      </c>
      <c r="L118" s="636">
        <f t="shared" si="4"/>
        <v>1.9706873102852476E-6</v>
      </c>
      <c r="M118" s="29" t="s">
        <v>1488</v>
      </c>
      <c r="N118" s="29"/>
      <c r="O118" s="36"/>
    </row>
    <row r="119" spans="1:15" ht="12.75" customHeight="1" x14ac:dyDescent="0.2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3.2844788504754116E-7</v>
      </c>
      <c r="L119" s="636">
        <f t="shared" si="4"/>
        <v>3.2844788504754116E-7</v>
      </c>
      <c r="M119" s="29" t="s">
        <v>1488</v>
      </c>
      <c r="N119" s="29"/>
      <c r="O119" s="36"/>
    </row>
    <row r="120" spans="1:15" ht="12.75" customHeight="1" x14ac:dyDescent="0.2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1.893474429147487E-12</v>
      </c>
      <c r="L120" s="636">
        <f>IF(ISBLANK(I120),IF(ISNUMBER(J120)=FALSE,K120,J120),I120)</f>
        <v>1.893474429147487E-12</v>
      </c>
      <c r="M120" s="29" t="s">
        <v>1488</v>
      </c>
      <c r="N120" s="29"/>
      <c r="O120" s="36"/>
    </row>
    <row r="121" spans="1:15" ht="12.75" customHeight="1" x14ac:dyDescent="0.2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6.3022450457971401E-11</v>
      </c>
      <c r="L121" s="636">
        <f t="shared" si="4"/>
        <v>6.3022450457971401E-11</v>
      </c>
      <c r="M121" s="29" t="s">
        <v>1488</v>
      </c>
      <c r="N121" s="29"/>
      <c r="O121" s="36"/>
    </row>
    <row r="122" spans="1:15" ht="12.75" customHeight="1" x14ac:dyDescent="0.2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9.1840332849195498E-13</v>
      </c>
      <c r="L122" s="636">
        <f t="shared" si="4"/>
        <v>9.1840332849195498E-13</v>
      </c>
      <c r="M122" s="29" t="s">
        <v>1488</v>
      </c>
      <c r="N122" s="29"/>
      <c r="O122" s="36"/>
    </row>
    <row r="123" spans="1:15" ht="12.75" customHeight="1" x14ac:dyDescent="0.2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4.2270403804875319E-11</v>
      </c>
      <c r="L123" s="636">
        <f t="shared" si="4"/>
        <v>4.2270403804875319E-11</v>
      </c>
      <c r="M123" s="29" t="s">
        <v>1488</v>
      </c>
      <c r="N123" s="29"/>
      <c r="O123" s="36"/>
    </row>
    <row r="124" spans="1:15" ht="12.75" customHeight="1" x14ac:dyDescent="0.2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1.9185761529896352E-11</v>
      </c>
      <c r="L124" s="636">
        <f t="shared" si="4"/>
        <v>1.9185761529896352E-11</v>
      </c>
      <c r="M124" s="29" t="s">
        <v>1488</v>
      </c>
      <c r="N124" s="29"/>
      <c r="O124" s="36"/>
    </row>
    <row r="125" spans="1:15" ht="12.75" customHeight="1" x14ac:dyDescent="0.2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4.2161483400515841E-11</v>
      </c>
      <c r="L125" s="636">
        <f t="shared" si="4"/>
        <v>4.2161483400515841E-11</v>
      </c>
      <c r="M125" s="29" t="s">
        <v>1488</v>
      </c>
      <c r="N125" s="29"/>
      <c r="O125" s="36"/>
    </row>
    <row r="126" spans="1:15" ht="12.75" customHeight="1" x14ac:dyDescent="0.2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5.7610849776266043E-6</v>
      </c>
      <c r="L126" s="636">
        <f t="shared" si="4"/>
        <v>5.7610849776266043E-6</v>
      </c>
      <c r="M126" s="29" t="s">
        <v>1488</v>
      </c>
      <c r="N126" s="29"/>
      <c r="O126" s="36"/>
    </row>
    <row r="127" spans="1:15" ht="12.75" customHeight="1" x14ac:dyDescent="0.2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1.8970235933272708E-5</v>
      </c>
      <c r="L127" s="636">
        <f t="shared" si="4"/>
        <v>1.8970235933272708E-5</v>
      </c>
      <c r="M127" s="29" t="s">
        <v>1488</v>
      </c>
      <c r="N127" s="29"/>
      <c r="O127" s="36"/>
    </row>
    <row r="128" spans="1:15" ht="12.75" customHeight="1" x14ac:dyDescent="0.2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1.323307806240651E-5</v>
      </c>
      <c r="L128" s="636">
        <f t="shared" si="4"/>
        <v>1.323307806240651E-5</v>
      </c>
      <c r="M128" s="29" t="s">
        <v>1488</v>
      </c>
      <c r="N128" s="29"/>
      <c r="O128" s="36"/>
    </row>
    <row r="129" spans="1:15" ht="12.75" customHeight="1" x14ac:dyDescent="0.2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7.3604692909586206E-3</v>
      </c>
      <c r="L129" s="636">
        <f t="shared" si="4"/>
        <v>7.3604692909586206E-3</v>
      </c>
      <c r="M129" s="29" t="s">
        <v>1488</v>
      </c>
      <c r="N129" s="29"/>
      <c r="O129" s="36"/>
    </row>
    <row r="130" spans="1:15" ht="12.75" customHeight="1" x14ac:dyDescent="0.2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2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2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2.3927106760405139E-5</v>
      </c>
      <c r="L132" s="636">
        <f t="shared" si="4"/>
        <v>2.3927106760405139E-5</v>
      </c>
      <c r="M132" s="29" t="s">
        <v>1490</v>
      </c>
      <c r="N132" s="29"/>
      <c r="O132" s="36"/>
    </row>
    <row r="133" spans="1:15" ht="12.75" customHeight="1" x14ac:dyDescent="0.2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1.7409729390052175E-3</v>
      </c>
      <c r="L133" s="636">
        <f t="shared" si="4"/>
        <v>1.7409729390052175E-3</v>
      </c>
      <c r="M133" s="29" t="s">
        <v>1490</v>
      </c>
      <c r="N133" s="29"/>
      <c r="O133" s="36"/>
    </row>
    <row r="134" spans="1:15" ht="12.75" customHeight="1" x14ac:dyDescent="0.2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7.3455191670639692</v>
      </c>
      <c r="L134" s="636">
        <f t="shared" si="4"/>
        <v>7.3455191670639692</v>
      </c>
      <c r="M134" s="29" t="s">
        <v>1490</v>
      </c>
      <c r="N134" s="29"/>
      <c r="O134" s="36"/>
    </row>
    <row r="135" spans="1:15" ht="12.75" customHeight="1" x14ac:dyDescent="0.2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2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2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3.7735276288031836E-3</v>
      </c>
      <c r="L137" s="636">
        <f t="shared" ref="L137:L151" si="5">IF(ISBLANK(I137),IF(ISNUMBER(J137)=FALSE,K137,J137),I137)</f>
        <v>3.7735276288031836E-3</v>
      </c>
      <c r="M137" s="36" t="s">
        <v>4047</v>
      </c>
      <c r="N137" s="29"/>
      <c r="O137" s="36"/>
    </row>
    <row r="138" spans="1:15" ht="12.75" customHeight="1" x14ac:dyDescent="0.2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1.0222970376939818E-3</v>
      </c>
      <c r="L138" s="636">
        <f t="shared" si="5"/>
        <v>1.0222970376939818E-3</v>
      </c>
      <c r="M138" s="36" t="s">
        <v>4047</v>
      </c>
      <c r="N138" s="29"/>
      <c r="O138" s="36"/>
    </row>
    <row r="139" spans="1:15" ht="12.75" customHeight="1" x14ac:dyDescent="0.2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1.893474429147487E-10</v>
      </c>
      <c r="L139" s="636">
        <f t="shared" si="5"/>
        <v>1.893474429147487E-10</v>
      </c>
      <c r="M139" s="36" t="s">
        <v>4047</v>
      </c>
      <c r="N139" s="29"/>
      <c r="O139" s="36"/>
    </row>
    <row r="140" spans="1:15" ht="12.75" customHeight="1" x14ac:dyDescent="0.2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1.890673513739142E-10</v>
      </c>
      <c r="L140" s="636">
        <f t="shared" si="5"/>
        <v>1.890673513739142E-10</v>
      </c>
      <c r="M140" s="36" t="s">
        <v>4047</v>
      </c>
      <c r="N140" s="29"/>
      <c r="O140" s="36"/>
    </row>
    <row r="141" spans="1:15" ht="12.75" customHeight="1" x14ac:dyDescent="0.2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1.8368066569839099E-10</v>
      </c>
      <c r="L141" s="636">
        <f t="shared" si="5"/>
        <v>1.8368066569839099E-10</v>
      </c>
      <c r="M141" s="36" t="s">
        <v>4047</v>
      </c>
      <c r="N141" s="29"/>
      <c r="O141" s="36"/>
    </row>
    <row r="142" spans="1:15" ht="12.75" customHeight="1" x14ac:dyDescent="0.2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3.8661873187415758E-3</v>
      </c>
      <c r="L142" s="636">
        <f t="shared" si="5"/>
        <v>3.8661873187415758E-3</v>
      </c>
      <c r="M142" s="29" t="s">
        <v>1490</v>
      </c>
      <c r="N142" s="29"/>
      <c r="O142" s="36"/>
    </row>
    <row r="143" spans="1:15" ht="12.75" customHeight="1" x14ac:dyDescent="0.2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4.6712434275245704E-6</v>
      </c>
      <c r="L143" s="636">
        <f t="shared" si="5"/>
        <v>4.6712434275245704E-6</v>
      </c>
      <c r="M143" s="29" t="s">
        <v>1490</v>
      </c>
      <c r="N143" s="29"/>
      <c r="O143" s="36"/>
    </row>
    <row r="144" spans="1:15" ht="12.75" customHeight="1" x14ac:dyDescent="0.2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2.1135201902437659E-12</v>
      </c>
      <c r="L144" s="636">
        <f t="shared" si="5"/>
        <v>2.1135201902437659E-12</v>
      </c>
      <c r="M144" s="36" t="s">
        <v>4047</v>
      </c>
      <c r="N144" s="128"/>
      <c r="O144" s="36"/>
    </row>
    <row r="145" spans="1:15" ht="12.75" customHeight="1" x14ac:dyDescent="0.2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(L147*L148)/(L147+L148/((L69*FRorig.s2w)/L101))*L150</f>
        <v>3.8371523059792708E-12</v>
      </c>
      <c r="L145" s="636">
        <f t="shared" si="5"/>
        <v>3.8371523059792708E-12</v>
      </c>
      <c r="M145" s="36" t="s">
        <v>4047</v>
      </c>
      <c r="N145" s="29"/>
      <c r="O145" s="36"/>
    </row>
    <row r="146" spans="1:15" ht="12.75" customHeight="1" x14ac:dyDescent="0.2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(L147*L148)/(L147+L148/((L69*FRorig.s3w)/L106))*L151</f>
        <v>2.1080741700257921E-12</v>
      </c>
      <c r="L146" s="636">
        <f t="shared" si="5"/>
        <v>2.1080741700257921E-12</v>
      </c>
      <c r="M146" s="36" t="s">
        <v>4047</v>
      </c>
      <c r="N146" s="29"/>
      <c r="O146" s="36"/>
    </row>
    <row r="147" spans="1:15" ht="12.75" customHeight="1" x14ac:dyDescent="0.2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2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4.3455503205058606E-9</v>
      </c>
      <c r="L148" s="636">
        <f t="shared" si="5"/>
        <v>4.3455503205058606E-9</v>
      </c>
      <c r="M148" s="29" t="s">
        <v>1490</v>
      </c>
      <c r="N148" s="29" t="s">
        <v>1415</v>
      </c>
      <c r="O148" s="36"/>
    </row>
    <row r="149" spans="1:15" ht="12.75" customHeight="1" x14ac:dyDescent="0.2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2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2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2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2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2.6453105432102753E-8</v>
      </c>
      <c r="L153" s="636">
        <f t="shared" ref="L153:L173" si="6">IF(ISBLANK(I153),IF(ISNUMBER(J153)=FALSE,K153,J153),I153)</f>
        <v>2.6453105432102753E-8</v>
      </c>
      <c r="M153" s="29" t="s">
        <v>1488</v>
      </c>
      <c r="N153" s="29"/>
      <c r="O153" s="36"/>
    </row>
    <row r="154" spans="1:15" ht="12.75" customHeight="1" x14ac:dyDescent="0.2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2.4746177511986306E-10</v>
      </c>
      <c r="L154" s="636">
        <f t="shared" si="6"/>
        <v>2.4746177511986306E-10</v>
      </c>
      <c r="M154" s="29" t="s">
        <v>1488</v>
      </c>
      <c r="N154" s="29"/>
      <c r="O154" s="36"/>
    </row>
    <row r="155" spans="1:15" ht="12.75" customHeight="1" x14ac:dyDescent="0.2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6.077694390583737E-8</v>
      </c>
      <c r="L155" s="636">
        <f t="shared" si="6"/>
        <v>6.077694390583737E-8</v>
      </c>
      <c r="M155" s="29" t="s">
        <v>1488</v>
      </c>
      <c r="N155" s="29"/>
      <c r="O155" s="36"/>
    </row>
    <row r="156" spans="1:15" ht="12.75" customHeight="1" x14ac:dyDescent="0.2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4.3682943293576994E-8</v>
      </c>
      <c r="L156" s="636">
        <f t="shared" si="6"/>
        <v>4.3682943293576994E-8</v>
      </c>
      <c r="M156" s="29" t="s">
        <v>1488</v>
      </c>
      <c r="N156" s="29"/>
      <c r="O156" s="36"/>
    </row>
    <row r="157" spans="1:15" ht="12.75" customHeight="1" x14ac:dyDescent="0.2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5.1903703961662373E-8</v>
      </c>
      <c r="L157" s="636">
        <f t="shared" si="6"/>
        <v>5.1903703961662373E-8</v>
      </c>
      <c r="M157" s="36" t="s">
        <v>4047</v>
      </c>
      <c r="N157" s="325"/>
      <c r="O157" s="36"/>
    </row>
    <row r="158" spans="1:15" ht="12.75" customHeight="1" x14ac:dyDescent="0.2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2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2.20083250063939E-8</v>
      </c>
      <c r="L159" s="636">
        <f t="shared" si="6"/>
        <v>2.20083250063939E-8</v>
      </c>
      <c r="M159" s="36" t="s">
        <v>4047</v>
      </c>
      <c r="N159" s="325"/>
      <c r="O159" s="36"/>
    </row>
    <row r="160" spans="1:15" ht="12.75" customHeight="1" x14ac:dyDescent="0.2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2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2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2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2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2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2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2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2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2.7455612334645883E-8</v>
      </c>
      <c r="L168" s="636">
        <f t="shared" si="6"/>
        <v>2.7455612334645883E-8</v>
      </c>
      <c r="M168" s="36" t="s">
        <v>4047</v>
      </c>
      <c r="N168" s="29"/>
      <c r="O168" s="36"/>
    </row>
    <row r="169" spans="1:15" ht="12.75" customHeight="1" x14ac:dyDescent="0.2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1.0414796134741721E-9</v>
      </c>
      <c r="L169" s="636">
        <f t="shared" si="6"/>
        <v>1.0414796134741721E-9</v>
      </c>
      <c r="M169" s="36" t="s">
        <v>4047</v>
      </c>
      <c r="N169" s="29"/>
      <c r="O169" s="36"/>
    </row>
    <row r="170" spans="1:15" ht="12.75" customHeight="1" x14ac:dyDescent="0.2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2.7484030017578716E-8</v>
      </c>
      <c r="L170" s="636">
        <f t="shared" si="6"/>
        <v>2.7484030017578716E-8</v>
      </c>
      <c r="M170" s="36" t="s">
        <v>4047</v>
      </c>
      <c r="N170" s="29"/>
      <c r="O170" s="36"/>
    </row>
    <row r="171" spans="1:15" ht="12.75" customHeight="1" x14ac:dyDescent="0.2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1.0485652442030529E-9</v>
      </c>
      <c r="L171" s="636">
        <f t="shared" si="6"/>
        <v>1.0485652442030529E-9</v>
      </c>
      <c r="M171" s="36" t="s">
        <v>4047</v>
      </c>
      <c r="N171" s="29"/>
      <c r="O171" s="36"/>
    </row>
    <row r="172" spans="1:15" ht="12.75" customHeight="1" x14ac:dyDescent="0.2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2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2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2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4.1985331810591978E-9</v>
      </c>
      <c r="L175" s="636">
        <f t="shared" ref="L175:L177" si="7">IF(ISBLANK(I175),IF(ISNUMBER(J175)=FALSE,K175,J175),I175)</f>
        <v>4.1985331810591978E-9</v>
      </c>
      <c r="M175" s="29" t="s">
        <v>1488</v>
      </c>
      <c r="N175" s="29"/>
      <c r="O175" s="36"/>
    </row>
    <row r="176" spans="1:15" ht="12.75" customHeight="1" x14ac:dyDescent="0.2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1.9120199778154223E-9</v>
      </c>
      <c r="L176" s="636">
        <f t="shared" si="7"/>
        <v>1.9120199778154223E-9</v>
      </c>
      <c r="M176" s="29" t="s">
        <v>1488</v>
      </c>
      <c r="N176" s="29"/>
      <c r="O176" s="36"/>
    </row>
    <row r="177" spans="1:15" ht="12.75" customHeight="1" x14ac:dyDescent="0.2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4.2017408811478684E-9</v>
      </c>
      <c r="L177" s="636">
        <f t="shared" si="7"/>
        <v>4.2017408811478684E-9</v>
      </c>
      <c r="M177" s="29" t="s">
        <v>1488</v>
      </c>
      <c r="N177" s="29"/>
      <c r="O177" s="36"/>
    </row>
    <row r="178" spans="1:15" ht="12.75" customHeight="1" x14ac:dyDescent="0.2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3.8168483464174528E-10</v>
      </c>
      <c r="L178" s="636">
        <f t="shared" ref="L178:L180" si="8">IF(ISBLANK(I178),IF(ISNUMBER(J178)=FALSE,K178,J178),I178)</f>
        <v>3.8168483464174528E-10</v>
      </c>
      <c r="M178" s="29" t="s">
        <v>1488</v>
      </c>
      <c r="N178" s="29"/>
      <c r="O178" s="36"/>
    </row>
    <row r="179" spans="1:15" ht="12.75" customHeight="1" x14ac:dyDescent="0.2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1.7381999798322021E-10</v>
      </c>
      <c r="L179" s="636">
        <f t="shared" si="8"/>
        <v>1.7381999798322021E-10</v>
      </c>
      <c r="M179" s="29" t="s">
        <v>1488</v>
      </c>
      <c r="N179" s="29"/>
      <c r="O179" s="36"/>
    </row>
    <row r="180" spans="1:15" ht="12.75" customHeight="1" x14ac:dyDescent="0.2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3.8197644374071538E-10</v>
      </c>
      <c r="L180" s="636">
        <f t="shared" si="8"/>
        <v>3.8197644374071538E-10</v>
      </c>
      <c r="M180" s="29" t="s">
        <v>1488</v>
      </c>
      <c r="N180" s="29"/>
      <c r="O180" s="36"/>
    </row>
    <row r="181" spans="1:15" ht="12.75" customHeight="1" x14ac:dyDescent="0.2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2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2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2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2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2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2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2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2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2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2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2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2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9.0459815058013851E-6</v>
      </c>
      <c r="L193" s="636">
        <f t="shared" ref="L193:L217" si="11">IF(ISBLANK(I193),IF(ISNUMBER(J193)=FALSE,K193,J193),I193)</f>
        <v>9.0459815058013851E-6</v>
      </c>
      <c r="M193" s="29" t="s">
        <v>1488</v>
      </c>
      <c r="N193" s="29"/>
      <c r="O193" s="36"/>
    </row>
    <row r="194" spans="1:15" ht="12.75" customHeight="1" x14ac:dyDescent="0.2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8.6883628443981305E-8</v>
      </c>
      <c r="L194" s="636">
        <f>IF(ISBLANK(I194),IF(ISNUMBER(J194)=FALSE,K194,J194),I194)</f>
        <v>8.6883628443981305E-8</v>
      </c>
      <c r="M194" s="29" t="s">
        <v>1488</v>
      </c>
      <c r="N194" s="29"/>
      <c r="O194" s="36"/>
    </row>
    <row r="195" spans="1:15" ht="12.75" customHeight="1" x14ac:dyDescent="0.2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8.6755106141331973E-8</v>
      </c>
      <c r="L195" s="636">
        <f t="shared" si="11"/>
        <v>8.6755106141331973E-8</v>
      </c>
      <c r="M195" s="29" t="s">
        <v>1488</v>
      </c>
      <c r="N195" s="29"/>
      <c r="O195" s="36"/>
    </row>
    <row r="196" spans="1:15" ht="12.75" customHeight="1" x14ac:dyDescent="0.2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8.6844901228364787E-8</v>
      </c>
      <c r="L196" s="636">
        <f t="shared" si="11"/>
        <v>8.6844901228364787E-8</v>
      </c>
      <c r="M196" s="29" t="s">
        <v>1488</v>
      </c>
      <c r="N196" s="29"/>
      <c r="O196" s="36"/>
    </row>
    <row r="197" spans="1:15" ht="12.75" customHeight="1" x14ac:dyDescent="0.2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1.254003191179276E-8</v>
      </c>
      <c r="L197" s="636">
        <f t="shared" si="11"/>
        <v>1.254003191179276E-8</v>
      </c>
      <c r="M197" s="29" t="s">
        <v>1488</v>
      </c>
      <c r="N197" s="29"/>
      <c r="O197" s="36"/>
    </row>
    <row r="198" spans="1:15" ht="12.75" customHeight="1" x14ac:dyDescent="0.2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1.0580096758225705E-8</v>
      </c>
      <c r="L198" s="636">
        <f t="shared" si="11"/>
        <v>1.0580096758225705E-8</v>
      </c>
      <c r="M198" s="29" t="s">
        <v>1488</v>
      </c>
      <c r="N198" s="29"/>
      <c r="O198" s="36"/>
    </row>
    <row r="199" spans="1:15" ht="12.75" customHeight="1" x14ac:dyDescent="0.2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4.3486201567445368E-8</v>
      </c>
      <c r="L199" s="636">
        <f t="shared" si="11"/>
        <v>4.3486201567445368E-8</v>
      </c>
      <c r="M199" s="29" t="s">
        <v>1488</v>
      </c>
      <c r="N199" s="29"/>
      <c r="O199" s="36"/>
    </row>
    <row r="200" spans="1:15" ht="12.75" customHeight="1" x14ac:dyDescent="0.2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4.3469483354178676E-8</v>
      </c>
      <c r="L200" s="636">
        <f t="shared" si="11"/>
        <v>4.3469483354178676E-8</v>
      </c>
      <c r="M200" s="29" t="s">
        <v>1488</v>
      </c>
      <c r="N200" s="29"/>
      <c r="O200" s="36"/>
    </row>
    <row r="201" spans="1:15" ht="12.75" customHeight="1" x14ac:dyDescent="0.2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4.3486225145605207E-8</v>
      </c>
      <c r="L201" s="636">
        <f t="shared" si="11"/>
        <v>4.3486225145605207E-8</v>
      </c>
      <c r="M201" s="29" t="s">
        <v>1488</v>
      </c>
      <c r="N201" s="29"/>
      <c r="O201" s="36"/>
    </row>
    <row r="202" spans="1:15" ht="12.75" customHeight="1" x14ac:dyDescent="0.2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2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9.0456151799195571E-6</v>
      </c>
      <c r="L203" s="636">
        <f t="shared" si="11"/>
        <v>9.0456151799195571E-6</v>
      </c>
      <c r="M203" s="36" t="s">
        <v>1488</v>
      </c>
      <c r="N203" s="29"/>
      <c r="O203" s="36"/>
    </row>
    <row r="204" spans="1:15" ht="12.75" customHeight="1" x14ac:dyDescent="0.2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2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2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8.6883628443981305E-8</v>
      </c>
      <c r="L206" s="636">
        <f>IF(ISBLANK(I206),IF(ISNUMBER(J206)=FALSE,K206,J206),I206)</f>
        <v>8.6883628443981305E-8</v>
      </c>
      <c r="M206" s="36" t="s">
        <v>1488</v>
      </c>
      <c r="N206" s="29"/>
      <c r="O206" s="36"/>
    </row>
    <row r="207" spans="1:15" ht="12.75" customHeight="1" x14ac:dyDescent="0.2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8.6755106141331973E-8</v>
      </c>
      <c r="L207" s="636">
        <f t="shared" si="11"/>
        <v>8.6755106141331973E-8</v>
      </c>
      <c r="M207" s="36" t="s">
        <v>1488</v>
      </c>
      <c r="N207" s="29"/>
      <c r="O207" s="36"/>
    </row>
    <row r="208" spans="1:15" ht="12.75" customHeight="1" x14ac:dyDescent="0.2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8.6844901228364787E-8</v>
      </c>
      <c r="L208" s="636">
        <f t="shared" si="11"/>
        <v>8.6844901228364787E-8</v>
      </c>
      <c r="M208" s="36" t="s">
        <v>1488</v>
      </c>
      <c r="N208" s="29"/>
      <c r="O208" s="36"/>
    </row>
    <row r="209" spans="1:15" ht="12.75" customHeight="1" x14ac:dyDescent="0.2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2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2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2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2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9.6658035166392018E-9</v>
      </c>
      <c r="L213" s="636">
        <f t="shared" si="11"/>
        <v>9.6658035166392018E-9</v>
      </c>
      <c r="M213" s="36" t="s">
        <v>1488</v>
      </c>
      <c r="N213" s="29"/>
      <c r="O213" s="36"/>
    </row>
    <row r="214" spans="1:15" ht="12.75" customHeight="1" x14ac:dyDescent="0.2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9.6658035166392018E-9</v>
      </c>
      <c r="L214" s="636">
        <f t="shared" si="11"/>
        <v>9.6658035166392018E-9</v>
      </c>
      <c r="M214" s="36" t="s">
        <v>1488</v>
      </c>
      <c r="N214" s="29"/>
      <c r="O214" s="36"/>
    </row>
    <row r="215" spans="1:15" ht="12.75" customHeight="1" x14ac:dyDescent="0.2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4.3455503205058602E-8</v>
      </c>
      <c r="L215" s="636">
        <f t="shared" si="11"/>
        <v>4.3455503205058602E-8</v>
      </c>
      <c r="M215" s="36" t="s">
        <v>1488</v>
      </c>
      <c r="N215" s="29"/>
      <c r="O215" s="36"/>
    </row>
    <row r="216" spans="1:15" ht="12.75" customHeight="1" x14ac:dyDescent="0.2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4.3455503205058602E-8</v>
      </c>
      <c r="L216" s="636">
        <f t="shared" si="11"/>
        <v>4.3455503205058602E-8</v>
      </c>
      <c r="M216" s="36" t="s">
        <v>1488</v>
      </c>
      <c r="N216" s="29"/>
      <c r="O216" s="36"/>
    </row>
    <row r="217" spans="1:15" ht="12.75" customHeight="1" x14ac:dyDescent="0.2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4.3455503205058602E-8</v>
      </c>
      <c r="L217" s="636">
        <f t="shared" si="11"/>
        <v>4.3455503205058602E-8</v>
      </c>
      <c r="M217" s="36" t="s">
        <v>1488</v>
      </c>
      <c r="N217" s="29"/>
      <c r="O217" s="36"/>
    </row>
    <row r="218" spans="1:15" ht="12.75" customHeight="1" x14ac:dyDescent="0.2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2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2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2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2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2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2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2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223" transitionEvaluation="1" transitionEntry="1" codeName="Sheet4"/>
  <dimension ref="A1:O414"/>
  <sheetViews>
    <sheetView topLeftCell="A223" zoomScaleNormal="100" workbookViewId="0">
      <selection activeCell="K253" sqref="K253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customWidth="1"/>
    <col min="8" max="8" width="10.7109375" style="79" customWidth="1"/>
    <col min="9" max="12" width="9.140625" style="644" customWidth="1"/>
    <col min="13" max="13" width="9.140625" customWidth="1"/>
    <col min="14" max="14" width="83" bestFit="1" customWidth="1"/>
    <col min="15" max="15" width="2.7109375" customWidth="1"/>
  </cols>
  <sheetData>
    <row r="1" spans="1:15" ht="12.75" customHeight="1" x14ac:dyDescent="0.2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2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2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2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2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2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2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2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2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2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2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2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2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2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2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2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2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2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2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2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2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2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2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2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2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2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2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2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2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2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2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2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2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2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2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2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2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2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2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2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2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2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2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0.97607289323959479</v>
      </c>
      <c r="L46" s="636">
        <f>IF(ISBLANK(I46),IF(ISNUMBER(J46)=FALSE,K46,J46),I46)</f>
        <v>0.97607289323959479</v>
      </c>
      <c r="M46" s="36" t="s">
        <v>486</v>
      </c>
      <c r="N46" s="36"/>
      <c r="O46" s="36"/>
    </row>
    <row r="47" spans="1:15" ht="12.75" customHeight="1" x14ac:dyDescent="0.2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3.9711135849005027E-4</v>
      </c>
      <c r="L47" s="636">
        <f>IF(ISBLANK(I47),IF(ISNUMBER(J47)=FALSE,K47,J47),I47)</f>
        <v>3.9711135849005027E-4</v>
      </c>
      <c r="M47" s="36" t="s">
        <v>486</v>
      </c>
      <c r="N47" s="29" t="s">
        <v>2185</v>
      </c>
      <c r="O47" s="36"/>
    </row>
    <row r="48" spans="1:15" ht="12.75" customHeight="1" x14ac:dyDescent="0.2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2.3529995401915089E-2</v>
      </c>
      <c r="L48" s="636">
        <f>IF(ISBLANK(I48),IF(ISNUMBER(J48)=FALSE,K48,J48),I48)</f>
        <v>2.3529995401915089E-2</v>
      </c>
      <c r="M48" s="36" t="s">
        <v>486</v>
      </c>
      <c r="N48" s="29" t="s">
        <v>2185</v>
      </c>
      <c r="O48" s="36"/>
    </row>
    <row r="49" spans="1:15" ht="12.75" customHeight="1" x14ac:dyDescent="0.2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4.9158665603902462E-8</v>
      </c>
      <c r="L49" s="636">
        <f>IF(ISBLANK(I49),IF(ISNUMBER(J49)=FALSE,K49,J49),I49)</f>
        <v>4.9158665603902462E-8</v>
      </c>
      <c r="M49" s="36" t="s">
        <v>486</v>
      </c>
      <c r="N49" s="29"/>
      <c r="O49" s="36"/>
    </row>
    <row r="50" spans="1:15" ht="12.75" customHeight="1" x14ac:dyDescent="0.2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2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20342300.315913603</v>
      </c>
      <c r="L51" s="636">
        <f t="shared" ref="L51:L58" si="2">IF(ISBLANK(I51),IF(ISNUMBER(J51)=FALSE,K51,J51),I51)</f>
        <v>20342300.315913603</v>
      </c>
      <c r="M51" s="36" t="s">
        <v>4051</v>
      </c>
      <c r="N51" s="29"/>
      <c r="O51" s="36"/>
    </row>
    <row r="52" spans="1:15" ht="12.75" customHeight="1" x14ac:dyDescent="0.2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1205340070.6487617</v>
      </c>
      <c r="L52" s="636">
        <f t="shared" si="2"/>
        <v>1205340070.6487617</v>
      </c>
      <c r="M52" s="36" t="s">
        <v>4052</v>
      </c>
      <c r="N52" s="29" t="s">
        <v>924</v>
      </c>
      <c r="O52" s="36"/>
    </row>
    <row r="53" spans="1:15" ht="12.75" customHeight="1" x14ac:dyDescent="0.2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0.99923939228777903</v>
      </c>
      <c r="L53" s="636">
        <f t="shared" si="2"/>
        <v>0.99923939228777903</v>
      </c>
      <c r="M53" s="36" t="s">
        <v>486</v>
      </c>
      <c r="N53" s="29"/>
      <c r="O53" s="36"/>
    </row>
    <row r="54" spans="1:15" ht="12.75" customHeight="1" x14ac:dyDescent="0.2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0.99923939228777903</v>
      </c>
      <c r="L54" s="636">
        <f t="shared" si="2"/>
        <v>0.99923939228777903</v>
      </c>
      <c r="M54" s="36" t="s">
        <v>486</v>
      </c>
      <c r="N54" s="29"/>
      <c r="O54" s="36"/>
    </row>
    <row r="55" spans="1:15" ht="12.75" customHeight="1" x14ac:dyDescent="0.2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99.435216023782488</v>
      </c>
      <c r="L55" s="636">
        <f t="shared" si="2"/>
        <v>99.435216023782488</v>
      </c>
      <c r="M55" s="36" t="s">
        <v>1498</v>
      </c>
      <c r="N55" s="29"/>
      <c r="O55" s="36"/>
    </row>
    <row r="56" spans="1:15" ht="12.75" customHeight="1" x14ac:dyDescent="0.2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99.435216023782488</v>
      </c>
      <c r="L56" s="636">
        <f t="shared" si="2"/>
        <v>99.435216023782488</v>
      </c>
      <c r="M56" s="36" t="s">
        <v>1498</v>
      </c>
      <c r="N56" s="29"/>
      <c r="O56" s="36"/>
    </row>
    <row r="57" spans="1:15" ht="12.75" customHeight="1" x14ac:dyDescent="0.2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2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2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2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2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264.01059655875667</v>
      </c>
      <c r="L61" s="636">
        <f>IF(ISBLANK(I61),IF(ISNUMBER(J61)=FALSE,K61,J61),I61)</f>
        <v>264.01059655875667</v>
      </c>
      <c r="M61" s="36" t="s">
        <v>1498</v>
      </c>
      <c r="N61" s="29"/>
      <c r="O61" s="36"/>
    </row>
    <row r="62" spans="1:15" ht="12.75" customHeight="1" x14ac:dyDescent="0.2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264.01059655875667</v>
      </c>
      <c r="L62" s="636">
        <f>IF(ISBLANK(I62),IF(ISNUMBER(J62)=FALSE,K62,J62),I62)</f>
        <v>264.01059655875667</v>
      </c>
      <c r="M62" s="36" t="s">
        <v>1498</v>
      </c>
      <c r="N62" s="29"/>
      <c r="O62" s="36"/>
    </row>
    <row r="63" spans="1:15" ht="12.75" customHeight="1" x14ac:dyDescent="0.2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2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2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26.231033926700718</v>
      </c>
      <c r="L65" s="636">
        <f t="shared" ref="L65:L72" si="3">IF(ISBLANK(I65),IF(ISNUMBER(J65)=FALSE,K65,J65),I65)</f>
        <v>26.231033926700718</v>
      </c>
      <c r="M65" s="36" t="s">
        <v>486</v>
      </c>
      <c r="N65" s="29"/>
      <c r="O65" s="36"/>
    </row>
    <row r="66" spans="1:15" ht="12.75" customHeight="1" x14ac:dyDescent="0.2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50.862067853401449</v>
      </c>
      <c r="L66" s="636">
        <f t="shared" si="3"/>
        <v>50.862067853401449</v>
      </c>
      <c r="M66" s="36" t="s">
        <v>1498</v>
      </c>
      <c r="N66" s="29"/>
      <c r="O66" s="36"/>
    </row>
    <row r="67" spans="1:15" ht="12.75" customHeight="1" x14ac:dyDescent="0.2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2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30.955150979220729</v>
      </c>
      <c r="L68" s="636">
        <f t="shared" si="3"/>
        <v>30.955150979220729</v>
      </c>
      <c r="M68" s="29" t="s">
        <v>486</v>
      </c>
      <c r="N68" s="29"/>
      <c r="O68" s="36"/>
    </row>
    <row r="69" spans="1:15" ht="12.75" customHeight="1" x14ac:dyDescent="0.2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6.4609602496933077E-3</v>
      </c>
      <c r="L69" s="636">
        <f t="shared" si="3"/>
        <v>6.4609602496933077E-3</v>
      </c>
      <c r="M69" s="29" t="s">
        <v>486</v>
      </c>
      <c r="N69" s="29"/>
      <c r="O69" s="36"/>
    </row>
    <row r="70" spans="1:15" ht="12.75" customHeight="1" x14ac:dyDescent="0.2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0.99353903943270516</v>
      </c>
      <c r="L70" s="636">
        <f t="shared" si="3"/>
        <v>0.99353903943270516</v>
      </c>
      <c r="M70" s="5" t="s">
        <v>486</v>
      </c>
      <c r="N70" s="29"/>
      <c r="O70" s="36"/>
    </row>
    <row r="71" spans="1:15" ht="12.75" customHeight="1" x14ac:dyDescent="0.2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20.503433979592884</v>
      </c>
      <c r="L71" s="636">
        <f t="shared" si="3"/>
        <v>20.503433979592884</v>
      </c>
      <c r="M71" s="36" t="s">
        <v>1498</v>
      </c>
      <c r="N71" s="29"/>
      <c r="O71" s="36"/>
    </row>
    <row r="72" spans="1:15" ht="12.75" customHeight="1" x14ac:dyDescent="0.2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2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2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2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2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4.7749757215861921E-6</v>
      </c>
      <c r="L76" s="636">
        <f t="shared" ref="L76:L89" si="4">IF(ISBLANK(I76),IF(ISNUMBER(J76)=FALSE,K76,J76),I76)</f>
        <v>4.7749757215861921E-6</v>
      </c>
      <c r="M76" s="29" t="s">
        <v>1488</v>
      </c>
      <c r="N76" s="29"/>
      <c r="O76" s="36"/>
    </row>
    <row r="77" spans="1:15" ht="12.75" customHeight="1" x14ac:dyDescent="0.2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3.3993581694431856E-6</v>
      </c>
      <c r="L77" s="636">
        <f t="shared" si="4"/>
        <v>3.3993581694431856E-6</v>
      </c>
      <c r="M77" s="29" t="s">
        <v>1488</v>
      </c>
      <c r="N77" s="29"/>
      <c r="O77" s="36"/>
    </row>
    <row r="78" spans="1:15" ht="12.75" customHeight="1" x14ac:dyDescent="0.2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1.83680665698391E-12</v>
      </c>
      <c r="L78" s="636">
        <f t="shared" si="4"/>
        <v>1.83680665698391E-12</v>
      </c>
      <c r="M78" s="29" t="s">
        <v>1488</v>
      </c>
      <c r="N78" s="29"/>
      <c r="O78" s="36"/>
    </row>
    <row r="79" spans="1:15" ht="12.75" customHeight="1" x14ac:dyDescent="0.2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4.2270403804875319E-11</v>
      </c>
      <c r="L79" s="636">
        <f t="shared" si="4"/>
        <v>4.2270403804875319E-11</v>
      </c>
      <c r="M79" s="29" t="s">
        <v>1488</v>
      </c>
      <c r="N79" s="29"/>
      <c r="O79" s="36"/>
    </row>
    <row r="80" spans="1:15" ht="12.75" customHeight="1" x14ac:dyDescent="0.2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5.7764193011923899E-6</v>
      </c>
      <c r="L80" s="636">
        <f t="shared" si="4"/>
        <v>5.7764193011923899E-6</v>
      </c>
      <c r="M80" s="29" t="s">
        <v>1488</v>
      </c>
      <c r="N80" s="29"/>
      <c r="O80" s="36"/>
    </row>
    <row r="81" spans="1:15" ht="12.75" customHeight="1" x14ac:dyDescent="0.2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1.838451986374086E-5</v>
      </c>
      <c r="L81" s="636">
        <f t="shared" si="4"/>
        <v>1.838451986374086E-5</v>
      </c>
      <c r="M81" s="29" t="s">
        <v>1488</v>
      </c>
      <c r="N81" s="29"/>
      <c r="O81" s="36"/>
    </row>
    <row r="82" spans="1:15" ht="12.75" customHeight="1" x14ac:dyDescent="0.2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1.2632027669308876E-5</v>
      </c>
      <c r="L82" s="636">
        <f t="shared" si="4"/>
        <v>1.2632027669308876E-5</v>
      </c>
      <c r="M82" s="29" t="s">
        <v>1488</v>
      </c>
      <c r="N82" s="29"/>
      <c r="O82" s="36"/>
    </row>
    <row r="83" spans="1:15" ht="12.75" customHeight="1" x14ac:dyDescent="0.2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7.3598682405655235E-3</v>
      </c>
      <c r="L83" s="636">
        <f t="shared" si="4"/>
        <v>7.3598682405655235E-3</v>
      </c>
      <c r="M83" s="29" t="s">
        <v>1488</v>
      </c>
      <c r="N83" s="29"/>
      <c r="O83" s="36"/>
    </row>
    <row r="84" spans="1:15" ht="12.75" customHeight="1" x14ac:dyDescent="0.2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2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2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2.3927106760405139E-5</v>
      </c>
      <c r="L86" s="636">
        <f t="shared" si="4"/>
        <v>2.3927106760405139E-5</v>
      </c>
      <c r="M86" s="29" t="s">
        <v>1490</v>
      </c>
      <c r="N86" s="29"/>
      <c r="O86" s="36"/>
    </row>
    <row r="87" spans="1:15" ht="12.75" customHeight="1" x14ac:dyDescent="0.2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1.7409729390052175E-3</v>
      </c>
      <c r="L87" s="636">
        <f t="shared" si="4"/>
        <v>1.7409729390052175E-3</v>
      </c>
      <c r="M87" s="29" t="s">
        <v>1490</v>
      </c>
      <c r="N87" s="29"/>
      <c r="O87" s="36"/>
    </row>
    <row r="88" spans="1:15" ht="12.75" customHeight="1" x14ac:dyDescent="0.2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7.3455191670639692</v>
      </c>
      <c r="L88" s="636">
        <f t="shared" si="4"/>
        <v>7.3455191670639692</v>
      </c>
      <c r="M88" s="29" t="s">
        <v>1490</v>
      </c>
      <c r="N88" s="29"/>
      <c r="O88" s="36"/>
    </row>
    <row r="89" spans="1:15" ht="12.75" customHeight="1" x14ac:dyDescent="0.2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2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2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2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3.7735321419799942E-3</v>
      </c>
      <c r="L92" s="636">
        <f t="shared" si="5"/>
        <v>3.7735321419799942E-3</v>
      </c>
      <c r="M92" s="36" t="s">
        <v>4047</v>
      </c>
      <c r="N92" s="29"/>
      <c r="O92" s="36"/>
    </row>
    <row r="93" spans="1:15" ht="12.75" customHeight="1" x14ac:dyDescent="0.2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1.0222970376939818E-3</v>
      </c>
      <c r="L93" s="636">
        <f>IF(ISBLANK(I93),IF(ISNUMBER(J93)=FALSE,K93,J93),I93)</f>
        <v>1.0222970376939818E-3</v>
      </c>
      <c r="M93" s="36" t="s">
        <v>4047</v>
      </c>
      <c r="N93" s="29"/>
      <c r="O93" s="36"/>
    </row>
    <row r="94" spans="1:15" ht="12.75" customHeight="1" x14ac:dyDescent="0.2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1.8368066569839099E-10</v>
      </c>
      <c r="L94" s="636">
        <f>IF(ISBLANK(I94),IF(ISNUMBER(J94)=FALSE,K94,J94),I94)</f>
        <v>1.8368066569839099E-10</v>
      </c>
      <c r="M94" s="36" t="s">
        <v>4047</v>
      </c>
      <c r="N94" s="29"/>
      <c r="O94" s="36"/>
    </row>
    <row r="95" spans="1:15" ht="12.75" customHeight="1" x14ac:dyDescent="0.2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2.1135201902437659E-12</v>
      </c>
      <c r="L95" s="636">
        <f>IF(ISBLANK(I95),IF(ISNUMBER(J95)=FALSE,K95,J95),I95)</f>
        <v>2.1135201902437659E-12</v>
      </c>
      <c r="M95" s="36" t="s">
        <v>4047</v>
      </c>
      <c r="N95" s="29"/>
      <c r="O95" s="36"/>
    </row>
    <row r="96" spans="1:15" ht="12.75" customHeight="1" x14ac:dyDescent="0.2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3.8661873187415758E-3</v>
      </c>
      <c r="L96" s="636">
        <f t="shared" si="5"/>
        <v>3.8661873187415758E-3</v>
      </c>
      <c r="M96" s="29" t="s">
        <v>1490</v>
      </c>
      <c r="N96" s="29"/>
      <c r="O96" s="36"/>
    </row>
    <row r="97" spans="1:15" ht="12.75" customHeight="1" x14ac:dyDescent="0.2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4.6712434275245704E-6</v>
      </c>
      <c r="L97" s="636">
        <f t="shared" si="5"/>
        <v>4.6712434275245704E-6</v>
      </c>
      <c r="M97" s="29" t="s">
        <v>1490</v>
      </c>
      <c r="N97" s="29"/>
      <c r="O97" s="36"/>
    </row>
    <row r="98" spans="1:15" ht="12.75" customHeight="1" x14ac:dyDescent="0.2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2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2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4.3455503205058606E-9</v>
      </c>
      <c r="L100" s="636">
        <f>IF(ISBLANK(I100),IF(ISNUMBER(J100)=FALSE,K100,J100),I100)</f>
        <v>4.3455503205058606E-9</v>
      </c>
      <c r="M100" s="29" t="s">
        <v>1490</v>
      </c>
      <c r="N100" s="29" t="s">
        <v>1415</v>
      </c>
      <c r="O100" s="36"/>
    </row>
    <row r="101" spans="1:15" ht="12.75" customHeight="1" x14ac:dyDescent="0.2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2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2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1.6497451674657539E-11</v>
      </c>
      <c r="L103" s="636">
        <f t="shared" ref="L103:L109" si="6">IF(ISBLANK(I103),IF(ISNUMBER(J103)=FALSE,K103,J103),I103)</f>
        <v>1.6497451674657539E-11</v>
      </c>
      <c r="M103" s="29" t="s">
        <v>1488</v>
      </c>
      <c r="N103" s="29"/>
      <c r="O103" s="36"/>
    </row>
    <row r="104" spans="1:15" ht="12.75" customHeight="1" x14ac:dyDescent="0.2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4.4594252600848833E-8</v>
      </c>
      <c r="L104" s="636">
        <f t="shared" si="6"/>
        <v>4.4594252600848833E-8</v>
      </c>
      <c r="M104" s="29" t="s">
        <v>1488</v>
      </c>
      <c r="N104" s="29"/>
      <c r="O104" s="36"/>
    </row>
    <row r="105" spans="1:15" ht="12.75" customHeight="1" x14ac:dyDescent="0.2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2.20083250063939E-8</v>
      </c>
      <c r="L105" s="636">
        <f t="shared" si="6"/>
        <v>2.20083250063939E-8</v>
      </c>
      <c r="M105" s="36" t="s">
        <v>4047</v>
      </c>
      <c r="N105" s="325"/>
      <c r="O105" s="36"/>
    </row>
    <row r="106" spans="1:15" ht="12.75" customHeight="1" x14ac:dyDescent="0.2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2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2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2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2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2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2.7484030017578716E-8</v>
      </c>
      <c r="L111" s="636">
        <f>IF(ISBLANK(I111),IF(ISNUMBER(J111)=FALSE,K111,J111),I111)</f>
        <v>2.7484030017578716E-8</v>
      </c>
      <c r="M111" s="36" t="s">
        <v>4047</v>
      </c>
      <c r="N111" s="29"/>
      <c r="O111" s="36"/>
    </row>
    <row r="112" spans="1:15" ht="12.75" customHeight="1" x14ac:dyDescent="0.2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1.0485652442030529E-9</v>
      </c>
      <c r="L112" s="636">
        <f>IF(ISBLANK(I112),IF(ISNUMBER(J112)=FALSE,K112,J112),I112)</f>
        <v>1.0485652442030529E-9</v>
      </c>
      <c r="M112" s="36" t="s">
        <v>4047</v>
      </c>
      <c r="N112" s="29"/>
      <c r="O112" s="36"/>
    </row>
    <row r="113" spans="1:15" ht="12.75" customHeight="1" x14ac:dyDescent="0.2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2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2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2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4.580218015700943E-9</v>
      </c>
      <c r="L116" s="636">
        <f>IF(ISBLANK(I116),IF(ISNUMBER(J116)=FALSE,K116,J116),I116)</f>
        <v>4.580218015700943E-9</v>
      </c>
      <c r="M116" s="29" t="s">
        <v>1488</v>
      </c>
      <c r="N116" s="29"/>
      <c r="O116" s="36"/>
    </row>
    <row r="117" spans="1:15" ht="12.75" customHeight="1" x14ac:dyDescent="0.2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2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2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2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2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2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2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9.0459815058013851E-6</v>
      </c>
      <c r="L123" s="636">
        <f t="shared" ref="L123:L138" si="7">IF(ISBLANK(I123),IF(ISNUMBER(J123)=FALSE,K123,J123),I123)</f>
        <v>9.0459815058013851E-6</v>
      </c>
      <c r="M123" s="29" t="s">
        <v>1488</v>
      </c>
      <c r="N123" s="29"/>
      <c r="O123" s="36"/>
    </row>
    <row r="124" spans="1:15" ht="12.75" customHeight="1" x14ac:dyDescent="0.2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8.6844901228364787E-8</v>
      </c>
      <c r="L124" s="636">
        <f t="shared" si="7"/>
        <v>8.6844901228364787E-8</v>
      </c>
      <c r="M124" s="29" t="s">
        <v>1488</v>
      </c>
      <c r="N124" s="29"/>
      <c r="O124" s="36"/>
    </row>
    <row r="125" spans="1:15" ht="12.75" customHeight="1" x14ac:dyDescent="0.2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8.6844901228364787E-8</v>
      </c>
      <c r="L125" s="636">
        <f t="shared" si="7"/>
        <v>8.6844901228364787E-8</v>
      </c>
      <c r="M125" s="29" t="s">
        <v>1488</v>
      </c>
      <c r="N125" s="29"/>
      <c r="O125" s="36"/>
    </row>
    <row r="126" spans="1:15" ht="12.75" customHeight="1" x14ac:dyDescent="0.2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9.668787450953858E-9</v>
      </c>
      <c r="L126" s="636">
        <f t="shared" si="7"/>
        <v>9.668787450953858E-9</v>
      </c>
      <c r="M126" s="29" t="s">
        <v>1488</v>
      </c>
      <c r="N126" s="29"/>
      <c r="O126" s="36"/>
    </row>
    <row r="127" spans="1:15" ht="12.75" customHeight="1" x14ac:dyDescent="0.2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4.3486201567445368E-8</v>
      </c>
      <c r="L127" s="636">
        <f t="shared" si="7"/>
        <v>4.3486201567445368E-8</v>
      </c>
      <c r="M127" s="29" t="s">
        <v>1488</v>
      </c>
      <c r="N127" s="29"/>
      <c r="O127" s="36"/>
    </row>
    <row r="128" spans="1:15" ht="12.75" customHeight="1" x14ac:dyDescent="0.2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2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9.0456151799195571E-6</v>
      </c>
      <c r="L129" s="636">
        <f t="shared" si="7"/>
        <v>9.0456151799195571E-6</v>
      </c>
      <c r="M129" s="36" t="s">
        <v>1488</v>
      </c>
      <c r="N129" s="29"/>
      <c r="O129" s="36"/>
    </row>
    <row r="130" spans="1:15" ht="12.75" customHeight="1" x14ac:dyDescent="0.2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2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2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8.6844901228364787E-8</v>
      </c>
      <c r="L132" s="636">
        <f t="shared" si="7"/>
        <v>8.6844901228364787E-8</v>
      </c>
      <c r="M132" s="36" t="s">
        <v>1488</v>
      </c>
      <c r="N132" s="29"/>
      <c r="O132" s="36"/>
    </row>
    <row r="133" spans="1:15" ht="12.75" customHeight="1" x14ac:dyDescent="0.2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8.6844901228364787E-8</v>
      </c>
      <c r="L133" s="636">
        <f t="shared" si="7"/>
        <v>8.6844901228364787E-8</v>
      </c>
      <c r="M133" s="36" t="s">
        <v>1488</v>
      </c>
      <c r="N133" s="29"/>
      <c r="O133" s="36"/>
    </row>
    <row r="134" spans="1:15" ht="12.75" customHeight="1" x14ac:dyDescent="0.2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2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2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2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9.6658035166392018E-9</v>
      </c>
      <c r="L137" s="636">
        <f t="shared" si="7"/>
        <v>9.6658035166392018E-9</v>
      </c>
      <c r="M137" s="36" t="s">
        <v>1488</v>
      </c>
      <c r="N137" s="29"/>
      <c r="O137" s="36"/>
    </row>
    <row r="138" spans="1:15" ht="12.75" customHeight="1" x14ac:dyDescent="0.2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4.3455503205058602E-8</v>
      </c>
      <c r="L138" s="636">
        <f t="shared" si="7"/>
        <v>4.3455503205058602E-8</v>
      </c>
      <c r="M138" s="36" t="s">
        <v>1488</v>
      </c>
      <c r="N138" s="29"/>
      <c r="O138" s="36"/>
    </row>
    <row r="139" spans="1:15" ht="12.75" customHeight="1" x14ac:dyDescent="0.2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2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2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2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2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2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2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2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2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2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2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2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2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2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2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2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2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2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2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2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2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2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2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2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2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2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2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2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2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2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2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2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2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2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2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2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2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2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2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2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0.96436534712618549</v>
      </c>
      <c r="L182" s="636">
        <f>IF(ISBLANK(I182),IF(ISNUMBER(J182)=FALSE,K182,J182),I182)</f>
        <v>0.96436534712618549</v>
      </c>
      <c r="M182" s="36" t="s">
        <v>486</v>
      </c>
      <c r="N182" s="36"/>
      <c r="O182" s="36"/>
    </row>
    <row r="183" spans="1:15" ht="12.75" customHeight="1" x14ac:dyDescent="0.2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1.2386888961088596E-2</v>
      </c>
      <c r="L183" s="636">
        <f>IF(ISBLANK(I183),IF(ISNUMBER(J183)=FALSE,K183,J183),I183)</f>
        <v>1.2386888961088596E-2</v>
      </c>
      <c r="M183" s="36" t="s">
        <v>486</v>
      </c>
      <c r="N183" s="36" t="s">
        <v>2185</v>
      </c>
      <c r="O183" s="36"/>
    </row>
    <row r="184" spans="1:15" ht="12.75" customHeight="1" x14ac:dyDescent="0.2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2.3247763912725882E-2</v>
      </c>
      <c r="L184" s="636">
        <f>IF(ISBLANK(I184),IF(ISNUMBER(J184)=FALSE,K184,J184),I184)</f>
        <v>2.3247763912725882E-2</v>
      </c>
      <c r="M184" s="36" t="s">
        <v>486</v>
      </c>
      <c r="N184" s="36" t="s">
        <v>2185</v>
      </c>
      <c r="O184" s="36"/>
    </row>
    <row r="185" spans="1:15" ht="12.75" customHeight="1" x14ac:dyDescent="0.2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1.557074866700018E-9</v>
      </c>
      <c r="L185" s="636">
        <f>IF(ISBLANK(I185),IF(ISNUMBER(J185)=FALSE,K185,J185),I185)</f>
        <v>1.557074866700018E-9</v>
      </c>
      <c r="M185" s="36" t="s">
        <v>486</v>
      </c>
      <c r="N185" s="29"/>
      <c r="O185" s="36"/>
    </row>
    <row r="186" spans="1:15" ht="12.75" customHeight="1" x14ac:dyDescent="0.2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2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642230094.53842366</v>
      </c>
      <c r="L187" s="636">
        <f t="shared" ref="L187:L194" si="10">IF(ISBLANK(I187),IF(ISNUMBER(J187)=FALSE,K187,J187),I187)</f>
        <v>642230094.53842366</v>
      </c>
      <c r="M187" s="36" t="s">
        <v>4051</v>
      </c>
      <c r="N187" s="29"/>
      <c r="O187" s="36"/>
    </row>
    <row r="188" spans="1:15" ht="12.75" customHeight="1" x14ac:dyDescent="0.2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1205340070.6487617</v>
      </c>
      <c r="L188" s="636">
        <f t="shared" si="10"/>
        <v>1205340070.6487617</v>
      </c>
      <c r="M188" s="36" t="s">
        <v>4052</v>
      </c>
      <c r="N188" s="29" t="s">
        <v>924</v>
      </c>
      <c r="O188" s="36"/>
    </row>
    <row r="189" spans="1:15" ht="12.75" customHeight="1" x14ac:dyDescent="0.2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0.99923939228777903</v>
      </c>
      <c r="L189" s="636">
        <f t="shared" si="10"/>
        <v>0.99923939228777903</v>
      </c>
      <c r="M189" s="36" t="s">
        <v>486</v>
      </c>
      <c r="N189" s="29"/>
      <c r="O189" s="36"/>
    </row>
    <row r="190" spans="1:15" ht="12.75" customHeight="1" x14ac:dyDescent="0.2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0.99923939228777903</v>
      </c>
      <c r="L190" s="636">
        <f t="shared" si="10"/>
        <v>0.99923939228777903</v>
      </c>
      <c r="M190" s="36" t="s">
        <v>486</v>
      </c>
      <c r="N190" s="29"/>
      <c r="O190" s="36"/>
    </row>
    <row r="191" spans="1:15" ht="12.75" customHeight="1" x14ac:dyDescent="0.2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99.435216023782488</v>
      </c>
      <c r="L191" s="636">
        <f t="shared" si="10"/>
        <v>99.435216023782488</v>
      </c>
      <c r="M191" s="36" t="s">
        <v>1498</v>
      </c>
      <c r="N191" s="29"/>
      <c r="O191" s="36"/>
    </row>
    <row r="192" spans="1:15" ht="12.75" customHeight="1" x14ac:dyDescent="0.2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99.435216023782488</v>
      </c>
      <c r="L192" s="636">
        <f t="shared" si="10"/>
        <v>99.435216023782488</v>
      </c>
      <c r="M192" s="36" t="s">
        <v>1498</v>
      </c>
      <c r="N192" s="29"/>
      <c r="O192" s="36"/>
    </row>
    <row r="193" spans="1:15" ht="12.75" customHeight="1" x14ac:dyDescent="0.2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2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2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2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2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264.01059655875667</v>
      </c>
      <c r="L197" s="636">
        <f>IF(ISBLANK(I197),IF(ISNUMBER(J197)=FALSE,K197,J197),I197)</f>
        <v>264.01059655875667</v>
      </c>
      <c r="M197" s="36" t="s">
        <v>1498</v>
      </c>
      <c r="N197" s="29"/>
      <c r="O197" s="36"/>
    </row>
    <row r="198" spans="1:15" ht="12.75" customHeight="1" x14ac:dyDescent="0.2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264.01059655875667</v>
      </c>
      <c r="L198" s="636">
        <f>IF(ISBLANK(I198),IF(ISNUMBER(J198)=FALSE,K198,J198),I198)</f>
        <v>264.01059655875667</v>
      </c>
      <c r="M198" s="36" t="s">
        <v>1498</v>
      </c>
      <c r="N198" s="29"/>
      <c r="O198" s="36"/>
    </row>
    <row r="199" spans="1:15" ht="12.75" customHeight="1" x14ac:dyDescent="0.2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2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2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26.231033926700718</v>
      </c>
      <c r="L201" s="636">
        <f t="shared" ref="L201:L208" si="11">IF(ISBLANK(I201),IF(ISNUMBER(J201)=FALSE,K201,J201),I201)</f>
        <v>26.231033926700718</v>
      </c>
      <c r="M201" s="36" t="s">
        <v>486</v>
      </c>
      <c r="N201" s="29"/>
      <c r="O201" s="36"/>
    </row>
    <row r="202" spans="1:15" ht="12.75" customHeight="1" x14ac:dyDescent="0.2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50.862067853401449</v>
      </c>
      <c r="L202" s="636">
        <f t="shared" si="11"/>
        <v>50.862067853401449</v>
      </c>
      <c r="M202" s="36" t="s">
        <v>1498</v>
      </c>
      <c r="N202" s="29"/>
      <c r="O202" s="36"/>
    </row>
    <row r="203" spans="1:15" ht="12.75" customHeight="1" x14ac:dyDescent="0.2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2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30.955150969700735</v>
      </c>
      <c r="L204" s="636">
        <f t="shared" si="11"/>
        <v>30.955150969700735</v>
      </c>
      <c r="M204" s="29" t="s">
        <v>486</v>
      </c>
      <c r="N204" s="29"/>
      <c r="O204" s="36"/>
    </row>
    <row r="205" spans="1:15" ht="12.75" customHeight="1" x14ac:dyDescent="0.2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6.4609602516803215E-3</v>
      </c>
      <c r="L205" s="636">
        <f t="shared" si="11"/>
        <v>6.4609602516803215E-3</v>
      </c>
      <c r="M205" s="29" t="s">
        <v>486</v>
      </c>
      <c r="N205" s="29"/>
      <c r="O205" s="36"/>
    </row>
    <row r="206" spans="1:15" ht="12.75" customHeight="1" x14ac:dyDescent="0.2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0.99353903973825985</v>
      </c>
      <c r="L206" s="636">
        <f t="shared" si="11"/>
        <v>0.99353903973825985</v>
      </c>
      <c r="M206" s="5" t="s">
        <v>486</v>
      </c>
      <c r="N206" s="29"/>
      <c r="O206" s="36"/>
    </row>
    <row r="207" spans="1:15" ht="12.75" customHeight="1" x14ac:dyDescent="0.2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20.503433979592884</v>
      </c>
      <c r="L207" s="636">
        <f t="shared" si="11"/>
        <v>20.503433979592884</v>
      </c>
      <c r="M207" s="36" t="s">
        <v>1498</v>
      </c>
      <c r="N207" s="29"/>
      <c r="O207" s="36"/>
    </row>
    <row r="208" spans="1:15" ht="12.75" customHeight="1" x14ac:dyDescent="0.2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2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2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2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2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5.7639436414589887E-6</v>
      </c>
      <c r="L212" s="636">
        <f t="shared" ref="L212:L225" si="12">IF(ISBLANK(I212),IF(ISNUMBER(J212)=FALSE,K212,J212),I212)</f>
        <v>5.7639436414589887E-6</v>
      </c>
      <c r="M212" s="29" t="s">
        <v>1488</v>
      </c>
      <c r="N212" s="29"/>
      <c r="O212" s="36"/>
    </row>
    <row r="213" spans="1:15" ht="12.75" customHeight="1" x14ac:dyDescent="0.2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2.7554103149897485E-6</v>
      </c>
      <c r="L213" s="636">
        <f t="shared" si="12"/>
        <v>2.7554103149897485E-6</v>
      </c>
      <c r="M213" s="29" t="s">
        <v>1488</v>
      </c>
      <c r="N213" s="29"/>
      <c r="O213" s="36"/>
    </row>
    <row r="214" spans="1:15" ht="12.75" customHeight="1" x14ac:dyDescent="0.2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5.8182101402276973E-14</v>
      </c>
      <c r="L214" s="636">
        <f t="shared" si="12"/>
        <v>5.8182101402276973E-14</v>
      </c>
      <c r="M214" s="29" t="s">
        <v>1488</v>
      </c>
      <c r="N214" s="29"/>
      <c r="O214" s="36"/>
    </row>
    <row r="215" spans="1:15" ht="12.75" customHeight="1" x14ac:dyDescent="0.2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1.3393308083542548E-12</v>
      </c>
      <c r="L215" s="636">
        <f t="shared" si="12"/>
        <v>1.3393308083542548E-12</v>
      </c>
      <c r="M215" s="29" t="s">
        <v>1488</v>
      </c>
      <c r="N215" s="29"/>
      <c r="O215" s="36"/>
    </row>
    <row r="216" spans="1:15" ht="12.75" customHeight="1" x14ac:dyDescent="0.2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5.8781603074910724E-6</v>
      </c>
      <c r="L216" s="636">
        <f t="shared" si="12"/>
        <v>5.8781603074910724E-6</v>
      </c>
      <c r="M216" s="29" t="s">
        <v>1555</v>
      </c>
      <c r="N216" s="29"/>
      <c r="O216" s="36"/>
    </row>
    <row r="217" spans="1:15" ht="12.75" customHeight="1" x14ac:dyDescent="0.2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1.6685678004500911E-5</v>
      </c>
      <c r="L217" s="636">
        <f t="shared" si="12"/>
        <v>1.6685678004500911E-5</v>
      </c>
      <c r="M217" s="29" t="s">
        <v>1488</v>
      </c>
      <c r="N217" s="29"/>
      <c r="O217" s="36"/>
    </row>
    <row r="218" spans="1:15" ht="12.75" customHeight="1" x14ac:dyDescent="0.2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1.0843152349883652E-5</v>
      </c>
      <c r="L218" s="636">
        <f t="shared" si="12"/>
        <v>1.0843152349883652E-5</v>
      </c>
      <c r="M218" s="29" t="s">
        <v>1488</v>
      </c>
      <c r="N218" s="29"/>
      <c r="O218" s="36"/>
    </row>
    <row r="219" spans="1:15" ht="12.75" customHeight="1" x14ac:dyDescent="0.2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8.1841770227934568E-2</v>
      </c>
      <c r="L219" s="636">
        <f t="shared" si="12"/>
        <v>8.1841770227934568E-2</v>
      </c>
      <c r="M219" s="29" t="s">
        <v>1488</v>
      </c>
      <c r="N219" s="29"/>
      <c r="O219" s="36"/>
    </row>
    <row r="220" spans="1:15" ht="12.75" customHeight="1" x14ac:dyDescent="0.2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2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2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3.5634652873814484E-5</v>
      </c>
      <c r="L222" s="636">
        <f t="shared" si="12"/>
        <v>3.5634652873814484E-5</v>
      </c>
      <c r="M222" s="29" t="s">
        <v>1490</v>
      </c>
      <c r="N222" s="29"/>
      <c r="O222" s="36"/>
    </row>
    <row r="223" spans="1:15" ht="12.75" customHeight="1" x14ac:dyDescent="0.2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6.1431813146683902E-4</v>
      </c>
      <c r="L223" s="636">
        <f t="shared" si="12"/>
        <v>6.1431813146683902E-4</v>
      </c>
      <c r="M223" s="29" t="s">
        <v>1490</v>
      </c>
      <c r="N223" s="29"/>
      <c r="O223" s="36"/>
    </row>
    <row r="224" spans="1:15" ht="12.75" customHeight="1" x14ac:dyDescent="0.2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81.830348392106089</v>
      </c>
      <c r="L224" s="636">
        <f t="shared" si="12"/>
        <v>81.830348392106089</v>
      </c>
      <c r="M224" s="29" t="s">
        <v>1490</v>
      </c>
      <c r="N224" s="29"/>
      <c r="O224" s="36"/>
    </row>
    <row r="225" spans="1:15" ht="12.75" customHeight="1" x14ac:dyDescent="0.2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2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2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2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3.7284124282739089E-3</v>
      </c>
      <c r="L228" s="636">
        <f t="shared" si="13"/>
        <v>3.7284124282739089E-3</v>
      </c>
      <c r="M228" s="36" t="s">
        <v>4047</v>
      </c>
      <c r="N228" s="29"/>
      <c r="O228" s="36"/>
    </row>
    <row r="229" spans="1:15" ht="12.75" customHeight="1" x14ac:dyDescent="0.2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1.0103654799832984E-3</v>
      </c>
      <c r="L229" s="636">
        <f>IF(ISBLANK(I229),IF(ISNUMBER(J229)=FALSE,K229,J229),I229)</f>
        <v>1.0103654799832984E-3</v>
      </c>
      <c r="M229" s="36" t="s">
        <v>4047</v>
      </c>
      <c r="N229" s="29"/>
      <c r="O229" s="36"/>
    </row>
    <row r="230" spans="1:15" ht="12.75" customHeight="1" x14ac:dyDescent="0.2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5.8182101402276977E-12</v>
      </c>
      <c r="L230" s="636">
        <f t="shared" si="13"/>
        <v>5.8182101402276977E-12</v>
      </c>
      <c r="M230" s="36" t="s">
        <v>4047</v>
      </c>
      <c r="N230" s="29"/>
      <c r="O230" s="36"/>
    </row>
    <row r="231" spans="1:15" ht="12.75" customHeight="1" x14ac:dyDescent="0.2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6.6966540417712738E-14</v>
      </c>
      <c r="L231" s="636">
        <f>IF(ISBLANK(I231),IF(ISNUMBER(J231)=FALSE,K231,J231),I231)</f>
        <v>6.6966540417712738E-14</v>
      </c>
      <c r="M231" s="36" t="s">
        <v>4047</v>
      </c>
      <c r="N231" s="29"/>
      <c r="O231" s="36"/>
    </row>
    <row r="232" spans="1:15" ht="12.75" customHeight="1" x14ac:dyDescent="0.2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3.8661873187415758E-3</v>
      </c>
      <c r="L232" s="636">
        <f t="shared" si="13"/>
        <v>3.8661873187415758E-3</v>
      </c>
      <c r="M232" s="29" t="s">
        <v>1490</v>
      </c>
      <c r="N232" s="29"/>
      <c r="O232" s="36"/>
    </row>
    <row r="233" spans="1:15" ht="12.75" customHeight="1" x14ac:dyDescent="0.2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4.6712434275245704E-6</v>
      </c>
      <c r="L233" s="636">
        <f t="shared" si="13"/>
        <v>4.6712434275245704E-6</v>
      </c>
      <c r="M233" s="29" t="s">
        <v>1490</v>
      </c>
      <c r="N233" s="29"/>
      <c r="O233" s="36"/>
    </row>
    <row r="234" spans="1:15" ht="12.75" customHeight="1" x14ac:dyDescent="0.2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2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2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9.4575531983700746E-10</v>
      </c>
      <c r="L236" s="636">
        <f>IF(ISBLANK(I236),IF(ISNUMBER(J236)=FALSE,K236,J236),I236)</f>
        <v>9.4575531983700746E-10</v>
      </c>
      <c r="M236" s="29" t="s">
        <v>1490</v>
      </c>
      <c r="N236" s="29" t="s">
        <v>1415</v>
      </c>
      <c r="O236" s="36"/>
    </row>
    <row r="237" spans="1:15" ht="12.75" customHeight="1" x14ac:dyDescent="0.2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2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1.6497451674657539E-11</v>
      </c>
      <c r="L239" s="636">
        <f t="shared" ref="L239:L245" si="14">IF(ISBLANK(I239),IF(ISNUMBER(J239)=FALSE,K239,J239),I239)</f>
        <v>1.6497451674657539E-11</v>
      </c>
      <c r="M239" s="29" t="s">
        <v>1488</v>
      </c>
      <c r="N239" s="29"/>
      <c r="O239" s="36"/>
    </row>
    <row r="240" spans="1:15" ht="12.75" customHeight="1" x14ac:dyDescent="0.2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4.4595122549031241E-8</v>
      </c>
      <c r="L240" s="636">
        <f t="shared" si="14"/>
        <v>4.4595122549031241E-8</v>
      </c>
      <c r="M240" s="29" t="s">
        <v>1488</v>
      </c>
      <c r="N240" s="29"/>
      <c r="O240" s="36"/>
    </row>
    <row r="241" spans="1:15" ht="12.75" customHeight="1" x14ac:dyDescent="0.2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2.20083250063939E-8</v>
      </c>
      <c r="L241" s="636">
        <f t="shared" si="14"/>
        <v>2.20083250063939E-8</v>
      </c>
      <c r="M241" s="36" t="s">
        <v>4047</v>
      </c>
      <c r="N241" s="325"/>
      <c r="O241" s="36"/>
    </row>
    <row r="242" spans="1:15" ht="12.75" customHeight="1" x14ac:dyDescent="0.2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2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2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2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2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2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2.7484030017578716E-8</v>
      </c>
      <c r="L247" s="636">
        <f>IF(ISBLANK(I247),IF(ISNUMBER(J247)=FALSE,K247,J247),I247)</f>
        <v>2.7484030017578716E-8</v>
      </c>
      <c r="M247" s="36" t="s">
        <v>4047</v>
      </c>
      <c r="N247" s="29"/>
      <c r="O247" s="36"/>
    </row>
    <row r="248" spans="1:15" ht="12.75" customHeight="1" x14ac:dyDescent="0.2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1.0485652442030529E-9</v>
      </c>
      <c r="L248" s="636">
        <f>IF(ISBLANK(I248),IF(ISNUMBER(J248)=FALSE,K248,J248),I248)</f>
        <v>1.0485652442030529E-9</v>
      </c>
      <c r="M248" s="36" t="s">
        <v>4047</v>
      </c>
      <c r="N248" s="29"/>
      <c r="O248" s="36"/>
    </row>
    <row r="249" spans="1:15" ht="12.75" customHeight="1" x14ac:dyDescent="0.2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2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2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1.651327088187979E-9</v>
      </c>
      <c r="L252" s="636">
        <f>IF(ISBLANK(I252),IF(ISNUMBER(J252)=FALSE,K252,J252),I252)</f>
        <v>1.651327088187979E-9</v>
      </c>
      <c r="M252" s="29" t="s">
        <v>1488</v>
      </c>
      <c r="N252" s="29"/>
      <c r="O252" s="36"/>
    </row>
    <row r="253" spans="1:15" ht="12.75" customHeight="1" x14ac:dyDescent="0.2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ROUND(EROSION.C,15)</f>
        <v>9.5100000000000009E-13</v>
      </c>
      <c r="L253" s="636">
        <f>IF(ISBLANK(I253),IF(ISNUMBER(J253)=FALSE,K253,J253),I253)</f>
        <v>9.5100000000000009E-13</v>
      </c>
      <c r="M253" s="29" t="s">
        <v>1490</v>
      </c>
      <c r="N253" s="29"/>
      <c r="O253" s="36"/>
    </row>
    <row r="254" spans="1:15" ht="12.75" customHeight="1" x14ac:dyDescent="0.2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2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2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2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2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2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7.4743485216883895E-6</v>
      </c>
      <c r="L259" s="636">
        <f t="shared" ref="L259:L274" si="15">IF(ISBLANK(I259),IF(ISNUMBER(J259)=FALSE,K259,J259),I259)</f>
        <v>7.4743485216883895E-6</v>
      </c>
      <c r="M259" s="29" t="s">
        <v>1488</v>
      </c>
      <c r="N259" s="29"/>
      <c r="O259" s="36"/>
    </row>
    <row r="260" spans="1:15" ht="12.75" customHeight="1" x14ac:dyDescent="0.2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1.8900719420937309E-8</v>
      </c>
      <c r="L260" s="636">
        <f t="shared" si="15"/>
        <v>1.8900719420937309E-8</v>
      </c>
      <c r="M260" s="29" t="s">
        <v>1488</v>
      </c>
      <c r="N260" s="29"/>
      <c r="O260" s="36"/>
    </row>
    <row r="261" spans="1:15" ht="12.75" customHeight="1" x14ac:dyDescent="0.2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1.8900719420937309E-8</v>
      </c>
      <c r="L261" s="636">
        <f t="shared" si="15"/>
        <v>1.8900719420937309E-8</v>
      </c>
      <c r="M261" s="29" t="s">
        <v>1488</v>
      </c>
      <c r="N261" s="29"/>
      <c r="O261" s="36"/>
    </row>
    <row r="262" spans="1:15" ht="12.75" customHeight="1" x14ac:dyDescent="0.2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2.10575666016223E-9</v>
      </c>
      <c r="L262" s="636">
        <f t="shared" si="15"/>
        <v>2.10575666016223E-9</v>
      </c>
      <c r="M262" s="29" t="s">
        <v>1488</v>
      </c>
      <c r="N262" s="29"/>
      <c r="O262" s="36"/>
    </row>
    <row r="263" spans="1:15" ht="12.75" customHeight="1" x14ac:dyDescent="0.2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9.4685168992258617E-9</v>
      </c>
      <c r="L263" s="636">
        <f t="shared" si="15"/>
        <v>9.4685168992258617E-9</v>
      </c>
      <c r="M263" s="29" t="s">
        <v>1488</v>
      </c>
      <c r="N263" s="29"/>
      <c r="O263" s="36"/>
    </row>
    <row r="264" spans="1:15" ht="12.75" customHeight="1" x14ac:dyDescent="0.2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2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7.4739821958065615E-6</v>
      </c>
      <c r="L265" s="636">
        <f t="shared" si="15"/>
        <v>7.4739821958065615E-6</v>
      </c>
      <c r="M265" s="36" t="s">
        <v>1488</v>
      </c>
      <c r="N265" s="29"/>
      <c r="O265" s="36"/>
    </row>
    <row r="266" spans="1:15" ht="12.75" customHeight="1" x14ac:dyDescent="0.2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2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2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1.8900719420937309E-8</v>
      </c>
      <c r="L268" s="636">
        <f t="shared" si="15"/>
        <v>1.8900719420937309E-8</v>
      </c>
      <c r="M268" s="36" t="s">
        <v>1488</v>
      </c>
      <c r="N268" s="29"/>
      <c r="O268" s="36"/>
    </row>
    <row r="269" spans="1:15" ht="12.75" customHeight="1" x14ac:dyDescent="0.2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1.8900719420937309E-8</v>
      </c>
      <c r="L269" s="636">
        <f t="shared" si="15"/>
        <v>1.8900719420937309E-8</v>
      </c>
      <c r="M269" s="36" t="s">
        <v>1488</v>
      </c>
      <c r="N269" s="29"/>
      <c r="O269" s="36"/>
    </row>
    <row r="270" spans="1:15" ht="12.75" customHeight="1" x14ac:dyDescent="0.2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2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2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2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2.103642674029979E-9</v>
      </c>
      <c r="L273" s="636">
        <f t="shared" si="15"/>
        <v>2.103642674029979E-9</v>
      </c>
      <c r="M273" s="36" t="s">
        <v>1488</v>
      </c>
      <c r="N273" s="29"/>
      <c r="O273" s="36"/>
    </row>
    <row r="274" spans="1:15" ht="12.75" customHeight="1" x14ac:dyDescent="0.2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9.4575531983700746E-9</v>
      </c>
      <c r="L274" s="636">
        <f t="shared" si="15"/>
        <v>9.4575531983700746E-9</v>
      </c>
      <c r="M274" s="36" t="s">
        <v>1488</v>
      </c>
      <c r="N274" s="29"/>
      <c r="O274" s="36"/>
    </row>
    <row r="275" spans="1:15" ht="12.75" customHeight="1" x14ac:dyDescent="0.2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2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2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2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2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2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2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2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2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2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2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2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2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2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2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2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2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2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2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2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2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2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2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2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2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2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2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2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2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2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2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2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2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2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2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2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2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2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2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2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2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2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0.97639638854517607</v>
      </c>
      <c r="L318" s="636">
        <f>IF(ISBLANK(I318),IF(ISNUMBER(J318)=FALSE,K318,J318),I318)</f>
        <v>0.97639638854517607</v>
      </c>
      <c r="M318" s="20" t="s">
        <v>486</v>
      </c>
      <c r="N318" s="36"/>
      <c r="O318" s="36"/>
    </row>
    <row r="319" spans="1:15" ht="12.75" customHeight="1" x14ac:dyDescent="0.2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6.581761581910175E-5</v>
      </c>
      <c r="L319" s="636">
        <f>IF(ISBLANK(I319),IF(ISNUMBER(J319)=FALSE,K319,J319),I319)</f>
        <v>6.581761581910175E-5</v>
      </c>
      <c r="M319" s="36" t="s">
        <v>486</v>
      </c>
      <c r="N319" s="29" t="s">
        <v>2185</v>
      </c>
      <c r="O319" s="36"/>
    </row>
    <row r="320" spans="1:15" ht="12.75" customHeight="1" x14ac:dyDescent="0.2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2.3537793839004766E-2</v>
      </c>
      <c r="L320" s="636">
        <f>IF(ISBLANK(I320),IF(ISNUMBER(J320)=FALSE,K320,J320),I320)</f>
        <v>2.3537793839004766E-2</v>
      </c>
      <c r="M320" s="36" t="s">
        <v>486</v>
      </c>
      <c r="N320" s="29" t="s">
        <v>2185</v>
      </c>
      <c r="O320" s="36"/>
    </row>
    <row r="321" spans="1:15" ht="12.75" customHeight="1" x14ac:dyDescent="0.2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2.9669768715870563E-7</v>
      </c>
      <c r="L321" s="636">
        <f>IF(ISBLANK(I321),IF(ISNUMBER(J321)=FALSE,K321,J321),I321)</f>
        <v>2.9669768715870563E-7</v>
      </c>
      <c r="M321" s="36" t="s">
        <v>486</v>
      </c>
      <c r="N321" s="29"/>
      <c r="O321" s="36"/>
    </row>
    <row r="322" spans="1:15" ht="12.75" customHeight="1" x14ac:dyDescent="0.2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2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3370435.2346678358</v>
      </c>
      <c r="L323" s="636">
        <f t="shared" ref="L323:L330" si="18">IF(ISBLANK(I323),IF(ISNUMBER(J323)=FALSE,K323,J323),I323)</f>
        <v>3370435.2346678358</v>
      </c>
      <c r="M323" s="36" t="s">
        <v>4051</v>
      </c>
      <c r="N323" s="29"/>
      <c r="O323" s="36"/>
    </row>
    <row r="324" spans="1:15" ht="12.75" customHeight="1" x14ac:dyDescent="0.2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1205340070.6487617</v>
      </c>
      <c r="L324" s="636">
        <f t="shared" si="18"/>
        <v>1205340070.6487617</v>
      </c>
      <c r="M324" s="36" t="s">
        <v>4052</v>
      </c>
      <c r="N324" s="29" t="s">
        <v>924</v>
      </c>
      <c r="O324" s="36"/>
    </row>
    <row r="325" spans="1:15" ht="12.75" customHeight="1" x14ac:dyDescent="0.2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0.99923939228777903</v>
      </c>
      <c r="L325" s="636">
        <f t="shared" si="18"/>
        <v>0.99923939228777903</v>
      </c>
      <c r="M325" s="36" t="s">
        <v>486</v>
      </c>
      <c r="N325" s="29"/>
      <c r="O325" s="36"/>
    </row>
    <row r="326" spans="1:15" ht="12.75" customHeight="1" x14ac:dyDescent="0.2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0.99923939228777903</v>
      </c>
      <c r="L326" s="636">
        <f t="shared" si="18"/>
        <v>0.99923939228777903</v>
      </c>
      <c r="M326" s="36" t="s">
        <v>486</v>
      </c>
      <c r="N326" s="29"/>
      <c r="O326" s="36"/>
    </row>
    <row r="327" spans="1:15" ht="12.75" customHeight="1" x14ac:dyDescent="0.2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99.435216023782488</v>
      </c>
      <c r="L327" s="636">
        <f t="shared" si="18"/>
        <v>99.435216023782488</v>
      </c>
      <c r="M327" s="36" t="s">
        <v>1498</v>
      </c>
      <c r="N327" s="29"/>
      <c r="O327" s="36"/>
    </row>
    <row r="328" spans="1:15" ht="12.75" customHeight="1" x14ac:dyDescent="0.2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99.435216023782488</v>
      </c>
      <c r="L328" s="636">
        <f t="shared" si="18"/>
        <v>99.435216023782488</v>
      </c>
      <c r="M328" s="36" t="s">
        <v>1498</v>
      </c>
      <c r="N328" s="29"/>
      <c r="O328" s="36"/>
    </row>
    <row r="329" spans="1:15" ht="12.75" customHeight="1" x14ac:dyDescent="0.2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2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2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2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2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264.01059655875667</v>
      </c>
      <c r="L333" s="636">
        <f>IF(ISBLANK(I333),IF(ISNUMBER(J333)=FALSE,K333,J333),I333)</f>
        <v>264.01059655875667</v>
      </c>
      <c r="M333" s="36" t="s">
        <v>1498</v>
      </c>
      <c r="N333" s="29"/>
      <c r="O333" s="36"/>
    </row>
    <row r="334" spans="1:15" ht="12.75" customHeight="1" x14ac:dyDescent="0.2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264.01059655875667</v>
      </c>
      <c r="L334" s="636">
        <f>IF(ISBLANK(I334),IF(ISNUMBER(J334)=FALSE,K334,J334),I334)</f>
        <v>264.01059655875667</v>
      </c>
      <c r="M334" s="36" t="s">
        <v>1498</v>
      </c>
      <c r="N334" s="29"/>
      <c r="O334" s="36"/>
    </row>
    <row r="335" spans="1:15" ht="12.75" customHeight="1" x14ac:dyDescent="0.2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2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2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26.231033926700718</v>
      </c>
      <c r="L337" s="636">
        <f t="shared" ref="L337:L344" si="19">IF(ISBLANK(I337),IF(ISNUMBER(J337)=FALSE,K337,J337),I337)</f>
        <v>26.231033926700718</v>
      </c>
      <c r="M337" s="36" t="s">
        <v>486</v>
      </c>
      <c r="N337" s="29"/>
      <c r="O337" s="36"/>
    </row>
    <row r="338" spans="1:15" ht="12.75" customHeight="1" x14ac:dyDescent="0.2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50.862067853401449</v>
      </c>
      <c r="L338" s="636">
        <f t="shared" si="19"/>
        <v>50.862067853401449</v>
      </c>
      <c r="M338" s="36" t="s">
        <v>1498</v>
      </c>
      <c r="N338" s="29"/>
      <c r="O338" s="36"/>
    </row>
    <row r="339" spans="1:15" ht="12.75" customHeight="1" x14ac:dyDescent="0.2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2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30.955151028726856</v>
      </c>
      <c r="L340" s="636">
        <f t="shared" si="19"/>
        <v>30.955151028726856</v>
      </c>
      <c r="M340" s="29" t="s">
        <v>486</v>
      </c>
      <c r="N340" s="29"/>
      <c r="O340" s="36"/>
    </row>
    <row r="341" spans="1:15" ht="12.75" customHeight="1" x14ac:dyDescent="0.2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6.4609602393603874E-3</v>
      </c>
      <c r="L341" s="636">
        <f t="shared" si="19"/>
        <v>6.4609602393603874E-3</v>
      </c>
      <c r="M341" s="29" t="s">
        <v>486</v>
      </c>
      <c r="N341" s="29"/>
      <c r="O341" s="36"/>
    </row>
    <row r="342" spans="1:15" ht="12.75" customHeight="1" x14ac:dyDescent="0.2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0.99353903784375253</v>
      </c>
      <c r="L342" s="636">
        <f t="shared" si="19"/>
        <v>0.99353903784375253</v>
      </c>
      <c r="M342" s="5" t="s">
        <v>486</v>
      </c>
      <c r="N342" s="29"/>
      <c r="O342" s="36"/>
    </row>
    <row r="343" spans="1:15" ht="12.75" customHeight="1" x14ac:dyDescent="0.2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20.503433979592884</v>
      </c>
      <c r="L343" s="636">
        <f t="shared" si="19"/>
        <v>20.503433979592884</v>
      </c>
      <c r="M343" s="36" t="s">
        <v>1498</v>
      </c>
      <c r="N343" s="29"/>
      <c r="O343" s="36"/>
    </row>
    <row r="344" spans="1:15" ht="12.75" customHeight="1" x14ac:dyDescent="0.2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2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2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2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2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6.6295470258236121E-6</v>
      </c>
      <c r="L348" s="636">
        <f t="shared" ref="L348:L361" si="20">IF(ISBLANK(I348),IF(ISNUMBER(J348)=FALSE,K348,J348),I348)</f>
        <v>6.6295470258236121E-6</v>
      </c>
      <c r="M348" s="29" t="s">
        <v>1488</v>
      </c>
      <c r="N348" s="29"/>
      <c r="O348" s="36"/>
    </row>
    <row r="349" spans="1:15" ht="12.75" customHeight="1" x14ac:dyDescent="0.2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2.0156444088287383E-6</v>
      </c>
      <c r="L349" s="636">
        <f t="shared" si="20"/>
        <v>2.0156444088287383E-6</v>
      </c>
      <c r="M349" s="29" t="s">
        <v>1488</v>
      </c>
      <c r="N349" s="29"/>
      <c r="O349" s="36"/>
    </row>
    <row r="350" spans="1:15" ht="12.75" customHeight="1" x14ac:dyDescent="0.2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1.108387121217946E-11</v>
      </c>
      <c r="L350" s="636">
        <f t="shared" si="20"/>
        <v>1.108387121217946E-11</v>
      </c>
      <c r="M350" s="29" t="s">
        <v>1488</v>
      </c>
      <c r="N350" s="29"/>
      <c r="O350" s="36"/>
    </row>
    <row r="351" spans="1:15" ht="12.75" customHeight="1" x14ac:dyDescent="0.2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2.5498188135488605E-10</v>
      </c>
      <c r="L351" s="636">
        <f t="shared" si="20"/>
        <v>2.5498188135488605E-10</v>
      </c>
      <c r="M351" s="29" t="s">
        <v>1488</v>
      </c>
      <c r="N351" s="29"/>
      <c r="O351" s="36"/>
    </row>
    <row r="352" spans="1:15" ht="12.75" customHeight="1" x14ac:dyDescent="0.2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5.6967465230543798E-6</v>
      </c>
      <c r="L352" s="636">
        <f t="shared" si="20"/>
        <v>5.6967465230543798E-6</v>
      </c>
      <c r="M352" s="29" t="s">
        <v>1555</v>
      </c>
      <c r="N352" s="29"/>
      <c r="O352" s="36"/>
    </row>
    <row r="353" spans="1:15" ht="12.75" customHeight="1" x14ac:dyDescent="0.2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1.9101797991432914E-5</v>
      </c>
      <c r="L353" s="636">
        <f t="shared" si="20"/>
        <v>1.9101797991432914E-5</v>
      </c>
      <c r="M353" s="29" t="s">
        <v>1488</v>
      </c>
      <c r="N353" s="29"/>
      <c r="O353" s="36"/>
    </row>
    <row r="354" spans="1:15" ht="12.75" customHeight="1" x14ac:dyDescent="0.2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1.3428655079833358E-5</v>
      </c>
      <c r="L354" s="636">
        <f t="shared" si="20"/>
        <v>1.3428655079833358E-5</v>
      </c>
      <c r="M354" s="29" t="s">
        <v>1488</v>
      </c>
      <c r="N354" s="29"/>
      <c r="O354" s="36"/>
    </row>
    <row r="355" spans="1:15" ht="12.75" customHeight="1" x14ac:dyDescent="0.2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2.2776241738680465E-3</v>
      </c>
      <c r="L355" s="636">
        <f t="shared" si="20"/>
        <v>2.2776241738680465E-3</v>
      </c>
      <c r="M355" s="29" t="s">
        <v>1488</v>
      </c>
      <c r="N355" s="29"/>
      <c r="O355" s="36"/>
    </row>
    <row r="356" spans="1:15" ht="12.75" customHeight="1" x14ac:dyDescent="0.2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2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2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2.3603611454823871E-5</v>
      </c>
      <c r="L358" s="636">
        <f t="shared" si="20"/>
        <v>2.3603611454823871E-5</v>
      </c>
      <c r="M358" s="29" t="s">
        <v>1490</v>
      </c>
      <c r="N358" s="29"/>
      <c r="O358" s="36"/>
    </row>
    <row r="359" spans="1:15" ht="12.75" customHeight="1" x14ac:dyDescent="0.2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3.2343070343634995E-3</v>
      </c>
      <c r="L359" s="636">
        <f t="shared" si="20"/>
        <v>3.2343070343634995E-3</v>
      </c>
      <c r="M359" s="29" t="s">
        <v>1490</v>
      </c>
      <c r="N359" s="29" t="s">
        <v>3910</v>
      </c>
      <c r="O359" s="36"/>
    </row>
    <row r="360" spans="1:15" ht="12.75" customHeight="1" x14ac:dyDescent="0.2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2.2609848153653043</v>
      </c>
      <c r="L360" s="636">
        <f t="shared" si="20"/>
        <v>2.2609848153653043</v>
      </c>
      <c r="M360" s="29" t="s">
        <v>1490</v>
      </c>
      <c r="N360" s="29"/>
      <c r="O360" s="36"/>
    </row>
    <row r="361" spans="1:15" ht="12.75" customHeight="1" x14ac:dyDescent="0.2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2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2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2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3.7740349424079233E-3</v>
      </c>
      <c r="L364" s="636">
        <f t="shared" si="21"/>
        <v>3.7740349424079233E-3</v>
      </c>
      <c r="M364" s="36" t="s">
        <v>4047</v>
      </c>
      <c r="N364" s="29"/>
      <c r="O364" s="36"/>
    </row>
    <row r="365" spans="1:15" ht="12.75" customHeight="1" x14ac:dyDescent="0.2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1.0220681730414127E-3</v>
      </c>
      <c r="L365" s="636">
        <f>IF(ISBLANK(I365),IF(ISNUMBER(J365)=FALSE,K365,J365),I365)</f>
        <v>1.0220681730414127E-3</v>
      </c>
      <c r="M365" s="36" t="s">
        <v>4047</v>
      </c>
      <c r="N365" s="29"/>
      <c r="O365" s="36"/>
    </row>
    <row r="366" spans="1:15" ht="12.75" customHeight="1" x14ac:dyDescent="0.2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1.108387121217946E-9</v>
      </c>
      <c r="L366" s="636">
        <f t="shared" si="21"/>
        <v>1.108387121217946E-9</v>
      </c>
      <c r="M366" s="36" t="s">
        <v>4047</v>
      </c>
      <c r="N366" s="29"/>
      <c r="O366" s="36"/>
    </row>
    <row r="367" spans="1:15" ht="12.75" customHeight="1" x14ac:dyDescent="0.2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1.2749094067744304E-11</v>
      </c>
      <c r="L367" s="636">
        <f>IF(ISBLANK(I367),IF(ISNUMBER(J367)=FALSE,K367,J367),I367)</f>
        <v>1.2749094067744304E-11</v>
      </c>
      <c r="M367" s="36" t="s">
        <v>4047</v>
      </c>
      <c r="N367" s="29"/>
      <c r="O367" s="36"/>
    </row>
    <row r="368" spans="1:15" ht="12.75" customHeight="1" x14ac:dyDescent="0.2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3.8661873187415758E-3</v>
      </c>
      <c r="L368" s="636">
        <f t="shared" si="21"/>
        <v>3.8661873187415758E-3</v>
      </c>
      <c r="M368" s="29" t="s">
        <v>1490</v>
      </c>
      <c r="N368" s="29"/>
      <c r="O368" s="36"/>
    </row>
    <row r="369" spans="1:15" ht="12.75" customHeight="1" x14ac:dyDescent="0.2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4.6712434275245704E-6</v>
      </c>
      <c r="L369" s="636">
        <f t="shared" si="21"/>
        <v>4.6712434275245704E-6</v>
      </c>
      <c r="M369" s="29" t="s">
        <v>1490</v>
      </c>
      <c r="N369" s="29"/>
      <c r="O369" s="36"/>
    </row>
    <row r="370" spans="1:15" ht="12.75" customHeight="1" x14ac:dyDescent="0.2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2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2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1.0700000000000002E-8</v>
      </c>
      <c r="L372" s="636">
        <f>IF(ISBLANK(I372),IF(ISNUMBER(J372)=FALSE,K372,J372),I372)</f>
        <v>1.0700000000000002E-8</v>
      </c>
      <c r="M372" s="29" t="s">
        <v>1490</v>
      </c>
      <c r="N372" s="29" t="s">
        <v>1415</v>
      </c>
      <c r="O372" s="36"/>
    </row>
    <row r="373" spans="1:15" ht="12.75" customHeight="1" x14ac:dyDescent="0.2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2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1.6497451674657539E-11</v>
      </c>
      <c r="L375" s="636">
        <f t="shared" ref="L375:L381" si="22">IF(ISBLANK(I375),IF(ISNUMBER(J375)=FALSE,K375,J375),I375)</f>
        <v>1.6497451674657539E-11</v>
      </c>
      <c r="M375" s="29" t="s">
        <v>1488</v>
      </c>
      <c r="N375" s="29"/>
      <c r="O375" s="36"/>
    </row>
    <row r="376" spans="1:15" ht="12.75" customHeight="1" x14ac:dyDescent="0.2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4.4595122549031241E-8</v>
      </c>
      <c r="L376" s="636">
        <f t="shared" si="22"/>
        <v>4.4595122549031241E-8</v>
      </c>
      <c r="M376" s="29" t="s">
        <v>1488</v>
      </c>
      <c r="N376" s="29"/>
      <c r="O376" s="36"/>
    </row>
    <row r="377" spans="1:15" ht="12.75" customHeight="1" x14ac:dyDescent="0.2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2.20083250063939E-8</v>
      </c>
      <c r="L377" s="636">
        <f t="shared" si="22"/>
        <v>2.20083250063939E-8</v>
      </c>
      <c r="M377" s="36" t="s">
        <v>4047</v>
      </c>
      <c r="N377" s="325"/>
      <c r="O377" s="36"/>
    </row>
    <row r="378" spans="1:15" ht="12.75" customHeight="1" x14ac:dyDescent="0.2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2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2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2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2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2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2.7484030017578716E-8</v>
      </c>
      <c r="L383" s="636">
        <f>IF(ISBLANK(I383),IF(ISNUMBER(J383)=FALSE,K383,J383),I383)</f>
        <v>2.7484030017578716E-8</v>
      </c>
      <c r="M383" s="36" t="s">
        <v>4047</v>
      </c>
      <c r="N383" s="29"/>
      <c r="O383" s="36"/>
    </row>
    <row r="384" spans="1:15" ht="12.75" customHeight="1" x14ac:dyDescent="0.2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1.0485652442030529E-9</v>
      </c>
      <c r="L384" s="636">
        <f>IF(ISBLANK(I384),IF(ISNUMBER(J384)=FALSE,K384,J384),I384)</f>
        <v>1.0485652442030529E-9</v>
      </c>
      <c r="M384" s="36" t="s">
        <v>4047</v>
      </c>
      <c r="N384" s="29"/>
      <c r="O384" s="36"/>
    </row>
    <row r="385" spans="1:15" ht="12.75" customHeight="1" x14ac:dyDescent="0.2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2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2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8.4853959516793628E-9</v>
      </c>
      <c r="L388" s="636">
        <f>IF(ISBLANK(I388),IF(ISNUMBER(J388)=FALSE,K388,J388),I388)</f>
        <v>8.4853959516793628E-9</v>
      </c>
      <c r="M388" s="29" t="s">
        <v>1488</v>
      </c>
      <c r="N388" s="29"/>
      <c r="O388" s="36"/>
    </row>
    <row r="389" spans="1:15" ht="12.75" customHeight="1" x14ac:dyDescent="0.2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2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2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2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2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2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2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1.0057249127897143E-5</v>
      </c>
      <c r="L395" s="636">
        <f t="shared" ref="L395:L410" si="23">IF(ISBLANK(I395),IF(ISNUMBER(J395)=FALSE,K395,J395),I395)</f>
        <v>1.0057249127897143E-5</v>
      </c>
      <c r="M395" s="29" t="s">
        <v>1488</v>
      </c>
      <c r="N395" s="29"/>
      <c r="O395" s="36"/>
    </row>
    <row r="396" spans="1:15" ht="12.75" customHeight="1" x14ac:dyDescent="0.2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2.1383722994958473E-7</v>
      </c>
      <c r="L396" s="636">
        <f t="shared" si="23"/>
        <v>2.1383722994958473E-7</v>
      </c>
      <c r="M396" s="29" t="s">
        <v>1488</v>
      </c>
      <c r="N396" s="29"/>
      <c r="O396" s="36"/>
    </row>
    <row r="397" spans="1:15" ht="12.75" customHeight="1" x14ac:dyDescent="0.2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2.1383722994958473E-7</v>
      </c>
      <c r="L397" s="636">
        <f t="shared" si="23"/>
        <v>2.1383722994958473E-7</v>
      </c>
      <c r="M397" s="29" t="s">
        <v>1488</v>
      </c>
      <c r="N397" s="29"/>
      <c r="O397" s="36"/>
    </row>
    <row r="398" spans="1:15" ht="12.75" customHeight="1" x14ac:dyDescent="0.2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2.3802113986132248E-8</v>
      </c>
      <c r="L398" s="636">
        <f t="shared" si="23"/>
        <v>2.3802113986132248E-8</v>
      </c>
      <c r="M398" s="29" t="s">
        <v>1488</v>
      </c>
      <c r="N398" s="29"/>
      <c r="O398" s="36"/>
    </row>
    <row r="399" spans="1:15" ht="12.75" customHeight="1" x14ac:dyDescent="0.2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1.0705701124434139E-7</v>
      </c>
      <c r="L399" s="636">
        <f t="shared" si="23"/>
        <v>1.0705701124434139E-7</v>
      </c>
      <c r="M399" s="29" t="s">
        <v>1488</v>
      </c>
      <c r="N399" s="29"/>
      <c r="O399" s="36"/>
    </row>
    <row r="400" spans="1:15" ht="12.75" customHeight="1" x14ac:dyDescent="0.2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2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1.0056882802015316E-5</v>
      </c>
      <c r="L401" s="636">
        <f t="shared" si="23"/>
        <v>1.0056882802015316E-5</v>
      </c>
      <c r="M401" s="36" t="s">
        <v>1488</v>
      </c>
      <c r="N401" s="29"/>
      <c r="O401" s="36"/>
    </row>
    <row r="402" spans="1:15" ht="12.75" customHeight="1" x14ac:dyDescent="0.2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2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2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2.1383722994958473E-7</v>
      </c>
      <c r="L404" s="636">
        <f t="shared" si="23"/>
        <v>2.1383722994958473E-7</v>
      </c>
      <c r="M404" s="36" t="s">
        <v>1488</v>
      </c>
      <c r="N404" s="29"/>
      <c r="O404" s="36"/>
    </row>
    <row r="405" spans="1:15" ht="12.75" customHeight="1" x14ac:dyDescent="0.2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2.1383722994958473E-7</v>
      </c>
      <c r="L405" s="636">
        <f t="shared" si="23"/>
        <v>2.1383722994958473E-7</v>
      </c>
      <c r="M405" s="36" t="s">
        <v>1488</v>
      </c>
      <c r="N405" s="29"/>
      <c r="O405" s="36"/>
    </row>
    <row r="406" spans="1:15" ht="12.75" customHeight="1" x14ac:dyDescent="0.2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2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2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2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2.3799999999999998E-8</v>
      </c>
      <c r="L409" s="636">
        <f t="shared" si="23"/>
        <v>2.3799999999999998E-8</v>
      </c>
      <c r="M409" s="36" t="s">
        <v>1488</v>
      </c>
      <c r="N409" s="29"/>
      <c r="O409" s="36"/>
    </row>
    <row r="410" spans="1:15" ht="12.75" customHeight="1" x14ac:dyDescent="0.2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1.0700000000000001E-7</v>
      </c>
      <c r="L410" s="636">
        <f t="shared" si="23"/>
        <v>1.0700000000000001E-7</v>
      </c>
      <c r="M410" s="36" t="s">
        <v>1488</v>
      </c>
      <c r="N410" s="29"/>
      <c r="O410" s="36"/>
    </row>
    <row r="411" spans="1:15" ht="12.75" customHeight="1" x14ac:dyDescent="0.2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2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2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2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K27" sqref="K27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1.4142267408689941</v>
      </c>
      <c r="E5" s="372">
        <v>0</v>
      </c>
      <c r="F5" s="372">
        <f>E.w1R</f>
        <v>1.4142267408689941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1.4142267408689941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1.4142267408689941E-2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-2.5346892460087525E-5</v>
      </c>
      <c r="E9" s="179">
        <f>k.w0R.aR</f>
        <v>1.893474429147487E-12</v>
      </c>
      <c r="F9" s="179">
        <f>k.w1R.aR</f>
        <v>6.3022450457971401E-11</v>
      </c>
      <c r="G9" s="179">
        <f>k.w2R.aR</f>
        <v>1.83680665698391E-11</v>
      </c>
      <c r="H9" s="376">
        <v>0</v>
      </c>
      <c r="I9" s="376">
        <v>0</v>
      </c>
      <c r="J9" s="179">
        <f>k.s1R.aR</f>
        <v>4.2270403804875319E-11</v>
      </c>
      <c r="K9" s="179">
        <f>k.s2R.aR</f>
        <v>1.9185761529896352E-11</v>
      </c>
      <c r="L9" s="179">
        <f>k.s3R.aR</f>
        <v>4.2161483400515841E-11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2.374072651935071E-8</v>
      </c>
      <c r="E10" s="378">
        <f>-k.w0R-SUM(E9,E11:E41)</f>
        <v>-8.9282782192383056E-8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3.8168483464174523E-10</v>
      </c>
      <c r="K10" s="655">
        <f>k.s2R.w0R</f>
        <v>1.7381999798322019E-10</v>
      </c>
      <c r="L10" s="655">
        <f>k.s3R.w0R</f>
        <v>3.8197644374071532E-10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2.6114799171285784E-7</v>
      </c>
      <c r="E11" s="179">
        <f>k.w0R.w1R</f>
        <v>2.3972602739726025E-9</v>
      </c>
      <c r="F11" s="378">
        <f>-k.w1R-SUM(F9:F10,F12:F41)</f>
        <v>-1.8591548475033521E-7</v>
      </c>
      <c r="G11" s="376">
        <v>0</v>
      </c>
      <c r="H11" s="179">
        <f>k.sd1R.w1R</f>
        <v>6.0755804044606696E-8</v>
      </c>
      <c r="I11" s="376">
        <v>0</v>
      </c>
      <c r="J11" s="179">
        <f>k.s1R.w1R</f>
        <v>4.1985331810591978E-9</v>
      </c>
      <c r="K11" s="179">
        <f>k.s2R.w1R</f>
        <v>1.9120199778154223E-9</v>
      </c>
      <c r="L11" s="179">
        <f>k.s3R.w1R</f>
        <v>4.2017408811478692E-9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4.1546531074683008E-8</v>
      </c>
      <c r="E12" s="179">
        <f>k.w0R.w2R</f>
        <v>0</v>
      </c>
      <c r="F12" s="179">
        <f>k.w1R.w2R</f>
        <v>7.26442507264425E-8</v>
      </c>
      <c r="G12" s="378">
        <f>-k.w2R-SUM(G9:G11,G13:G41)</f>
        <v>-1.4616669568521248E-6</v>
      </c>
      <c r="H12" s="376">
        <v>0</v>
      </c>
      <c r="I12" s="179">
        <f>k.sd2R.w2R</f>
        <v>4.2483903201830168E-8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2.6453105432102753E-8</v>
      </c>
      <c r="G13" s="376">
        <v>0</v>
      </c>
      <c r="H13" s="378">
        <f>-k.sd1R-SUM(H9:H12,H14:H41)</f>
        <v>-7.331697581763014E-8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4.9492355023972612E-9</v>
      </c>
      <c r="H14" s="376">
        <v>0</v>
      </c>
      <c r="I14" s="378">
        <f>-k.sd2R-SUM(I9:I13,I15:I41)</f>
        <v>-5.4263040051802702E-8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1.8244019594217839E-6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-4.8108689986951184E-8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4.054226576492852E-6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-4.5574509091507214E-8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6.7570442941547551E-7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-4.811210395389431E-8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-1.8970602259154538E-5</v>
      </c>
      <c r="N18" s="179">
        <f>k.w0C.aC</f>
        <v>1.893474429147487E-12</v>
      </c>
      <c r="O18" s="179">
        <f>k.w1C.aC</f>
        <v>6.3022450457971401E-11</v>
      </c>
      <c r="P18" s="179">
        <f>k.w2C.aC</f>
        <v>9.1840332849195498E-13</v>
      </c>
      <c r="Q18" s="376">
        <v>0</v>
      </c>
      <c r="R18" s="376">
        <v>0</v>
      </c>
      <c r="S18" s="179">
        <f>k.s1C.aC</f>
        <v>4.2270403804875319E-11</v>
      </c>
      <c r="T18" s="179">
        <f>k.s2C.aC</f>
        <v>1.9185761529896352E-11</v>
      </c>
      <c r="U18" s="179">
        <f>k.s3C.aC</f>
        <v>4.2161483400515841E-11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1.1541526550681395E-8</v>
      </c>
      <c r="N19" s="378">
        <f>-k.w0C-SUM(N9:N18,N20:N41)</f>
        <v>-8.9282782192383056E-8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3.8168483464174528E-10</v>
      </c>
      <c r="T19" s="179">
        <f>k.s2C.w0C</f>
        <v>1.7381999798322021E-10</v>
      </c>
      <c r="U19" s="179">
        <f>k.s3C.w0C</f>
        <v>3.8197644374071538E-10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1.2695679205749533E-7</v>
      </c>
      <c r="N20" s="179">
        <f>k.w0C.w1C</f>
        <v>2.3972602739726029E-9</v>
      </c>
      <c r="O20" s="378">
        <f>-k.w1C-SUM(O9:O19,O21:O41)</f>
        <v>-1.8591548475033523E-7</v>
      </c>
      <c r="P20" s="376">
        <v>0</v>
      </c>
      <c r="Q20" s="179">
        <f>k.sd1C.w1C</f>
        <v>6.077694390583737E-8</v>
      </c>
      <c r="R20" s="376">
        <v>0</v>
      </c>
      <c r="S20" s="179">
        <f>k.s1C.w1C</f>
        <v>4.1985331810591978E-9</v>
      </c>
      <c r="T20" s="179">
        <f>k.s2C.w1C</f>
        <v>1.9120199778154223E-9</v>
      </c>
      <c r="U20" s="179">
        <f>k.s3C.w1C</f>
        <v>4.2017408811478684E-9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4.91800198615723E-6</v>
      </c>
      <c r="N21" s="179">
        <f>k.w0C.w2C</f>
        <v>0</v>
      </c>
      <c r="O21" s="179">
        <f>k.w1C.w2C</f>
        <v>7.2644250726442513E-8</v>
      </c>
      <c r="P21" s="378">
        <f>-k.w2C-SUM(P9:P20,P22:P41)</f>
        <v>-1.1880122892086922E-7</v>
      </c>
      <c r="Q21" s="376">
        <v>0</v>
      </c>
      <c r="R21" s="179">
        <f>k.sd2C.w2C</f>
        <v>4.3682943293576994E-8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2.6453105432102753E-8</v>
      </c>
      <c r="P22" s="376">
        <v>0</v>
      </c>
      <c r="Q22" s="378">
        <f>-k.sd1C-SUM(Q9:Q21,Q23:Q41)</f>
        <v>-7.3316975817630127E-8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2.4746177511986306E-10</v>
      </c>
      <c r="Q23" s="376">
        <v>0</v>
      </c>
      <c r="R23" s="378">
        <f>-k.sd2C-SUM(R9:R22,R24:R41)</f>
        <v>-5.4263040051802696E-8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8.8680928962836139E-7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-4.8108689986951184E-8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1.9706873102852476E-6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-4.5574509091507214E-8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3.2844788504754116E-7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-4.811210395389431E-8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-1.8384886189622687E-5</v>
      </c>
      <c r="W27" s="179">
        <f>k.w2M.aM</f>
        <v>1.83680665698391E-12</v>
      </c>
      <c r="X27" s="376">
        <v>0</v>
      </c>
      <c r="Y27" s="376">
        <v>0</v>
      </c>
      <c r="Z27" s="179">
        <f>k.sM.aM</f>
        <v>4.2270403804875319E-11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4.7749757215861921E-6</v>
      </c>
      <c r="W28" s="378">
        <f>-k.w2M-SUM(W9:W27,W29:W41)</f>
        <v>-3.8070114864038867E-7</v>
      </c>
      <c r="X28" s="376">
        <f>k.w3M.w2M</f>
        <v>8.3037289171706622E-9</v>
      </c>
      <c r="Y28" s="179">
        <v>0</v>
      </c>
      <c r="Z28" s="179">
        <f>k.sM.w2M</f>
        <v>4.580218015700943E-9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-9.6454266166457085E-8</v>
      </c>
      <c r="Y29" s="376">
        <f>k.sdM.w3M</f>
        <v>4.4594252600848833E-8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1.6497451674657539E-11</v>
      </c>
      <c r="Y30" s="378">
        <f>-k.sdM-SUM(Y9:Y29,Y31:Y41)</f>
        <v>-5.4263040051802689E-8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3.3993581694431856E-6</v>
      </c>
      <c r="W31" s="376">
        <v>0</v>
      </c>
      <c r="X31" s="376">
        <v>0</v>
      </c>
      <c r="Y31" s="376">
        <v>0</v>
      </c>
      <c r="Z31" s="378">
        <f>-k.sM-SUM(Z9:Z30,Z32:Z41)</f>
        <v>-4.8108689986951184E-8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-1.6686044330382737E-5</v>
      </c>
      <c r="AB32" s="179">
        <f>k.w2A.aA</f>
        <v>5.8182101402276973E-14</v>
      </c>
      <c r="AC32" s="376">
        <v>0</v>
      </c>
      <c r="AD32" s="376">
        <v>0</v>
      </c>
      <c r="AE32" s="179">
        <f>k.sA.aA</f>
        <v>1.3393308083542548E-12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5.7639436414589887E-6</v>
      </c>
      <c r="AB33" s="378">
        <f>-k.w2A-SUM(AB9:AB32,AB34:AB41)</f>
        <v>-2.8816201745251382E-7</v>
      </c>
      <c r="AC33" s="376">
        <f>k.w3A.w2A</f>
        <v>8.9753746616491718E-9</v>
      </c>
      <c r="AD33" s="179">
        <v>0</v>
      </c>
      <c r="AE33" s="179">
        <f>k.sA.w2A</f>
        <v>1.651327088187979E-9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-2.9853375847986627E-8</v>
      </c>
      <c r="AD34" s="376">
        <f>k.sdA.w3A</f>
        <v>4.4595122549031241E-8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1.6497451674657539E-11</v>
      </c>
      <c r="AD35" s="378">
        <f>-k.sdA-SUM(AD9:AD34,AD36:AD41)</f>
        <v>-4.6700879209193474E-8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2.7554103149897485E-6</v>
      </c>
      <c r="AB36" s="376">
        <v>0</v>
      </c>
      <c r="AC36" s="376">
        <v>0</v>
      </c>
      <c r="AD36" s="376">
        <v>0</v>
      </c>
      <c r="AE36" s="378">
        <f>-k.sA-SUM(AE9:AE35,AE37:AE41)</f>
        <v>-1.1121183318222195E-8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-1.910216431731474E-5</v>
      </c>
      <c r="AG37" s="179">
        <f>k.w2T.aT</f>
        <v>1.108387121217946E-11</v>
      </c>
      <c r="AH37" s="376">
        <v>0</v>
      </c>
      <c r="AI37" s="376">
        <v>0</v>
      </c>
      <c r="AJ37" s="380">
        <f>k.sT.aT</f>
        <v>2.5498188135488605E-10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6.6295470258236121E-6</v>
      </c>
      <c r="AG38" s="378">
        <f>-k.w2T-SUM(AG9:AG37,AG39:AG41)</f>
        <v>-4.5789946963665863E-7</v>
      </c>
      <c r="AH38" s="376">
        <f>k.w3T.w2T</f>
        <v>7.5748144375595357E-9</v>
      </c>
      <c r="AI38" s="179">
        <v>0</v>
      </c>
      <c r="AJ38" s="380">
        <f>k.sT.w2T</f>
        <v>8.4853959516793628E-9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-2.2142854183881892E-7</v>
      </c>
      <c r="AI39" s="376">
        <f>k.sdT.w3T</f>
        <v>4.4595122549031241E-8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1.6497451674657539E-11</v>
      </c>
      <c r="AI40" s="378">
        <f>-k.sdT-SUM(AI9:AI39,AI41)</f>
        <v>-6.8397236535163485E-8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2.0156444088287383E-6</v>
      </c>
      <c r="AG41" s="373">
        <v>0</v>
      </c>
      <c r="AH41" s="373">
        <v>0</v>
      </c>
      <c r="AI41" s="373">
        <v>0</v>
      </c>
      <c r="AJ41" s="381">
        <f>-k.sT-SUM(AJ9:AJ40)</f>
        <v>-1.1579738907737564E-7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65631004.621925257</v>
      </c>
      <c r="D45" s="370">
        <f t="array" ref="D45:AJ45">TRANSPOSE(MMULT(MINVERSE(D9:AJ41),-TRANSPOSE(D5:AJ5)))</f>
        <v>56181.078394001473</v>
      </c>
      <c r="E45" s="370">
        <v>97565.237775248446</v>
      </c>
      <c r="F45" s="370">
        <v>9209335.7217349689</v>
      </c>
      <c r="G45" s="370">
        <v>460592.44196112343</v>
      </c>
      <c r="H45" s="370">
        <v>3322771.1057348922</v>
      </c>
      <c r="I45" s="370">
        <v>42009.818537878091</v>
      </c>
      <c r="J45" s="370">
        <v>2130527.136204415</v>
      </c>
      <c r="K45" s="370">
        <v>36028858.998636335</v>
      </c>
      <c r="L45" s="370">
        <v>789028.13222517876</v>
      </c>
      <c r="M45" s="370">
        <v>27915.069724507332</v>
      </c>
      <c r="N45" s="370">
        <v>8973.6564021875183</v>
      </c>
      <c r="O45" s="370">
        <v>53874.037008831227</v>
      </c>
      <c r="P45" s="370">
        <v>6541465.4056825526</v>
      </c>
      <c r="Q45" s="370">
        <v>19438.002797503868</v>
      </c>
      <c r="R45" s="370">
        <v>29831.772042812445</v>
      </c>
      <c r="S45" s="370">
        <v>514571.13380204415</v>
      </c>
      <c r="T45" s="370">
        <v>1207075.507085735</v>
      </c>
      <c r="U45" s="370">
        <v>190568.37798561805</v>
      </c>
      <c r="V45" s="370">
        <v>2101.8407676918009</v>
      </c>
      <c r="W45" s="370">
        <v>607472.05598895205</v>
      </c>
      <c r="X45" s="370">
        <v>1592063.538825325</v>
      </c>
      <c r="Y45" s="370">
        <v>484.03095863558252</v>
      </c>
      <c r="Z45" s="370">
        <v>148515.98716281439</v>
      </c>
      <c r="AA45" s="370">
        <v>47.884492213627929</v>
      </c>
      <c r="AB45" s="370">
        <v>124967.14237589718</v>
      </c>
      <c r="AC45" s="370">
        <v>1127730.869120854</v>
      </c>
      <c r="AD45" s="370">
        <v>398.37976993971324</v>
      </c>
      <c r="AE45" s="370">
        <v>1283515.2900568554</v>
      </c>
      <c r="AF45" s="370">
        <v>72.308980546665879</v>
      </c>
      <c r="AG45" s="370">
        <v>1244.6962638679915</v>
      </c>
      <c r="AH45" s="370">
        <v>10546.762558069671</v>
      </c>
      <c r="AI45" s="370">
        <v>2.5438850228457697</v>
      </c>
      <c r="AJ45" s="371">
        <v>1258.6569827546261</v>
      </c>
    </row>
    <row r="46" spans="1:36" ht="12.75" customHeight="1" x14ac:dyDescent="0.2">
      <c r="B46" s="255" t="s">
        <v>2410</v>
      </c>
      <c r="C46" s="531">
        <f>SUM(D46:AJ46)</f>
        <v>68988490.792880774</v>
      </c>
      <c r="D46" s="383">
        <f>D45</f>
        <v>56181.078394001473</v>
      </c>
      <c r="E46" s="383"/>
      <c r="F46" s="383">
        <f t="shared" ref="F46:AJ46" si="0">F45</f>
        <v>9209335.7217349689</v>
      </c>
      <c r="G46" s="383">
        <f t="shared" si="0"/>
        <v>460592.44196112343</v>
      </c>
      <c r="H46" s="383">
        <f t="shared" si="0"/>
        <v>3322771.1057348922</v>
      </c>
      <c r="I46" s="383">
        <f t="shared" si="0"/>
        <v>42009.818537878091</v>
      </c>
      <c r="J46" s="383">
        <f t="shared" si="0"/>
        <v>2130527.136204415</v>
      </c>
      <c r="K46" s="383">
        <f t="shared" si="0"/>
        <v>36028858.998636335</v>
      </c>
      <c r="L46" s="383">
        <f t="shared" si="0"/>
        <v>789028.13222517876</v>
      </c>
      <c r="M46" s="383">
        <f t="shared" si="0"/>
        <v>27915.069724507332</v>
      </c>
      <c r="N46" s="383"/>
      <c r="O46" s="383">
        <f t="shared" si="0"/>
        <v>53874.037008831227</v>
      </c>
      <c r="P46" s="383">
        <f t="shared" si="0"/>
        <v>6541465.4056825526</v>
      </c>
      <c r="Q46" s="383">
        <f t="shared" si="0"/>
        <v>19438.002797503868</v>
      </c>
      <c r="R46" s="383">
        <f t="shared" si="0"/>
        <v>29831.772042812445</v>
      </c>
      <c r="S46" s="383">
        <f t="shared" si="0"/>
        <v>514571.13380204415</v>
      </c>
      <c r="T46" s="383">
        <f t="shared" si="0"/>
        <v>1207075.507085735</v>
      </c>
      <c r="U46" s="383">
        <f t="shared" si="0"/>
        <v>190568.37798561805</v>
      </c>
      <c r="V46" s="383">
        <f t="shared" si="0"/>
        <v>2101.8407676918009</v>
      </c>
      <c r="W46" s="383">
        <f>SUM(W45:X45)</f>
        <v>2199535.5948142773</v>
      </c>
      <c r="X46" s="383">
        <f>SUM(W45:X45)</f>
        <v>2199535.5948142773</v>
      </c>
      <c r="Y46" s="383">
        <f t="shared" si="0"/>
        <v>484.03095863558252</v>
      </c>
      <c r="Z46" s="383">
        <f t="shared" si="0"/>
        <v>148515.98716281439</v>
      </c>
      <c r="AA46" s="383">
        <f t="shared" si="0"/>
        <v>47.884492213627929</v>
      </c>
      <c r="AB46" s="383">
        <f>SUM(AB45:AC45)</f>
        <v>1252698.0114967511</v>
      </c>
      <c r="AC46" s="383">
        <f>SUM(AB45:AC45)</f>
        <v>1252698.0114967511</v>
      </c>
      <c r="AD46" s="383">
        <f t="shared" si="0"/>
        <v>398.37976993971324</v>
      </c>
      <c r="AE46" s="383">
        <f t="shared" si="0"/>
        <v>1283515.2900568554</v>
      </c>
      <c r="AF46" s="383">
        <f t="shared" si="0"/>
        <v>72.308980546665879</v>
      </c>
      <c r="AG46" s="383">
        <f>SUM(AG45:AH45)</f>
        <v>11791.458821937664</v>
      </c>
      <c r="AH46" s="383">
        <f>SUM(AG45:AH45)</f>
        <v>11791.458821937664</v>
      </c>
      <c r="AI46" s="383">
        <f t="shared" si="0"/>
        <v>2.5438850228457697</v>
      </c>
      <c r="AJ46" s="384">
        <f t="shared" si="0"/>
        <v>1258.6569827546261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-1.0779106614346923</v>
      </c>
      <c r="E48" s="515" t="e">
        <f t="shared" ref="E48:AJ48" si="1">IF(E49&gt;0.0001,LOG(E46/E47),"")</f>
        <v>#DIV/0!</v>
      </c>
      <c r="F48" s="515">
        <f t="shared" si="1"/>
        <v>0.88780144721958854</v>
      </c>
      <c r="G48" s="515">
        <f t="shared" si="1"/>
        <v>1.0536555370148339</v>
      </c>
      <c r="H48" s="515">
        <f t="shared" si="1"/>
        <v>1.3122800065810243</v>
      </c>
      <c r="I48" s="515">
        <f t="shared" si="1"/>
        <v>1.4642652907380047</v>
      </c>
      <c r="J48" s="515">
        <f t="shared" si="1"/>
        <v>2.9723775115875561</v>
      </c>
      <c r="K48" s="515">
        <f t="shared" si="1"/>
        <v>0.24245174752735418</v>
      </c>
      <c r="L48" s="515">
        <f t="shared" si="1"/>
        <v>2.9723466935711023</v>
      </c>
      <c r="M48" s="515">
        <f t="shared" si="1"/>
        <v>-2.121705275295815</v>
      </c>
      <c r="N48" s="515" t="e">
        <f t="shared" si="1"/>
        <v>#DIV/0!</v>
      </c>
      <c r="O48" s="515">
        <f t="shared" si="1"/>
        <v>1.2130958056303924</v>
      </c>
      <c r="P48" s="515">
        <f t="shared" si="1"/>
        <v>0.58556694549668042</v>
      </c>
      <c r="Q48" s="515">
        <f t="shared" si="1"/>
        <v>1.6379250948963164</v>
      </c>
      <c r="R48" s="515">
        <f t="shared" si="1"/>
        <v>0.99633339829100365</v>
      </c>
      <c r="S48" s="515">
        <f t="shared" si="1"/>
        <v>1.9007941108304944</v>
      </c>
      <c r="T48" s="515">
        <f t="shared" si="1"/>
        <v>1.4841860047727744</v>
      </c>
      <c r="U48" s="515">
        <f t="shared" si="1"/>
        <v>1.9007632928140408</v>
      </c>
      <c r="V48" s="515" t="str">
        <f t="shared" si="1"/>
        <v/>
      </c>
      <c r="W48" s="515">
        <f t="shared" si="1"/>
        <v>-0.3073729463478157</v>
      </c>
      <c r="X48" s="515">
        <f t="shared" si="1"/>
        <v>-0.3073729463478157</v>
      </c>
      <c r="Y48" s="515" t="str">
        <f t="shared" si="1"/>
        <v/>
      </c>
      <c r="Z48" s="515">
        <f t="shared" si="1"/>
        <v>0.56434427543004129</v>
      </c>
      <c r="AA48" s="515" t="str">
        <f t="shared" si="1"/>
        <v/>
      </c>
      <c r="AB48" s="515">
        <f t="shared" si="1"/>
        <v>-1.2080021961334684</v>
      </c>
      <c r="AC48" s="515">
        <f t="shared" si="1"/>
        <v>-1.2080021961334684</v>
      </c>
      <c r="AD48" s="515" t="str">
        <f t="shared" si="1"/>
        <v/>
      </c>
      <c r="AE48" s="515">
        <f t="shared" si="1"/>
        <v>1.4428614510154425</v>
      </c>
      <c r="AF48" s="515" t="str">
        <f t="shared" si="1"/>
        <v/>
      </c>
      <c r="AG48" s="515" t="str">
        <f t="shared" si="1"/>
        <v/>
      </c>
      <c r="AH48" s="515">
        <f t="shared" si="1"/>
        <v>-1.969909600344862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1.0000000000000004</v>
      </c>
      <c r="D49" s="151">
        <f t="shared" ref="D49:AJ49" si="2">D45/SUM($D45:$AJ45)</f>
        <v>8.5601429869371743E-4</v>
      </c>
      <c r="E49" s="151">
        <f t="shared" si="2"/>
        <v>1.4865723652606555E-3</v>
      </c>
      <c r="F49" s="151">
        <f t="shared" si="2"/>
        <v>0.14031989567714798</v>
      </c>
      <c r="G49" s="151">
        <f t="shared" si="2"/>
        <v>7.0179093648561029E-3</v>
      </c>
      <c r="H49" s="151">
        <f t="shared" si="2"/>
        <v>5.062807014575027E-2</v>
      </c>
      <c r="I49" s="151">
        <f t="shared" si="2"/>
        <v>6.4009104812398274E-4</v>
      </c>
      <c r="J49" s="151">
        <f t="shared" si="2"/>
        <v>3.2462205149495348E-2</v>
      </c>
      <c r="K49" s="151">
        <f t="shared" si="2"/>
        <v>0.54896095536224998</v>
      </c>
      <c r="L49" s="151">
        <f t="shared" si="2"/>
        <v>1.202218580639537E-2</v>
      </c>
      <c r="M49" s="151">
        <f t="shared" si="2"/>
        <v>4.2533357344314953E-4</v>
      </c>
      <c r="N49" s="151">
        <f t="shared" si="2"/>
        <v>1.367289203308904E-4</v>
      </c>
      <c r="O49" s="151">
        <f t="shared" si="2"/>
        <v>8.208625986936912E-4</v>
      </c>
      <c r="P49" s="151">
        <f t="shared" si="2"/>
        <v>9.967035311078043E-2</v>
      </c>
      <c r="Q49" s="151">
        <f t="shared" si="2"/>
        <v>2.9617103851264595E-4</v>
      </c>
      <c r="R49" s="151">
        <f t="shared" si="2"/>
        <v>4.5453779375558402E-4</v>
      </c>
      <c r="S49" s="151">
        <f t="shared" si="2"/>
        <v>7.8403665579445062E-3</v>
      </c>
      <c r="T49" s="151">
        <f t="shared" si="2"/>
        <v>1.8391848700766177E-2</v>
      </c>
      <c r="U49" s="151">
        <f t="shared" si="2"/>
        <v>2.9036334135582489E-3</v>
      </c>
      <c r="V49" s="151">
        <f t="shared" si="2"/>
        <v>3.2025119526962749E-5</v>
      </c>
      <c r="W49" s="151">
        <f t="shared" si="2"/>
        <v>9.2558701407720757E-3</v>
      </c>
      <c r="X49" s="151">
        <f t="shared" si="2"/>
        <v>2.4257796265600155E-2</v>
      </c>
      <c r="Y49" s="151">
        <f t="shared" si="2"/>
        <v>7.3750350375389955E-6</v>
      </c>
      <c r="Z49" s="151">
        <f t="shared" si="2"/>
        <v>2.2628937042539171E-3</v>
      </c>
      <c r="AA49" s="151">
        <f t="shared" si="2"/>
        <v>7.2960169495304703E-7</v>
      </c>
      <c r="AB49" s="151">
        <f t="shared" si="2"/>
        <v>1.9040869950991057E-3</v>
      </c>
      <c r="AC49" s="151">
        <f t="shared" si="2"/>
        <v>1.7182898168590803E-2</v>
      </c>
      <c r="AD49" s="151">
        <f t="shared" si="2"/>
        <v>6.0699934769340266E-6</v>
      </c>
      <c r="AE49" s="151">
        <f t="shared" si="2"/>
        <v>1.955653882567681E-2</v>
      </c>
      <c r="AF49" s="151">
        <f t="shared" si="2"/>
        <v>1.1017503230860148E-6</v>
      </c>
      <c r="AG49" s="151">
        <f t="shared" si="2"/>
        <v>1.8965064926831512E-5</v>
      </c>
      <c r="AH49" s="151">
        <f t="shared" si="2"/>
        <v>1.6069786861903877E-4</v>
      </c>
      <c r="AI49" s="151">
        <f t="shared" si="2"/>
        <v>3.8760415713580856E-8</v>
      </c>
      <c r="AJ49" s="253">
        <f t="shared" si="2"/>
        <v>1.917778022758086E-5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2.4472308400052914E-10</v>
      </c>
      <c r="E50" s="179">
        <f t="shared" si="3"/>
        <v>1.7074023323314249E-6</v>
      </c>
      <c r="F50" s="179">
        <f t="shared" si="3"/>
        <v>4.8837691638712731E-4</v>
      </c>
      <c r="G50" s="179">
        <f t="shared" si="3"/>
        <v>4.6059244196112293E-5</v>
      </c>
      <c r="H50" s="179">
        <f t="shared" si="3"/>
        <v>1.7620865994158103E-2</v>
      </c>
      <c r="I50" s="179">
        <f t="shared" si="3"/>
        <v>1.400327284595935E-3</v>
      </c>
      <c r="J50" s="179">
        <f t="shared" si="3"/>
        <v>6.9045292428591119E-4</v>
      </c>
      <c r="K50" s="179">
        <f t="shared" si="3"/>
        <v>1.3135603607442043E-3</v>
      </c>
      <c r="L50" s="179">
        <f t="shared" si="3"/>
        <v>6.9040393072159845E-4</v>
      </c>
      <c r="M50" s="179">
        <f t="shared" si="3"/>
        <v>3.8774969232221876E-12</v>
      </c>
      <c r="N50" s="179">
        <f t="shared" si="3"/>
        <v>1.0297267117466687E-8</v>
      </c>
      <c r="O50" s="179">
        <f t="shared" si="3"/>
        <v>1.8733465403176148E-7</v>
      </c>
      <c r="P50" s="179">
        <f t="shared" si="3"/>
        <v>8.8078954460759155E-9</v>
      </c>
      <c r="Q50" s="179">
        <f t="shared" si="3"/>
        <v>6.7591213343486505E-6</v>
      </c>
      <c r="R50" s="179">
        <f t="shared" si="3"/>
        <v>2.6778416642037414E-7</v>
      </c>
      <c r="S50" s="179">
        <f t="shared" si="3"/>
        <v>1.0934632766171966E-5</v>
      </c>
      <c r="T50" s="179">
        <f t="shared" si="3"/>
        <v>2.8856638741444786E-6</v>
      </c>
      <c r="U50" s="179">
        <f t="shared" si="3"/>
        <v>1.0933856860074934E-5</v>
      </c>
      <c r="V50" s="179">
        <f t="shared" si="3"/>
        <v>2.7095640000471835E-14</v>
      </c>
      <c r="W50" s="179">
        <f t="shared" si="3"/>
        <v>1.5662313142302386E-10</v>
      </c>
      <c r="X50" s="179">
        <f t="shared" si="3"/>
        <v>1.3682603417277095E-11</v>
      </c>
      <c r="Y50" s="179">
        <f t="shared" si="3"/>
        <v>4.1598865165781291E-10</v>
      </c>
      <c r="Z50" s="179">
        <f t="shared" si="3"/>
        <v>7.6583074880549388E-8</v>
      </c>
      <c r="AA50" s="179">
        <f t="shared" si="3"/>
        <v>1.1266939344383043E-15</v>
      </c>
      <c r="AB50" s="179">
        <f t="shared" si="3"/>
        <v>4.9006722500351835E-11</v>
      </c>
      <c r="AC50" s="179">
        <f t="shared" si="3"/>
        <v>1.4741579988507896E-11</v>
      </c>
      <c r="AD50" s="179">
        <f t="shared" si="3"/>
        <v>5.2075786920223951E-10</v>
      </c>
      <c r="AE50" s="179">
        <f t="shared" si="3"/>
        <v>1.5100179883021828E-6</v>
      </c>
      <c r="AF50" s="179">
        <f t="shared" si="3"/>
        <v>5.6712925918953628E-16</v>
      </c>
      <c r="AG50" s="179">
        <f t="shared" si="3"/>
        <v>1.3946176625971895E-13</v>
      </c>
      <c r="AH50" s="179">
        <f t="shared" si="3"/>
        <v>3.9390336351333977E-14</v>
      </c>
      <c r="AI50" s="179">
        <f t="shared" si="3"/>
        <v>9.5009711404137061E-13</v>
      </c>
      <c r="AJ50" s="380">
        <f t="shared" si="3"/>
        <v>6.5812129817235333E-10</v>
      </c>
    </row>
    <row r="51" spans="1:36" ht="12.75" customHeight="1" x14ac:dyDescent="0.2">
      <c r="B51" s="141" t="s">
        <v>703</v>
      </c>
      <c r="C51" s="254"/>
      <c r="D51" s="385">
        <f>D50*8.314*TEMP.R</f>
        <v>5.798689003084139E-7</v>
      </c>
      <c r="E51" s="385">
        <f>E50*Kaw.R*8.314*TEMP.R</f>
        <v>1.9887987397982042E-10</v>
      </c>
      <c r="F51" s="385">
        <f>F50*Kaw.R*8.314*TEMP.R</f>
        <v>5.6886615267239502E-8</v>
      </c>
      <c r="G51" s="385">
        <f>G50*Kaw.R*8.314*TEMP.R</f>
        <v>5.3650252830687149E-9</v>
      </c>
      <c r="H51" s="385">
        <f>H50*Kaw.R/Ksdw1.R*8.314*TEMP.R</f>
        <v>7.7718090172446952E-8</v>
      </c>
      <c r="I51" s="385">
        <f>I50*Kaw.R/Ksdw2.R*8.314*TEMP.R</f>
        <v>6.2182633009578166E-9</v>
      </c>
      <c r="J51" s="385">
        <f>J50*Kaw.R/Ks1w.R*8.314*TEMP.R</f>
        <v>2.598101493358071E-9</v>
      </c>
      <c r="K51" s="385">
        <f>K50*Kaw.R/Ks2w.R*8.314*TEMP.R</f>
        <v>4.9465853773323575E-9</v>
      </c>
      <c r="L51" s="385">
        <f>L50*Kaw.R/Ks3w.R*8.314*TEMP.R</f>
        <v>2.5999124899181452E-9</v>
      </c>
      <c r="M51" s="385">
        <f>M50*8.314*TEMP.C</f>
        <v>9.1876901846057418E-9</v>
      </c>
      <c r="N51" s="385">
        <f>N50*Kaw.C*8.314*TEMP.C</f>
        <v>1.1994356267874655E-12</v>
      </c>
      <c r="O51" s="385">
        <f>O50*Kaw.C*8.314*TEMP.C</f>
        <v>2.1820921572138264E-11</v>
      </c>
      <c r="P51" s="385">
        <f>P50*Kaw.C*8.314*TEMP.C</f>
        <v>1.0259521749341185E-12</v>
      </c>
      <c r="Q51" s="385">
        <f>Q50*Kaw.C/Ksdw1.C*8.314*TEMP.C</f>
        <v>2.9811588234288521E-11</v>
      </c>
      <c r="R51" s="385">
        <f>R50*Kaw.C/Ksdw2.C*8.314*TEMP.C</f>
        <v>1.1891166250537447E-12</v>
      </c>
      <c r="S51" s="385">
        <f>S50*Kaw.C/Ks1w.C*8.314*TEMP.C</f>
        <v>4.1145869211134544E-11</v>
      </c>
      <c r="T51" s="385">
        <f>T50*Kaw.C/Ks2w.C*8.314*TEMP.C</f>
        <v>1.0866788577307716E-11</v>
      </c>
      <c r="U51" s="385">
        <f>U50*Kaw.C/Ks3w.C*8.314*TEMP.C</f>
        <v>4.1174549779539243E-11</v>
      </c>
      <c r="V51" s="385">
        <f>V50*8.314*TEMP.M</f>
        <v>6.4202848024718003E-11</v>
      </c>
      <c r="W51" s="385">
        <f>W50*Kaw.M*8.314*TEMP.M</f>
        <v>1.8243613734088212E-14</v>
      </c>
      <c r="X51" s="385">
        <f>X50*Kaw.M*8.314*TEMP.M</f>
        <v>1.5937628711260985E-15</v>
      </c>
      <c r="Y51" s="385">
        <f>Y50*Kaw.M/Ksdw.M*8.314*TEMP.M</f>
        <v>1.8472302830013801E-15</v>
      </c>
      <c r="Z51" s="372">
        <f>Z50*Kaw.M/Kslw.M*8.314*TEMP.M</f>
        <v>2.8817402927055485E-13</v>
      </c>
      <c r="AA51" s="385">
        <f>AA50*8.314*TEMP.A</f>
        <v>2.4636086765519761E-12</v>
      </c>
      <c r="AB51" s="385">
        <f>AB50*Kaw.A*8.314*TEMP.A</f>
        <v>1.668518098406398E-16</v>
      </c>
      <c r="AC51" s="385">
        <f>AC50*Kaw.A*8.314*TEMP.A</f>
        <v>5.0190242797310953E-17</v>
      </c>
      <c r="AD51" s="385">
        <f>AD50*Kaw.A/Ksdw.A*8.314*TEMP.A</f>
        <v>6.7592062002818446E-17</v>
      </c>
      <c r="AE51" s="372">
        <f>AE50*Kaw.A/Kslw.A*8.314*TEMP.A</f>
        <v>1.6608272343199041E-13</v>
      </c>
      <c r="AF51" s="385">
        <f>AF50*8.314*TEMP.T</f>
        <v>1.4051035729487379E-12</v>
      </c>
      <c r="AG51" s="385">
        <f>AG50*Kaw.T*8.314*TEMP.T</f>
        <v>1.0251693332696094E-16</v>
      </c>
      <c r="AH51" s="385">
        <f>AH50*Kaw.T*8.314*TEMP.T</f>
        <v>2.8955437707106015E-17</v>
      </c>
      <c r="AI51" s="385">
        <f>AI50*Kaw.T/Ksdw.T*8.314*TEMP.T</f>
        <v>2.6625209572811618E-17</v>
      </c>
      <c r="AJ51" s="386">
        <f>AJ50*Kaw.T/Kslw.T*8.314*TEMP.T</f>
        <v>1.5628362047970039E-14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-0.90601374474087937</v>
      </c>
      <c r="E55" s="370">
        <f t="shared" ref="E55:AJ55" si="4">E9*E$45</f>
        <v>1.847372829011274E-7</v>
      </c>
      <c r="F55" s="370">
        <f t="shared" si="4"/>
        <v>5.8039490427386838E-4</v>
      </c>
      <c r="G55" s="370">
        <f t="shared" si="4"/>
        <v>8.4601926355066676E-6</v>
      </c>
      <c r="H55" s="389">
        <f t="shared" si="4"/>
        <v>0</v>
      </c>
      <c r="I55" s="389">
        <f t="shared" si="4"/>
        <v>0</v>
      </c>
      <c r="J55" s="370">
        <f t="shared" si="4"/>
        <v>9.0058242364605216E-5</v>
      </c>
      <c r="K55" s="370">
        <f t="shared" si="4"/>
        <v>6.9124109694209703E-4</v>
      </c>
      <c r="L55" s="370">
        <f t="shared" si="4"/>
        <v>3.3266596499351889E-5</v>
      </c>
      <c r="M55" s="370">
        <f t="shared" si="4"/>
        <v>8.3854057055093717E-3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1.3337796177141921E-3</v>
      </c>
      <c r="E56" s="378">
        <f>SUM(D56,F56:AJ56)-SUM(E55,E57:E87)</f>
        <v>8.4768218679133738E-3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8.1318989768193321E-4</v>
      </c>
      <c r="K56" s="376">
        <f t="shared" si="6"/>
        <v>6.2625361984806919E-3</v>
      </c>
      <c r="L56" s="376">
        <f t="shared" si="6"/>
        <v>3.0139015995875269E-4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1.4671575794856114E-2</v>
      </c>
      <c r="E57" s="179">
        <f t="shared" ref="E57:E87" si="7">E11*E$45</f>
        <v>2.338892686392942E-4</v>
      </c>
      <c r="F57" s="378">
        <f>SUM(D57:E57,G57:AJ57)-SUM(F55:F56,F58:F87)</f>
        <v>-0.61526984283871666</v>
      </c>
      <c r="G57" s="376">
        <f t="shared" ref="G57:AJ57" si="8">G11*G$45</f>
        <v>0</v>
      </c>
      <c r="H57" s="179">
        <f t="shared" si="8"/>
        <v>0.20187763018511024</v>
      </c>
      <c r="I57" s="376">
        <f t="shared" si="8"/>
        <v>0</v>
      </c>
      <c r="J57" s="179">
        <f t="shared" si="8"/>
        <v>8.9450888745012651E-3</v>
      </c>
      <c r="K57" s="179">
        <f t="shared" si="8"/>
        <v>6.8887898183287624E-2</v>
      </c>
      <c r="L57" s="179">
        <f t="shared" si="8"/>
        <v>3.3152917595462802E-3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2.3341289193055843E-3</v>
      </c>
      <c r="E58" s="179">
        <f t="shared" si="7"/>
        <v>0</v>
      </c>
      <c r="F58" s="179">
        <f t="shared" ref="F58:F87" si="9">F12*F$45</f>
        <v>0.66900529319369839</v>
      </c>
      <c r="G58" s="378">
        <f>SUM(D58:F58,H58:AJ58)-SUM(G55:G57,G59:G87)</f>
        <v>4.0000105128644936E-2</v>
      </c>
      <c r="H58" s="376">
        <f t="shared" ref="H58:N58" si="10">H12*H$45</f>
        <v>0</v>
      </c>
      <c r="I58" s="179">
        <f t="shared" si="10"/>
        <v>1.7847410642896633E-3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1.0858981311036218E-4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0.24361552880668524</v>
      </c>
      <c r="G59" s="376">
        <f t="shared" ref="G59:G87" si="12">G13*G$45</f>
        <v>0</v>
      </c>
      <c r="H59" s="378">
        <f>SUM(D59:G59,I59:AJ59)-SUM(H55:H58,H60:H87)</f>
        <v>4.1737898621575009E-2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2.2795804658898421E-3</v>
      </c>
      <c r="H60" s="376">
        <f t="shared" ref="H60:H87" si="15">H14*H$45</f>
        <v>0</v>
      </c>
      <c r="I60" s="378">
        <f>SUM(D60:H60,J60:AJ60)-SUM(I55:I59,I61:I87)</f>
        <v>4.9483940160017885E-4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0.10249686950444514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9.2648532489897337E-2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0.22777082112098912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0.15192914564227872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3.7961803520164865E-2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3.431185500416048E-2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0.529233777738912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0.25251920446104942</v>
      </c>
      <c r="N64" s="179">
        <f>N18*N$45</f>
        <v>1.6991388933497704E-8</v>
      </c>
      <c r="O64" s="179">
        <f>O18*O$45</f>
        <v>3.3952738283599838E-6</v>
      </c>
      <c r="P64" s="179">
        <f t="shared" ref="P64:AJ64" si="25">P18*P$45</f>
        <v>6.0077036017938333E-6</v>
      </c>
      <c r="Q64" s="376">
        <f t="shared" si="25"/>
        <v>0</v>
      </c>
      <c r="R64" s="376">
        <f t="shared" si="25"/>
        <v>0</v>
      </c>
      <c r="S64" s="179">
        <f t="shared" si="25"/>
        <v>2.1751129612144933E-5</v>
      </c>
      <c r="T64" s="179">
        <f t="shared" si="25"/>
        <v>2.3158662827525624E-5</v>
      </c>
      <c r="U64" s="179">
        <f t="shared" si="25"/>
        <v>8.0346455051038635E-6</v>
      </c>
      <c r="V64" s="179">
        <f t="shared" si="25"/>
        <v>2.6954263451928727E-4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3.2218251838952376E-4</v>
      </c>
      <c r="N65" s="378">
        <f>SUM(D65:M65,O65:AJ65)-SUM(N55:N64,N66:N87)</f>
        <v>7.796638286316146E-4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1.964039981166486E-4</v>
      </c>
      <c r="T65" s="376">
        <f t="shared" si="27"/>
        <v>2.0981386220723697E-4</v>
      </c>
      <c r="U65" s="376">
        <f t="shared" si="27"/>
        <v>7.2792631312382813E-5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3.5440077022847608E-3</v>
      </c>
      <c r="N66" s="179">
        <f t="shared" ref="N66:N87" si="28">N20*N$45</f>
        <v>2.1512190005244052E-5</v>
      </c>
      <c r="O66" s="378">
        <f>SUM(D66:N66,P66:AJ66)-SUM(O55:O65,O67:O87)</f>
        <v>4.673847798963203E-3</v>
      </c>
      <c r="P66" s="376">
        <f t="shared" ref="P66:AJ66" si="29">P20*P$45</f>
        <v>0</v>
      </c>
      <c r="Q66" s="179">
        <f t="shared" si="29"/>
        <v>1.1813824056654024E-3</v>
      </c>
      <c r="R66" s="376">
        <f t="shared" si="29"/>
        <v>0</v>
      </c>
      <c r="S66" s="179">
        <f t="shared" si="29"/>
        <v>2.1604439792831344E-3</v>
      </c>
      <c r="T66" s="179">
        <f t="shared" si="29"/>
        <v>2.3079524842796067E-3</v>
      </c>
      <c r="U66" s="179">
        <f t="shared" si="29"/>
        <v>8.0071894443621084E-4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0.63094460720323375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0.13728636834884461</v>
      </c>
      <c r="N67" s="179">
        <f t="shared" si="28"/>
        <v>0</v>
      </c>
      <c r="O67" s="179">
        <f t="shared" ref="O67:O87" si="30">O21*O$45</f>
        <v>3.9136390521151785E-3</v>
      </c>
      <c r="P67" s="378">
        <f>SUM(D67:O67,Q67:AJ67)-SUM(P55:P66,P68:P87)</f>
        <v>0.56809291704526677</v>
      </c>
      <c r="Q67" s="376">
        <f t="shared" ref="Q67:AJ67" si="31">Q21*Q$45</f>
        <v>0</v>
      </c>
      <c r="R67" s="179">
        <f t="shared" si="31"/>
        <v>1.3031396064930915E-3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3.6863749277531053E-3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1.4251355810476181E-3</v>
      </c>
      <c r="P68" s="376">
        <f t="shared" ref="P68:P87" si="32">P22*P$45</f>
        <v>0</v>
      </c>
      <c r="Q68" s="378">
        <f>SUM(D68:P68,R68:AJ68)-SUM(Q55:Q67,Q69:Q87)</f>
        <v>2.4375317538221568E-4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1.6187626411753797E-3</v>
      </c>
      <c r="Q69" s="376">
        <f t="shared" ref="Q69:Q87" si="34">Q23*Q$45</f>
        <v>0</v>
      </c>
      <c r="R69" s="378">
        <f>SUM(D69:Q69,S69:AJ69)-SUM(R55:R68,R70:R87)</f>
        <v>3.1562303468228819E-4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2.4755343152316523E-2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2.2376744045304594E-2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5.5011873671814503E-2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5.2470948662500135E-2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9.1686456119690809E-3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8.2870993907153828E-3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3.8572653608017336E-2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1.9013212712679417E-2</v>
      </c>
      <c r="W73" s="179">
        <f t="shared" ref="W73:AJ73" si="43">W27*W$45</f>
        <v>1.1158087163722096E-6</v>
      </c>
      <c r="X73" s="376">
        <f t="shared" si="43"/>
        <v>0</v>
      </c>
      <c r="Y73" s="376">
        <f t="shared" si="43"/>
        <v>0</v>
      </c>
      <c r="Z73" s="179">
        <f t="shared" si="43"/>
        <v>6.2778307488518437E-6</v>
      </c>
      <c r="AA73" s="179">
        <f t="shared" si="43"/>
        <v>3.3152438033023743E-5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2.8903617207360573E-5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0.20730785193528556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1.0036238636368433E-2</v>
      </c>
      <c r="W74" s="378">
        <f>SUM(D74:V74,X74:AJ74)-SUM(W55:W73,W75:W87)</f>
        <v>5.2755850701352247E-2</v>
      </c>
      <c r="X74" s="376">
        <f t="shared" ref="X74:AJ74" si="45">X28*X$45</f>
        <v>1.3220064045316908E-2</v>
      </c>
      <c r="Y74" s="376">
        <f t="shared" si="45"/>
        <v>0</v>
      </c>
      <c r="Z74" s="179">
        <f t="shared" si="45"/>
        <v>6.8023560002273241E-4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2.0919264938957845E-5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0.15132849833065729</v>
      </c>
      <c r="X75" s="378">
        <f>SUM(D75:W75,Y75:AJ75)-SUM(X55:X74,X76:X87)</f>
        <v>0.13826260077856628</v>
      </c>
      <c r="Y75" s="376">
        <f t="shared" ref="Y75:AJ75" si="47">Y29*Y$45</f>
        <v>2.158499883602618E-5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2.2112369982761845E-3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2.6264991294755064E-5</v>
      </c>
      <c r="Y76" s="378">
        <f>SUM(D76:X76,Z76:AJ76)-SUM(Y55:Y75,Y77:Y87)</f>
        <v>4.6799924587288842E-6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7.1449095845218602E-3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6.4583961537502763E-3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7.9727643739254598E-4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3.5790538358872886E-4</v>
      </c>
      <c r="AB78" s="179">
        <f t="shared" ref="AB78:AJ78" si="53">AB32*AB$45</f>
        <v>7.2708509496672334E-9</v>
      </c>
      <c r="AC78" s="376">
        <f t="shared" si="53"/>
        <v>0</v>
      </c>
      <c r="AD78" s="376">
        <f t="shared" si="53"/>
        <v>0</v>
      </c>
      <c r="AE78" s="179">
        <f t="shared" si="53"/>
        <v>1.7190515709668939E-6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2.349346971345358E-2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2.7600351441923316E-4</v>
      </c>
      <c r="AB79" s="378">
        <f>SUM(D79:AA79,AC79:AJ79)-SUM(AB55:AB78,AB80:AB87)</f>
        <v>2.3619688948831596E-3</v>
      </c>
      <c r="AC79" s="376">
        <f t="shared" ref="AC79:AJ79" si="55">AC33*AC$45</f>
        <v>1.0121807067866912E-2</v>
      </c>
      <c r="AD79" s="376">
        <f t="shared" si="55"/>
        <v>0</v>
      </c>
      <c r="AE79" s="179">
        <f t="shared" si="55"/>
        <v>2.1195035665743361E-3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3.3648807696579956E-2</v>
      </c>
      <c r="AC80" s="378">
        <f>SUM(D80:AB80,AD80:AJ80)-SUM(AC55:AC79,AC81:AC87)</f>
        <v>2.1314924739583033E-2</v>
      </c>
      <c r="AD80" s="376">
        <f t="shared" ref="AD80:AJ80" si="57">AD34*AD$45</f>
        <v>1.7765794661516383E-5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1.8604685515340833E-5</v>
      </c>
      <c r="AD81" s="378">
        <f>SUM(D81:AC81,AE81:AJ81)-SUM(AD55:AD80,AD82:AD87)</f>
        <v>8.3889085382444966E-7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1.3194142377347668E-4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-1.9892811943718262E-3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1.3809232972413967E-3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7.2722943154208703E-4</v>
      </c>
      <c r="AG83" s="179">
        <f>AG37*AG$45</f>
        <v>1.379605308699376E-8</v>
      </c>
      <c r="AH83" s="376">
        <f>AH37*AH$45</f>
        <v>0</v>
      </c>
      <c r="AI83" s="376">
        <f>AI37*AI$45</f>
        <v>0</v>
      </c>
      <c r="AJ83" s="380">
        <f>AJ37*AJ$45</f>
        <v>3.2093472544323894E-7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4.7937578692348621E-4</v>
      </c>
      <c r="AG84" s="378">
        <f>SUM(D84:AF84,AH84:AJ84)-SUM(AG55:AG83,AG85:AG87)</f>
        <v>2.6616240119412861E-4</v>
      </c>
      <c r="AH84" s="376">
        <f>AH38*AH$45</f>
        <v>7.9889769294378492E-5</v>
      </c>
      <c r="AI84" s="179">
        <f>AI38*AI$45</f>
        <v>0</v>
      </c>
      <c r="AJ84" s="380">
        <f>AJ38*AJ$45</f>
        <v>1.0680202866019066E-5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2.0523905125915641E-3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2.8285029689771026E-4</v>
      </c>
      <c r="AH85" s="378">
        <f>SUM(D85:AG85,AI85:AJ85)-SUM(AH55:AH84,AH86:AH87)</f>
        <v>2.2552904903536146E-3</v>
      </c>
      <c r="AI85" s="376">
        <f>AI39*AI$45</f>
        <v>1.1344486434445224E-7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1.7399470562584192E-7</v>
      </c>
      <c r="AI86" s="378">
        <f>SUM(D86:AH86,AJ86)-SUM(AI55:AI85,AI87)</f>
        <v>6.0549841281389681E-8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1.4574919234699307E-4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1.3474805475553078E-4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4.2568224900156721</v>
      </c>
      <c r="D91" s="179">
        <f t="array" ref="D91:AJ91">D5:AJ5</f>
        <v>1.4142267408689941</v>
      </c>
      <c r="E91" s="179">
        <v>0</v>
      </c>
      <c r="F91" s="179">
        <v>1.4142267408689941</v>
      </c>
      <c r="G91" s="179">
        <v>0</v>
      </c>
      <c r="H91" s="179">
        <v>0</v>
      </c>
      <c r="I91" s="179">
        <v>0</v>
      </c>
      <c r="J91" s="179">
        <v>0</v>
      </c>
      <c r="K91" s="179">
        <v>1.4142267408689941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1.4142267408689941E-2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3.5189847182562106</v>
      </c>
      <c r="D92" s="179">
        <f>SUM($D$55:$AJ$55)</f>
        <v>-0.89622473326537155</v>
      </c>
      <c r="E92" s="179">
        <f>SUM($D$56:$AJ$56)</f>
        <v>1.7187717741748945E-2</v>
      </c>
      <c r="F92" s="179">
        <f>SUM($D$57:$AJ$57)</f>
        <v>-0.31733846877277588</v>
      </c>
      <c r="G92" s="179">
        <f>SUM($D$58:$AJ$58)</f>
        <v>0.71323285811904902</v>
      </c>
      <c r="H92" s="179">
        <f>SUM($D$59:$AJ$59)</f>
        <v>0.28535342742826025</v>
      </c>
      <c r="I92" s="179">
        <f>SUM($D$60:$AJ$60)</f>
        <v>2.774419867490021E-3</v>
      </c>
      <c r="J92" s="179">
        <f>SUM($D$61:$AJ$61)</f>
        <v>0.19514540199434249</v>
      </c>
      <c r="K92" s="179">
        <f>SUM($D$62:$AJ$62)</f>
        <v>0.37969996676326784</v>
      </c>
      <c r="L92" s="179">
        <f>SUM($D$63:$AJ$63)</f>
        <v>7.2273658524325352E-2</v>
      </c>
      <c r="M92" s="179">
        <f>SUM($D$64:$AJ$64)</f>
        <v>0.78208488924124453</v>
      </c>
      <c r="N92" s="179">
        <f>SUM($D$65:$AJ$65)</f>
        <v>1.5808568386574068E-3</v>
      </c>
      <c r="O92" s="179">
        <f>SUM($D$66:$AJ$66)</f>
        <v>1.4689865504917562E-2</v>
      </c>
      <c r="P92" s="179">
        <f>SUM($D$67:$AJ$67)</f>
        <v>1.3452270461837066</v>
      </c>
      <c r="Q92" s="179">
        <f>SUM($D$68:$AJ$68)</f>
        <v>1.6688887564298338E-3</v>
      </c>
      <c r="R92" s="179">
        <f>SUM($D$69:$AJ$69)</f>
        <v>1.9343856758576678E-3</v>
      </c>
      <c r="S92" s="179">
        <f>SUM($D$70:$AJ$70)</f>
        <v>4.7132087197621117E-2</v>
      </c>
      <c r="T92" s="179">
        <f>SUM($D$71:$AJ$71)</f>
        <v>0.10748282233431464</v>
      </c>
      <c r="U92" s="179">
        <f>SUM($D$72:$AJ$72)</f>
        <v>1.7455745002684465E-2</v>
      </c>
      <c r="V92" s="179">
        <f>SUM($D$73:$AJ$73)</f>
        <v>5.7655316015402358E-2</v>
      </c>
      <c r="W92" s="179">
        <f>SUM($D$74:$AJ$74)</f>
        <v>0.28402116018328483</v>
      </c>
      <c r="X92" s="179">
        <f>SUM($D$75:$AJ$75)</f>
        <v>0.29182392110633576</v>
      </c>
      <c r="Y92" s="179">
        <f>SUM($D$76:$AJ$76)</f>
        <v>3.0944983753483948E-5</v>
      </c>
      <c r="Z92" s="179">
        <f>SUM($D$77:$AJ$77)</f>
        <v>1.3603305738272137E-2</v>
      </c>
      <c r="AA92" s="179">
        <f>SUM($D$78:$AJ$78)</f>
        <v>1.1569081434031916E-3</v>
      </c>
      <c r="AB92" s="179">
        <f>SUM($D$79:$AJ$79)</f>
        <v>3.8372752757197225E-2</v>
      </c>
      <c r="AC92" s="179">
        <f>SUM($D$80:$AJ$80)</f>
        <v>5.4981498230824502E-2</v>
      </c>
      <c r="AD92" s="179">
        <f>SUM($D$81:$AJ$81)</f>
        <v>1.9443576369165282E-5</v>
      </c>
      <c r="AE92" s="179">
        <f>SUM($D$82:$AJ$82)</f>
        <v>-1.8573397705983496E-3</v>
      </c>
      <c r="AF92" s="179">
        <f>SUM($D$83:$AJ$83)</f>
        <v>2.1084874595620135E-3</v>
      </c>
      <c r="AG92" s="179">
        <f>SUM($D$84:$AJ$84)</f>
        <v>8.3610816027801234E-4</v>
      </c>
      <c r="AH92" s="179">
        <f>SUM($D$85:$AJ$85)</f>
        <v>4.590644744707233E-3</v>
      </c>
      <c r="AI92" s="179">
        <f>SUM($D$86:$AJ$86)</f>
        <v>2.3454454690723159E-7</v>
      </c>
      <c r="AJ92" s="380">
        <f>SUM($D$87:$AJ$87)</f>
        <v>2.8049724710252388E-4</v>
      </c>
    </row>
    <row r="93" spans="2:36" ht="12.75" customHeight="1" x14ac:dyDescent="0.2">
      <c r="B93" s="146" t="s">
        <v>1212</v>
      </c>
      <c r="C93" s="150">
        <f>SUM(D93:AJ93)</f>
        <v>3.5189847182562111</v>
      </c>
      <c r="D93" s="179">
        <f t="shared" ref="D93:AJ93" si="61">SUM(D55:D87)</f>
        <v>9.7890114755077029E-3</v>
      </c>
      <c r="E93" s="179">
        <f t="shared" si="61"/>
        <v>8.7108958738355696E-3</v>
      </c>
      <c r="F93" s="179">
        <f t="shared" si="61"/>
        <v>0.29793137406594083</v>
      </c>
      <c r="G93" s="179">
        <f t="shared" si="61"/>
        <v>0.67323275299040408</v>
      </c>
      <c r="H93" s="179">
        <f t="shared" si="61"/>
        <v>0.24361552880668524</v>
      </c>
      <c r="I93" s="179">
        <f t="shared" si="61"/>
        <v>2.2795804658898421E-3</v>
      </c>
      <c r="J93" s="179">
        <f t="shared" si="61"/>
        <v>0.10249686950444514</v>
      </c>
      <c r="K93" s="179">
        <f t="shared" si="61"/>
        <v>0.22777082112098912</v>
      </c>
      <c r="L93" s="179">
        <f t="shared" si="61"/>
        <v>3.7961803520164865E-2</v>
      </c>
      <c r="M93" s="179">
        <f t="shared" si="61"/>
        <v>0.52956568478019506</v>
      </c>
      <c r="N93" s="179">
        <f t="shared" si="61"/>
        <v>8.0119301002579222E-4</v>
      </c>
      <c r="O93" s="179">
        <f t="shared" si="61"/>
        <v>1.001601770595436E-2</v>
      </c>
      <c r="P93" s="179">
        <f t="shared" si="61"/>
        <v>0.77713412913843982</v>
      </c>
      <c r="Q93" s="179">
        <f t="shared" si="61"/>
        <v>1.4251355810476181E-3</v>
      </c>
      <c r="R93" s="179">
        <f t="shared" si="61"/>
        <v>1.6187626411753797E-3</v>
      </c>
      <c r="S93" s="179">
        <f t="shared" si="61"/>
        <v>2.4755343152316523E-2</v>
      </c>
      <c r="T93" s="179">
        <f t="shared" si="61"/>
        <v>5.5011873671814503E-2</v>
      </c>
      <c r="U93" s="179">
        <f t="shared" si="61"/>
        <v>9.1686456119690809E-3</v>
      </c>
      <c r="V93" s="179">
        <f t="shared" si="61"/>
        <v>3.8642103302722941E-2</v>
      </c>
      <c r="W93" s="179">
        <f t="shared" si="61"/>
        <v>0.23126530948193261</v>
      </c>
      <c r="X93" s="179">
        <f t="shared" si="61"/>
        <v>0.15356132032776953</v>
      </c>
      <c r="Y93" s="179">
        <f t="shared" si="61"/>
        <v>2.6264991294755064E-5</v>
      </c>
      <c r="Z93" s="179">
        <f t="shared" si="61"/>
        <v>7.1449095845218602E-3</v>
      </c>
      <c r="AA93" s="179">
        <f t="shared" si="61"/>
        <v>7.9900275981446248E-4</v>
      </c>
      <c r="AB93" s="179">
        <f t="shared" si="61"/>
        <v>3.6010783862314065E-2</v>
      </c>
      <c r="AC93" s="179">
        <f t="shared" si="61"/>
        <v>3.3666573491241462E-2</v>
      </c>
      <c r="AD93" s="179">
        <f t="shared" si="61"/>
        <v>1.8604685515340833E-5</v>
      </c>
      <c r="AE93" s="179">
        <f t="shared" si="61"/>
        <v>1.3194142377347682E-4</v>
      </c>
      <c r="AF93" s="179">
        <f t="shared" si="61"/>
        <v>1.3812580280199269E-3</v>
      </c>
      <c r="AG93" s="179">
        <f t="shared" si="61"/>
        <v>5.6994575908388373E-4</v>
      </c>
      <c r="AH93" s="179">
        <f t="shared" si="61"/>
        <v>2.3353542543536189E-3</v>
      </c>
      <c r="AI93" s="179">
        <f t="shared" si="61"/>
        <v>1.7399470562584192E-7</v>
      </c>
      <c r="AJ93" s="380">
        <f t="shared" si="61"/>
        <v>1.4574919234699307E-4</v>
      </c>
    </row>
    <row r="94" spans="2:36" ht="12.75" customHeight="1" x14ac:dyDescent="0.2">
      <c r="B94" s="152" t="s">
        <v>1211</v>
      </c>
      <c r="C94" s="150">
        <f>SUM(D94:AJ94)</f>
        <v>4.2568224900156713</v>
      </c>
      <c r="D94" s="179">
        <f>k.aR*D45</f>
        <v>0.5082129961281151</v>
      </c>
      <c r="E94" s="179">
        <f>k.w0R*E45</f>
        <v>8.4768218679133756E-3</v>
      </c>
      <c r="F94" s="179">
        <f>k.w1R*F45</f>
        <v>0.79895689803027736</v>
      </c>
      <c r="G94" s="179">
        <f>k.w2R*G45</f>
        <v>4.0000105128645103E-2</v>
      </c>
      <c r="H94" s="179">
        <f>k.sd1R*H45</f>
        <v>4.1737898621575016E-2</v>
      </c>
      <c r="I94" s="179">
        <f>k.sd2R*I45</f>
        <v>4.9483940160017917E-4</v>
      </c>
      <c r="J94" s="179">
        <f>k.s1R*J45</f>
        <v>9.2648532489897323E-2</v>
      </c>
      <c r="K94" s="179">
        <f>k.s2R*K45</f>
        <v>1.5661558865112728</v>
      </c>
      <c r="L94" s="179">
        <f>k.s3R*L45</f>
        <v>3.431185500416048E-2</v>
      </c>
      <c r="M94" s="179">
        <f>k.aC*M45</f>
        <v>0.25251920446104947</v>
      </c>
      <c r="N94" s="179">
        <f>k.w0C*N45</f>
        <v>7.7966382863161438E-4</v>
      </c>
      <c r="O94" s="179">
        <f>k.w1C*O45</f>
        <v>4.6738477989631995E-3</v>
      </c>
      <c r="P94" s="179">
        <f>k.w2C*P45</f>
        <v>0.56809291704526643</v>
      </c>
      <c r="Q94" s="179">
        <f>k.sd1C*Q45</f>
        <v>2.4375317538221546E-4</v>
      </c>
      <c r="R94" s="179">
        <f>k.sd2C*R45</f>
        <v>3.1562303468228819E-4</v>
      </c>
      <c r="S94" s="179">
        <f>k.s1C*S45</f>
        <v>2.2376744045304594E-2</v>
      </c>
      <c r="T94" s="179">
        <f>k.s2C*T45</f>
        <v>5.2470948662500141E-2</v>
      </c>
      <c r="U94" s="179">
        <f>k.s3C*U45</f>
        <v>8.2870993907153811E-3</v>
      </c>
      <c r="V94" s="179">
        <f>k.aM*V45</f>
        <v>1.9013212712679417E-2</v>
      </c>
      <c r="W94" s="179">
        <f>k.w2M*W45</f>
        <v>5.2755850701352226E-2</v>
      </c>
      <c r="X94" s="179">
        <f>k.w3M*X45</f>
        <v>0.13826260077856625</v>
      </c>
      <c r="Y94" s="179">
        <f>k.sdM*Y45</f>
        <v>4.6799924587288859E-6</v>
      </c>
      <c r="Z94" s="179">
        <f>k.sM*Z45</f>
        <v>6.4583961537502755E-3</v>
      </c>
      <c r="AA94" s="179">
        <f>k.aA*AA45</f>
        <v>3.5790538358872914E-4</v>
      </c>
      <c r="AB94" s="179">
        <f>k.w2A*AB45</f>
        <v>2.3619688948831575E-3</v>
      </c>
      <c r="AC94" s="179">
        <f>k.w3A*AC45</f>
        <v>2.1314924739583036E-2</v>
      </c>
      <c r="AD94" s="179">
        <f>k.sdA*AD45</f>
        <v>8.3889085382444807E-7</v>
      </c>
      <c r="AE94" s="179">
        <f>k.sA*AE45</f>
        <v>1.215298621431812E-2</v>
      </c>
      <c r="AF94" s="179">
        <f>k.aT*AF45</f>
        <v>7.2722943154208692E-4</v>
      </c>
      <c r="AG94" s="179">
        <f>k.w2T*AG45</f>
        <v>2.6616240119412872E-4</v>
      </c>
      <c r="AH94" s="179">
        <f>k.w3T*AH45</f>
        <v>2.2552904903536146E-3</v>
      </c>
      <c r="AI94" s="179">
        <f>k.sdT*AI45</f>
        <v>6.0549841281389641E-8</v>
      </c>
      <c r="AJ94" s="374">
        <f>k.sT*AJ45</f>
        <v>1.347480547555308E-4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2631.9114717665552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172.57705606157529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102059.47190757698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27.48403001757875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700842.76544825721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1065984.3198095008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2452949.6790689002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9.416395250352635E-4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1.7703550156734735E-3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1.7703550156734735E-3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1.7703550156734733E-3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3.2433509736249609E-3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99.836860635402232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6.5464023694242686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3893.7526634760584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1.0485652442030542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26738.413727177849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40669.221649909487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93584.448045122466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7.2816902647752066E-6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7.5555800412712927E-10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3.5634652873814484E-5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2.3927106760405139E-5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2.3927106760405139E-5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2.3927106760405139E-5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2.3603611454823871E-5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1.2386888961088596E-2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3.9711135849005027E-4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3.9711135849005027E-4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6.581761581910175E-5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0.96436534712618549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0.97607289323959479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0.97607289323959479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0.97607289323959479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0.97639638854517607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0.99999966115595873</v>
      </c>
      <c r="C328" s="209" t="s">
        <v>36</v>
      </c>
    </row>
    <row r="329" spans="1:3" ht="15" customHeight="1" x14ac:dyDescent="0.2">
      <c r="A329" s="394" t="s">
        <v>621</v>
      </c>
      <c r="B329" s="395" t="e">
        <f>IF(ChemClass="Acid",1/(1+10^(pH.cldw-pKa)),IF(ChemClass="Base",1/(1+10^(pKa-pH.cldw)),1))</f>
        <v>#NAME?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0.99999148869206089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0.99996611673250069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0.99914958578168711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0.9966230012016889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0.99914958578168711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0.9966230012016889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0.99914958578168711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0.99156045182276509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0.9966230012016889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0.96722610854541258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0.99353903943270516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0.99353903943270516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0.99353407703352459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0.99353407703352459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0.99353407703352459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0.99353407703352459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0.99353903973825985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0.99353903943270516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0.99353903784375253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6.4609602496933077E-3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6.4609602496933077E-3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6.4659226496925713E-3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6.4659226496925713E-3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6.4659226496925713E-3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6.4659226496925713E-3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6.4609602516803215E-3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6.4609602496933077E-3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6.4609602393603874E-3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0.99968498850414056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0.99968498850414056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0.99820620799108495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0.99820620799108495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0.99923939228777903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0.99923939228777903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0.99923939228777903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0.99923939228777903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0.99923939228777903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0.99923939228777903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0.99923939228777903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0.99923939228777903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17176213159.716074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95074513319.140808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962162254.58630133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2138140453.0148363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356356742.16913933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32884783.873968229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361732622.61365044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14012671991.34993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39650393762.213326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146358495464.43246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63089936.541865975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140199862.97955677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23366643.829926129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2156288.0252888594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23719168.278177451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3773532.1419799984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39094107618.834053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336830187672.104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110064.4630283444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7.4743485216883895E-6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9.0459815058013851E-6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9.0459815058013851E-6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9.0459815058013851E-6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1.0057249127897143E-5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4.3486201567445368E-8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4.580218015700943E-9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4.3486201567445368E-8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4.580218015700943E-9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4.3469483354178676E-8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2.0858399757986424E-9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4.3469483354178676E-8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2.0858399757986419E-9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4.3486225145605207E-8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4.5837173248885841E-9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4.3486225145605207E-8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4.5837173248885841E-9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9.4685168992258617E-9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1.651327088187979E-9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1.254003191179276E-8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1.2561171773023441E-8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1.0580096758225705E-8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1.1779136849972535E-8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2.10575666016223E-9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9.668787450953858E-9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2.3802113986132248E-8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4.3486201567445368E-8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4.580218015700943E-9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1.0705701124434139E-7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8.4853959516793628E-9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8.6883628443981305E-8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8.6883628443981305E-8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8.6755106141331973E-8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8.6755106141331973E-8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1.8900719420937309E-8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8.6844901228364787E-8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8.6844901228364787E-8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8.6844901228364787E-8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2.1383722994958473E-7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1.8900719420937309E-8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8.6844901228364787E-8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2.1383722994958473E-7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1205340070.6487617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1205340070.6487617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1205340070.6487617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1205340070.6487617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1205340070.6487617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642230094.53842366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20342300.315913603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20342300.315913603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20342300.315913603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3370435.2346678358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1.557074866700018E-9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4.9158665603902462E-8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4.9158665603902462E-8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4.9158665603902462E-8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2.9669768715870563E-7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7.4739821958065615E-6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9.0456151799195571E-6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9.0456151799195571E-6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9.0456151799195571E-6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1.0056882802015316E-5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4.3455503205058602E-8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4.3455503205058602E-8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4.3455503205058602E-8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4.3455503205058602E-8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4.3455503205058602E-8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4.3455503205058602E-8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9.4575531983700746E-9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9.6658035166392018E-9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9.6658035166392018E-9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9.6658035166392018E-9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9.6658035166392018E-9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2.103642674029979E-9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9.6658035166392018E-9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2.3799999999999998E-8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4.3455503205058602E-8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1.0700000000000001E-7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8.6883628443981305E-8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8.6883628443981305E-8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8.6755106141331973E-8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8.6755106141331973E-8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1.8900719420937309E-8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8.6844901228364787E-8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8.6844901228364787E-8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8.6844901228364787E-8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2.1383722994958473E-7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1.8900719420937309E-8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8.6844901228364787E-8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2.1383722994958473E-7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264.01059655875667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264.01059655875667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264.01059655875667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264.01059655875667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264.01059655875667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264.01059655875667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20.503433979592884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20.503433979592884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20.487595885087657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20.487595885087657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20.487595885087657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20.487595885087657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20.503433979592884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51.21898971271915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51.21898971271915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50.862067853401449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50.862067853401449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50.862067853401449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50.862067853401449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50.862067853401449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20.503433979592884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20.503433979592884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102.20032562438601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102.20032562438601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102.20032562438601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102.20032562438601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99.435216023782488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99.435216023782488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99.435216023782488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99.435216023782488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99.435216023782488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99.435216023782488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99.435216023782488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99.435216023782488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30.955150979220729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30.955150979220729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30.931393837430026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30.931393837430026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30.931393837430026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30.931393837430026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26.231033926700718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26.231033926700718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26.231033926700718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26.409494856359572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26.409494856359572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26.231033926700718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26.231033926700718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30.955150969700735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30.955150979220729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30.955151028726856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1.4446293238207524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9.4725783325026208E-2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5.847907561046843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0.38345312212507648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0.53545884617486827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3.5110569753686247E-2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9.3191457274194249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59.532704860222779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109.03400480289831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9.4575531983700746E-10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4.3455503205058606E-9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4.3455503205058606E-9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4.3455503205058606E-9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1.0700000000000002E-8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3.8661873187415758E-3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3.8661873187415758E-3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3.8661873187415758E-3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3.8661873187415758E-3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3.8661873187415758E-3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4.6712434275245704E-6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4.6712434275245704E-6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4.6712434275245704E-6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4.6712434275245704E-6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4.6712434275245704E-6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7.542992909637095E-8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3.6731827661168209E-6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3.6731827661168209E-6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3.6731827661168209E-6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2.7866666659699999E-5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215.53974676598821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14.133155829958323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872.50853054855304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57.211253192195478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79.890525998948107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5.2385013447489186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1403.6280249597821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8882.3229033795178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16228.319757586783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4244.5359296785937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278.31844761854711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53380.045704505661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14.374939935128554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366560.96834577771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557540.52659852209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1282963.3892102221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1.9891961693890194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0.13043357366868477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8.025419396564871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0.52623474154660921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0.73484092648427068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4.818425130427953E-2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1.1384311871011166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81.974127555516702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487.65284809121971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1.6500872260248691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0.10819786256756028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18.124109743114239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1.1884159238472281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152.87358912988151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682.08162081106207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7340.6788199067605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0.1836806656983912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101929.39733640624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3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Joris Quik</cp:lastModifiedBy>
  <cp:lastPrinted>2014-04-07T07:45:23Z</cp:lastPrinted>
  <dcterms:created xsi:type="dcterms:W3CDTF">2000-08-28T11:36:35Z</dcterms:created>
  <dcterms:modified xsi:type="dcterms:W3CDTF">2025-03-28T13:44:11Z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