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Downloads\"/>
    </mc:Choice>
  </mc:AlternateContent>
  <xr:revisionPtr revIDLastSave="0" documentId="13_ncr:1_{E2B3818C-5105-4108-9D69-C2D7CAC54E88}" xr6:coauthVersionLast="47" xr6:coauthVersionMax="47" xr10:uidLastSave="{00000000-0000-0000-0000-000000000000}"/>
  <bookViews>
    <workbookView xWindow="-28920" yWindow="-120" windowWidth="29040" windowHeight="15840" tabRatio="704" firstSheet="1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6" i="3" l="1"/>
  <c r="I75" i="3"/>
  <c r="I74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506" i="22" l="1"/>
  <c r="B885" i="22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I17" i="18"/>
  <c r="P6" i="2" l="1"/>
  <c r="U6" i="2"/>
  <c r="G6" i="2"/>
  <c r="BN12" i="23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L84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J42" i="3"/>
  <c r="I53" i="3"/>
  <c r="I60" i="3"/>
  <c r="I52" i="3"/>
  <c r="J54" i="3"/>
  <c r="I62" i="3"/>
  <c r="L100" i="3"/>
  <c r="L93" i="3"/>
  <c r="L37" i="3"/>
  <c r="L97" i="3"/>
  <c r="L91" i="3"/>
  <c r="K136" i="6"/>
  <c r="L136" i="6" s="1"/>
  <c r="L106" i="3" l="1"/>
  <c r="AJ5" i="11" s="1"/>
  <c r="L85" i="3"/>
  <c r="L92" i="3"/>
  <c r="K137" i="6"/>
  <c r="L137" i="6" s="1"/>
  <c r="L88" i="3"/>
  <c r="I16" i="16" s="1"/>
  <c r="L94" i="3"/>
  <c r="L101" i="3"/>
  <c r="L80" i="3"/>
  <c r="L86" i="3"/>
  <c r="L5" i="11" s="1"/>
  <c r="L104" i="3"/>
  <c r="L83" i="3"/>
  <c r="L90" i="3"/>
  <c r="K96" i="8"/>
  <c r="L96" i="8" s="1"/>
  <c r="L96" i="3"/>
  <c r="L102" i="3"/>
  <c r="L82" i="3"/>
  <c r="L98" i="3"/>
  <c r="Z5" i="11" s="1"/>
  <c r="L105" i="3"/>
  <c r="B330" i="22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L75" i="3"/>
  <c r="K211" i="6" s="1"/>
  <c r="L211" i="6" s="1"/>
  <c r="N445" i="18"/>
  <c r="P652" i="18"/>
  <c r="L222" i="18"/>
  <c r="O652" i="18"/>
  <c r="M786" i="18"/>
  <c r="N924" i="18"/>
  <c r="P924" i="18"/>
  <c r="O445" i="18"/>
  <c r="O924" i="18"/>
  <c r="M788" i="18"/>
  <c r="M652" i="18"/>
  <c r="N220" i="18"/>
  <c r="N652" i="18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U5" i="11"/>
  <c r="AC30" i="23"/>
  <c r="BJ99" i="23" s="1"/>
  <c r="I21" i="16"/>
  <c r="D5" i="11"/>
  <c r="AC12" i="23"/>
  <c r="I7" i="16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I25" i="16" l="1"/>
  <c r="N650" i="18"/>
  <c r="B723" i="22"/>
  <c r="M924" i="18"/>
  <c r="AC36" i="23"/>
  <c r="AX161" i="23" s="1"/>
  <c r="AC20" i="23"/>
  <c r="BJ34" i="23" s="1"/>
  <c r="I15" i="16"/>
  <c r="N222" i="18"/>
  <c r="P222" i="18"/>
  <c r="M222" i="18"/>
  <c r="P786" i="18"/>
  <c r="B721" i="22"/>
  <c r="B724" i="22"/>
  <c r="B725" i="22"/>
  <c r="L788" i="18"/>
  <c r="O922" i="18"/>
  <c r="N788" i="18"/>
  <c r="P650" i="18"/>
  <c r="L922" i="18"/>
  <c r="L652" i="18"/>
  <c r="L786" i="18"/>
  <c r="P447" i="18"/>
  <c r="N922" i="18"/>
  <c r="M447" i="18"/>
  <c r="O650" i="18"/>
  <c r="L220" i="18"/>
  <c r="O788" i="18"/>
  <c r="M922" i="18"/>
  <c r="M220" i="18"/>
  <c r="P445" i="18"/>
  <c r="K17" i="3"/>
  <c r="L17" i="3" s="1"/>
  <c r="N447" i="18"/>
  <c r="P922" i="18"/>
  <c r="M445" i="18"/>
  <c r="P220" i="18"/>
  <c r="O786" i="18"/>
  <c r="N786" i="18"/>
  <c r="O222" i="18"/>
  <c r="O447" i="18"/>
  <c r="L650" i="18"/>
  <c r="M650" i="18"/>
  <c r="L445" i="18"/>
  <c r="B722" i="22"/>
  <c r="L924" i="18"/>
  <c r="K19" i="3"/>
  <c r="L19" i="3" s="1"/>
  <c r="K62" i="8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K94" i="7"/>
  <c r="L94" i="7" s="1"/>
  <c r="K66" i="8"/>
  <c r="L66" i="8" s="1"/>
  <c r="K91" i="7"/>
  <c r="L91" i="7" s="1"/>
  <c r="K99" i="7"/>
  <c r="L99" i="7" s="1"/>
  <c r="B629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B365" i="22" s="1"/>
  <c r="K70" i="6"/>
  <c r="L70" i="6" s="1"/>
  <c r="I8" i="16"/>
  <c r="AC13" i="23"/>
  <c r="AS28" i="23" s="1"/>
  <c r="O220" i="18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75" i="3" l="1"/>
  <c r="K74" i="3"/>
  <c r="L74" i="3" s="1"/>
  <c r="K78" i="6"/>
  <c r="L78" i="6" s="1"/>
  <c r="B617" i="22"/>
  <c r="B615" i="22"/>
  <c r="B625" i="22"/>
  <c r="K153" i="6"/>
  <c r="L153" i="6" s="1"/>
  <c r="B578" i="22"/>
  <c r="K164" i="6"/>
  <c r="L164" i="6" s="1"/>
  <c r="B5" i="22"/>
  <c r="K202" i="6"/>
  <c r="L202" i="6" s="1"/>
  <c r="K190" i="6" s="1"/>
  <c r="L190" i="6" s="1"/>
  <c r="B513" i="22"/>
  <c r="B760" i="22"/>
  <c r="K170" i="7"/>
  <c r="L170" i="7" s="1"/>
  <c r="B4" i="22"/>
  <c r="B502" i="22"/>
  <c r="K159" i="7"/>
  <c r="L159" i="7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B203" i="22"/>
  <c r="K163" i="6"/>
  <c r="L163" i="6" s="1"/>
  <c r="K149" i="6" s="1"/>
  <c r="L149" i="6" s="1"/>
  <c r="H11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B205" i="22"/>
  <c r="K384" i="8"/>
  <c r="L384" i="8" s="1"/>
  <c r="K376" i="8" s="1"/>
  <c r="L376" i="8" s="1"/>
  <c r="AI39" i="11" s="1"/>
  <c r="B207" i="22"/>
  <c r="K112" i="8"/>
  <c r="L112" i="8" s="1"/>
  <c r="K104" i="8" s="1"/>
  <c r="L104" i="8" s="1"/>
  <c r="Y29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471" i="22" l="1"/>
  <c r="B562" i="22"/>
  <c r="B465" i="22"/>
  <c r="B463" i="22"/>
  <c r="B459" i="22"/>
  <c r="K214" i="7"/>
  <c r="L214" i="7" s="1"/>
  <c r="K198" i="7" s="1"/>
  <c r="L198" i="7" s="1"/>
  <c r="R23" i="11" s="1"/>
  <c r="B567" i="22"/>
  <c r="K137" i="8"/>
  <c r="L137" i="8" s="1"/>
  <c r="K126" i="8" s="1"/>
  <c r="L126" i="8" s="1"/>
  <c r="Y30" i="11" s="1"/>
  <c r="B566" i="22"/>
  <c r="B563" i="22"/>
  <c r="B568" i="22"/>
  <c r="B467" i="22"/>
  <c r="K208" i="6"/>
  <c r="L208" i="6" s="1"/>
  <c r="K192" i="6" s="1"/>
  <c r="L192" i="6" s="1"/>
  <c r="I14" i="11" s="1"/>
  <c r="K273" i="8"/>
  <c r="L273" i="8" s="1"/>
  <c r="K262" i="8" s="1"/>
  <c r="L262" i="8" s="1"/>
  <c r="AD35" i="11" s="1"/>
  <c r="B565" i="22"/>
  <c r="K213" i="7"/>
  <c r="L213" i="7" s="1"/>
  <c r="K197" i="7" s="1"/>
  <c r="L197" i="7" s="1"/>
  <c r="Q22" i="11" s="1"/>
  <c r="K409" i="8"/>
  <c r="L409" i="8" s="1"/>
  <c r="K398" i="8" s="1"/>
  <c r="L398" i="8" s="1"/>
  <c r="B461" i="22"/>
  <c r="B469" i="22"/>
  <c r="K207" i="6"/>
  <c r="L207" i="6" s="1"/>
  <c r="K191" i="6" s="1"/>
  <c r="L191" i="6" s="1"/>
  <c r="H13" i="11" s="1"/>
  <c r="B564" i="22"/>
  <c r="AI40" i="11"/>
  <c r="K154" i="7"/>
  <c r="L154" i="7" s="1"/>
  <c r="P23" i="11" s="1"/>
  <c r="B819" i="22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127" i="7" l="1"/>
  <c r="L127" i="7" s="1"/>
  <c r="K126" i="7" s="1"/>
  <c r="L126" i="7" s="1"/>
  <c r="K115" i="7" s="1"/>
  <c r="L115" i="7" s="1"/>
  <c r="K77" i="8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7" i="7"/>
  <c r="L117" i="7" s="1"/>
  <c r="K118" i="7"/>
  <c r="L118" i="7" s="1"/>
  <c r="K116" i="7" l="1"/>
  <c r="L116" i="7" s="1"/>
  <c r="K119" i="7"/>
  <c r="L119" i="7" s="1"/>
  <c r="M26" i="11" s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l="1" a="1"/>
  <c r="AJ45" i="11" s="1"/>
  <c r="AE45" i="11" l="1"/>
  <c r="U45" i="11"/>
  <c r="P45" i="11"/>
  <c r="P82" i="11" s="1"/>
  <c r="O45" i="11"/>
  <c r="O70" i="11" s="1"/>
  <c r="E45" i="11"/>
  <c r="AD45" i="11"/>
  <c r="AG45" i="11"/>
  <c r="AB45" i="11"/>
  <c r="AH45" i="11"/>
  <c r="AA45" i="11"/>
  <c r="AC45" i="11"/>
  <c r="Q45" i="11"/>
  <c r="I45" i="11"/>
  <c r="I80" i="11" s="1"/>
  <c r="V45" i="11"/>
  <c r="AI45" i="11"/>
  <c r="T45" i="11"/>
  <c r="R45" i="11"/>
  <c r="R55" i="11" s="1"/>
  <c r="Z45" i="11"/>
  <c r="AF45" i="11"/>
  <c r="N45" i="11"/>
  <c r="N68" i="11" s="1"/>
  <c r="K45" i="11"/>
  <c r="K70" i="11" s="1"/>
  <c r="W45" i="11"/>
  <c r="F45" i="11"/>
  <c r="S45" i="11"/>
  <c r="L45" i="11"/>
  <c r="L66" i="11" s="1"/>
  <c r="D45" i="11"/>
  <c r="D78" i="11" s="1"/>
  <c r="J45" i="11"/>
  <c r="X45" i="11"/>
  <c r="Y45" i="11"/>
  <c r="H45" i="11"/>
  <c r="H86" i="11" s="1"/>
  <c r="G45" i="11"/>
  <c r="G76" i="11" s="1"/>
  <c r="M45" i="11"/>
  <c r="AF12" i="23"/>
  <c r="D56" i="11"/>
  <c r="J70" i="11"/>
  <c r="J77" i="11"/>
  <c r="X57" i="11"/>
  <c r="Y65" i="11"/>
  <c r="Y64" i="11"/>
  <c r="Y79" i="11"/>
  <c r="Y55" i="11"/>
  <c r="Y63" i="11"/>
  <c r="Y86" i="11"/>
  <c r="Y80" i="11"/>
  <c r="AN35" i="23"/>
  <c r="Y60" i="11"/>
  <c r="Y72" i="11"/>
  <c r="Y70" i="11"/>
  <c r="AT159" i="23"/>
  <c r="Y94" i="11"/>
  <c r="Y59" i="11"/>
  <c r="Y74" i="11"/>
  <c r="Y50" i="11"/>
  <c r="CM12" i="23"/>
  <c r="H84" i="11"/>
  <c r="G65" i="11"/>
  <c r="M94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67" i="11"/>
  <c r="AE80" i="11"/>
  <c r="AE70" i="11"/>
  <c r="BD144" i="23"/>
  <c r="AE62" i="11"/>
  <c r="AE81" i="11"/>
  <c r="AE74" i="11"/>
  <c r="AE83" i="11"/>
  <c r="AE57" i="11"/>
  <c r="AE76" i="11"/>
  <c r="AE61" i="11"/>
  <c r="AE75" i="11"/>
  <c r="AE59" i="11"/>
  <c r="AE77" i="11"/>
  <c r="AE78" i="11"/>
  <c r="AG42" i="23"/>
  <c r="AE94" i="11"/>
  <c r="AE79" i="11"/>
  <c r="U79" i="11"/>
  <c r="U62" i="11"/>
  <c r="CD12" i="23"/>
  <c r="P58" i="11"/>
  <c r="E27" i="23"/>
  <c r="P50" i="11"/>
  <c r="AM24" i="23"/>
  <c r="E60" i="11"/>
  <c r="E85" i="11"/>
  <c r="E75" i="11"/>
  <c r="E82" i="11"/>
  <c r="AG13" i="23"/>
  <c r="BA27" i="23" s="1"/>
  <c r="E64" i="11"/>
  <c r="E80" i="11"/>
  <c r="E81" i="11"/>
  <c r="E78" i="11"/>
  <c r="E77" i="11"/>
  <c r="E68" i="11"/>
  <c r="E74" i="11"/>
  <c r="E86" i="11"/>
  <c r="E62" i="11"/>
  <c r="E94" i="11"/>
  <c r="E72" i="11"/>
  <c r="E58" i="11"/>
  <c r="E79" i="11"/>
  <c r="E71" i="11"/>
  <c r="E83" i="11"/>
  <c r="E50" i="11"/>
  <c r="AD70" i="11"/>
  <c r="AD66" i="11"/>
  <c r="AD75" i="11"/>
  <c r="AD85" i="11"/>
  <c r="AG73" i="11"/>
  <c r="BG145" i="23"/>
  <c r="AG70" i="11"/>
  <c r="AG79" i="11"/>
  <c r="AG87" i="11"/>
  <c r="AB69" i="11"/>
  <c r="AI39" i="23"/>
  <c r="AI38" i="23" s="1"/>
  <c r="AH58" i="11"/>
  <c r="AH70" i="11"/>
  <c r="AH78" i="11"/>
  <c r="AH87" i="11"/>
  <c r="AH83" i="11"/>
  <c r="AH50" i="11"/>
  <c r="AH61" i="11"/>
  <c r="AH66" i="11"/>
  <c r="AH80" i="11"/>
  <c r="AH64" i="11"/>
  <c r="AE46" i="23"/>
  <c r="BE157" i="23" s="1"/>
  <c r="AG46" i="23"/>
  <c r="BH158" i="23" s="1"/>
  <c r="AH67" i="11"/>
  <c r="AH75" i="11"/>
  <c r="AH82" i="11"/>
  <c r="AH79" i="11"/>
  <c r="AM47" i="23"/>
  <c r="AH56" i="11"/>
  <c r="AH69" i="11"/>
  <c r="AH84" i="11"/>
  <c r="AH71" i="11"/>
  <c r="K31" i="23"/>
  <c r="AA81" i="11"/>
  <c r="AA77" i="11"/>
  <c r="AA60" i="11"/>
  <c r="AA46" i="11"/>
  <c r="AA72" i="11"/>
  <c r="AH39" i="23"/>
  <c r="AC79" i="11"/>
  <c r="AC61" i="11"/>
  <c r="AC76" i="11"/>
  <c r="AC67" i="11"/>
  <c r="AC84" i="11"/>
  <c r="AC56" i="11"/>
  <c r="AG40" i="23"/>
  <c r="BB158" i="23" s="1"/>
  <c r="CE12" i="23"/>
  <c r="I64" i="11"/>
  <c r="I69" i="11"/>
  <c r="I85" i="11"/>
  <c r="I83" i="11"/>
  <c r="I63" i="11"/>
  <c r="I94" i="11"/>
  <c r="AN15" i="23"/>
  <c r="I68" i="11"/>
  <c r="I84" i="11"/>
  <c r="I73" i="11"/>
  <c r="I56" i="11"/>
  <c r="I62" i="11"/>
  <c r="I74" i="11"/>
  <c r="C35" i="23"/>
  <c r="I46" i="11"/>
  <c r="I55" i="11"/>
  <c r="I61" i="11"/>
  <c r="I77" i="11"/>
  <c r="I67" i="11"/>
  <c r="I71" i="11"/>
  <c r="I86" i="11"/>
  <c r="I66" i="11"/>
  <c r="BW12" i="23"/>
  <c r="I57" i="11"/>
  <c r="I76" i="11"/>
  <c r="I81" i="11"/>
  <c r="I75" i="11"/>
  <c r="I70" i="11"/>
  <c r="I87" i="11"/>
  <c r="AN17" i="23"/>
  <c r="AU40" i="23" s="1"/>
  <c r="V82" i="11"/>
  <c r="V64" i="11"/>
  <c r="V72" i="11"/>
  <c r="V62" i="11"/>
  <c r="AD44" i="23"/>
  <c r="BF136" i="23" s="1"/>
  <c r="AF32" i="23"/>
  <c r="AU136" i="23" s="1"/>
  <c r="V68" i="11"/>
  <c r="AG32" i="23"/>
  <c r="AU141" i="23" s="1"/>
  <c r="AI72" i="11"/>
  <c r="AI70" i="11"/>
  <c r="AI77" i="11"/>
  <c r="AI85" i="11"/>
  <c r="AI79" i="11"/>
  <c r="AI66" i="11"/>
  <c r="AI69" i="11"/>
  <c r="AI84" i="11"/>
  <c r="T80" i="11"/>
  <c r="T46" i="11"/>
  <c r="R61" i="11"/>
  <c r="R78" i="11"/>
  <c r="R60" i="11"/>
  <c r="R83" i="11"/>
  <c r="R84" i="11"/>
  <c r="R75" i="11"/>
  <c r="R57" i="11"/>
  <c r="R63" i="11"/>
  <c r="R62" i="11"/>
  <c r="R68" i="11"/>
  <c r="AN27" i="23"/>
  <c r="AU104" i="23" s="1"/>
  <c r="R80" i="11"/>
  <c r="R71" i="11"/>
  <c r="E35" i="23"/>
  <c r="R70" i="11"/>
  <c r="R86" i="11"/>
  <c r="R64" i="11"/>
  <c r="R73" i="11"/>
  <c r="AN25" i="23"/>
  <c r="R85" i="11"/>
  <c r="CF12" i="23"/>
  <c r="R59" i="11"/>
  <c r="R58" i="11"/>
  <c r="R65" i="11"/>
  <c r="R66" i="11"/>
  <c r="R77" i="11"/>
  <c r="R50" i="11"/>
  <c r="R87" i="11"/>
  <c r="R81" i="11"/>
  <c r="Z56" i="11"/>
  <c r="Z75" i="11"/>
  <c r="Z62" i="11"/>
  <c r="Z78" i="11"/>
  <c r="Z58" i="11"/>
  <c r="Z82" i="11"/>
  <c r="Z68" i="11"/>
  <c r="Z83" i="11"/>
  <c r="AF55" i="11"/>
  <c r="AF62" i="11"/>
  <c r="AF79" i="11"/>
  <c r="AF64" i="11"/>
  <c r="AF81" i="11"/>
  <c r="AF63" i="11"/>
  <c r="AF82" i="11"/>
  <c r="AF84" i="11"/>
  <c r="N82" i="11"/>
  <c r="N76" i="11"/>
  <c r="K55" i="11"/>
  <c r="K86" i="11"/>
  <c r="K68" i="11"/>
  <c r="K61" i="11"/>
  <c r="K65" i="11"/>
  <c r="K81" i="11"/>
  <c r="K67" i="11"/>
  <c r="BY12" i="23"/>
  <c r="K74" i="11"/>
  <c r="K58" i="11"/>
  <c r="K69" i="11"/>
  <c r="K71" i="11"/>
  <c r="K72" i="11"/>
  <c r="C43" i="23"/>
  <c r="K59" i="11"/>
  <c r="K78" i="11"/>
  <c r="K79" i="11"/>
  <c r="K76" i="11"/>
  <c r="K77" i="11"/>
  <c r="AG19" i="23"/>
  <c r="BF27" i="23" s="1"/>
  <c r="K66" i="11"/>
  <c r="K63" i="11"/>
  <c r="K84" i="11"/>
  <c r="K83" i="11"/>
  <c r="K87" i="11"/>
  <c r="AK19" i="23"/>
  <c r="BH20" i="23" s="1"/>
  <c r="K46" i="11"/>
  <c r="K94" i="11"/>
  <c r="AL19" i="23"/>
  <c r="K57" i="11"/>
  <c r="W60" i="11"/>
  <c r="AI33" i="23"/>
  <c r="AI32" i="23" s="1"/>
  <c r="W78" i="11"/>
  <c r="W80" i="11"/>
  <c r="CK12" i="23"/>
  <c r="W71" i="11"/>
  <c r="W94" i="11"/>
  <c r="W62" i="11"/>
  <c r="W87" i="11"/>
  <c r="F50" i="11"/>
  <c r="BT12" i="23"/>
  <c r="F71" i="11"/>
  <c r="F61" i="11"/>
  <c r="F82" i="11"/>
  <c r="F60" i="11"/>
  <c r="F75" i="11"/>
  <c r="AM16" i="23"/>
  <c r="S84" i="11"/>
  <c r="S78" i="11"/>
  <c r="S63" i="11"/>
  <c r="CG12" i="23"/>
  <c r="S87" i="11"/>
  <c r="AL28" i="23"/>
  <c r="L58" i="11"/>
  <c r="L64" i="11"/>
  <c r="L80" i="11"/>
  <c r="L87" i="11"/>
  <c r="L83" i="11"/>
  <c r="L65" i="11"/>
  <c r="C47" i="23"/>
  <c r="L81" i="11"/>
  <c r="L68" i="11"/>
  <c r="L71" i="11"/>
  <c r="L70" i="11"/>
  <c r="L73" i="11"/>
  <c r="L60" i="11"/>
  <c r="L72" i="11"/>
  <c r="L77" i="11"/>
  <c r="L69" i="11"/>
  <c r="L78" i="11"/>
  <c r="AG20" i="23"/>
  <c r="BH27" i="23" s="1"/>
  <c r="L46" i="11"/>
  <c r="L62" i="11"/>
  <c r="L61" i="11"/>
  <c r="L82" i="11"/>
  <c r="L75" i="11"/>
  <c r="L86" i="11"/>
  <c r="L74" i="11"/>
  <c r="BZ12" i="23"/>
  <c r="AL20" i="23"/>
  <c r="L94" i="11"/>
  <c r="AK20" i="23"/>
  <c r="BF20" i="23" s="1"/>
  <c r="L55" i="11"/>
  <c r="G79" i="11" l="1"/>
  <c r="G87" i="11"/>
  <c r="G61" i="11"/>
  <c r="BU12" i="23"/>
  <c r="G66" i="11"/>
  <c r="G50" i="11"/>
  <c r="M27" i="23" s="1"/>
  <c r="G72" i="11"/>
  <c r="G94" i="11"/>
  <c r="G56" i="11"/>
  <c r="G59" i="11"/>
  <c r="G62" i="11"/>
  <c r="G63" i="11"/>
  <c r="G64" i="11"/>
  <c r="G67" i="11"/>
  <c r="G74" i="11"/>
  <c r="G55" i="11"/>
  <c r="G85" i="11"/>
  <c r="AG15" i="23"/>
  <c r="AU33" i="23" s="1"/>
  <c r="C27" i="23"/>
  <c r="AI15" i="23"/>
  <c r="AU21" i="23" s="1"/>
  <c r="G73" i="11"/>
  <c r="G69" i="11"/>
  <c r="G84" i="11"/>
  <c r="G68" i="11"/>
  <c r="G80" i="11"/>
  <c r="J59" i="11"/>
  <c r="J74" i="11"/>
  <c r="J80" i="11"/>
  <c r="BX12" i="23"/>
  <c r="J76" i="11"/>
  <c r="J73" i="11"/>
  <c r="J56" i="11"/>
  <c r="J62" i="11"/>
  <c r="J60" i="11"/>
  <c r="J82" i="11"/>
  <c r="C39" i="23"/>
  <c r="C40" i="23" s="1"/>
  <c r="AK18" i="23"/>
  <c r="J94" i="11"/>
  <c r="J68" i="11"/>
  <c r="J64" i="11"/>
  <c r="J55" i="11"/>
  <c r="J69" i="11"/>
  <c r="J71" i="11"/>
  <c r="J65" i="11"/>
  <c r="J67" i="11"/>
  <c r="J86" i="11"/>
  <c r="F70" i="11"/>
  <c r="F77" i="11"/>
  <c r="AI14" i="23"/>
  <c r="AX21" i="23" s="1"/>
  <c r="F56" i="11"/>
  <c r="F74" i="11"/>
  <c r="F63" i="11"/>
  <c r="F62" i="11"/>
  <c r="F66" i="11"/>
  <c r="F72" i="11"/>
  <c r="F94" i="11"/>
  <c r="AM14" i="23"/>
  <c r="AD15" i="23"/>
  <c r="AU26" i="23" s="1"/>
  <c r="F80" i="11"/>
  <c r="F83" i="11"/>
  <c r="F58" i="11"/>
  <c r="F84" i="11"/>
  <c r="F76" i="11"/>
  <c r="F81" i="11"/>
  <c r="AG14" i="23"/>
  <c r="AX31" i="23" s="1"/>
  <c r="F59" i="11"/>
  <c r="F86" i="11"/>
  <c r="F64" i="11"/>
  <c r="C19" i="23"/>
  <c r="C21" i="23" s="1"/>
  <c r="F55" i="11"/>
  <c r="AD13" i="23"/>
  <c r="F69" i="11"/>
  <c r="F46" i="11"/>
  <c r="AF60" i="11"/>
  <c r="AF77" i="11"/>
  <c r="AF56" i="11"/>
  <c r="AF67" i="11"/>
  <c r="AE44" i="23"/>
  <c r="BE136" i="23" s="1"/>
  <c r="AF72" i="11"/>
  <c r="AF80" i="11"/>
  <c r="AF66" i="11"/>
  <c r="AF69" i="11"/>
  <c r="AG44" i="23"/>
  <c r="BG141" i="23" s="1"/>
  <c r="AF87" i="11"/>
  <c r="AF61" i="11"/>
  <c r="AF76" i="11"/>
  <c r="AF70" i="11"/>
  <c r="AF85" i="11"/>
  <c r="AF57" i="11"/>
  <c r="AF46" i="11"/>
  <c r="AF73" i="11"/>
  <c r="AF94" i="11"/>
  <c r="AF68" i="11"/>
  <c r="AF75" i="11"/>
  <c r="AF50" i="11"/>
  <c r="AF71" i="11"/>
  <c r="AF59" i="11"/>
  <c r="AF44" i="23"/>
  <c r="BG136" i="23" s="1"/>
  <c r="AJ48" i="23"/>
  <c r="AJ44" i="23" s="1"/>
  <c r="AI55" i="11"/>
  <c r="AI83" i="11"/>
  <c r="AI71" i="11"/>
  <c r="AI63" i="11"/>
  <c r="AI74" i="11"/>
  <c r="AI50" i="11"/>
  <c r="AF47" i="23" s="1"/>
  <c r="BH164" i="23" s="1"/>
  <c r="AI68" i="11"/>
  <c r="AI82" i="11"/>
  <c r="AI61" i="11"/>
  <c r="AI76" i="11"/>
  <c r="AI46" i="11"/>
  <c r="AI64" i="11"/>
  <c r="AI62" i="11"/>
  <c r="AI78" i="11"/>
  <c r="AI57" i="11"/>
  <c r="AI80" i="11"/>
  <c r="AI60" i="11"/>
  <c r="AI75" i="11"/>
  <c r="AI59" i="11"/>
  <c r="AG47" i="23"/>
  <c r="BG164" i="23" s="1"/>
  <c r="AI65" i="11"/>
  <c r="AI67" i="11"/>
  <c r="AI58" i="11"/>
  <c r="AI94" i="11"/>
  <c r="AN46" i="23"/>
  <c r="AI81" i="11"/>
  <c r="AN47" i="23"/>
  <c r="AC58" i="11"/>
  <c r="AC74" i="11"/>
  <c r="AC85" i="11"/>
  <c r="AC73" i="11"/>
  <c r="AC78" i="11"/>
  <c r="AC63" i="11"/>
  <c r="AC86" i="11"/>
  <c r="I31" i="23"/>
  <c r="BA174" i="23" s="1"/>
  <c r="AC69" i="11"/>
  <c r="AC77" i="11"/>
  <c r="AC60" i="11"/>
  <c r="AC71" i="11"/>
  <c r="AM41" i="23"/>
  <c r="AC59" i="11"/>
  <c r="AM40" i="23"/>
  <c r="AC66" i="11"/>
  <c r="AZ153" i="23"/>
  <c r="AC70" i="11"/>
  <c r="AC50" i="11"/>
  <c r="AC51" i="11" s="1"/>
  <c r="V31" i="23" s="1"/>
  <c r="AC64" i="11"/>
  <c r="AC72" i="11"/>
  <c r="AC82" i="11"/>
  <c r="AC55" i="11"/>
  <c r="AC68" i="11"/>
  <c r="AC57" i="11"/>
  <c r="AC94" i="11"/>
  <c r="AG57" i="11"/>
  <c r="AG68" i="11"/>
  <c r="AG50" i="11"/>
  <c r="AG59" i="11"/>
  <c r="AG77" i="11"/>
  <c r="CU12" i="23"/>
  <c r="AG66" i="11"/>
  <c r="AE45" i="23"/>
  <c r="BE147" i="23" s="1"/>
  <c r="AG64" i="11"/>
  <c r="AG82" i="11"/>
  <c r="BF155" i="23"/>
  <c r="AG63" i="11"/>
  <c r="AG72" i="11"/>
  <c r="AG74" i="11"/>
  <c r="AG67" i="11"/>
  <c r="AI45" i="23"/>
  <c r="AI44" i="23" s="1"/>
  <c r="AG56" i="11"/>
  <c r="AG94" i="11"/>
  <c r="AG80" i="11"/>
  <c r="AG71" i="11"/>
  <c r="AG81" i="11"/>
  <c r="AG85" i="11"/>
  <c r="AG75" i="11"/>
  <c r="AG60" i="11"/>
  <c r="AG55" i="11"/>
  <c r="K27" i="23"/>
  <c r="AG83" i="11"/>
  <c r="AG86" i="11"/>
  <c r="AG69" i="11"/>
  <c r="AG61" i="11"/>
  <c r="AG45" i="23"/>
  <c r="BH152" i="23" s="1"/>
  <c r="F78" i="11"/>
  <c r="AH45" i="23"/>
  <c r="AF74" i="11"/>
  <c r="AF58" i="11"/>
  <c r="K11" i="23"/>
  <c r="AI56" i="11"/>
  <c r="CW12" i="23"/>
  <c r="BF159" i="23"/>
  <c r="AE40" i="23"/>
  <c r="AY157" i="23" s="1"/>
  <c r="AC81" i="11"/>
  <c r="AC87" i="11"/>
  <c r="AC83" i="11"/>
  <c r="AG62" i="11"/>
  <c r="AG76" i="11"/>
  <c r="AG65" i="11"/>
  <c r="AE25" i="23"/>
  <c r="AS90" i="23" s="1"/>
  <c r="G83" i="11"/>
  <c r="G57" i="11"/>
  <c r="J57" i="11"/>
  <c r="P66" i="11"/>
  <c r="P78" i="11"/>
  <c r="P68" i="11"/>
  <c r="P85" i="11"/>
  <c r="P64" i="11"/>
  <c r="P73" i="11"/>
  <c r="P57" i="11"/>
  <c r="P71" i="11"/>
  <c r="P46" i="11"/>
  <c r="P80" i="11"/>
  <c r="P87" i="11"/>
  <c r="P84" i="11"/>
  <c r="P94" i="11"/>
  <c r="P55" i="11"/>
  <c r="AI25" i="23"/>
  <c r="AU85" i="23" s="1"/>
  <c r="P76" i="11"/>
  <c r="P79" i="11"/>
  <c r="P83" i="11"/>
  <c r="P69" i="11"/>
  <c r="P77" i="11"/>
  <c r="P63" i="11"/>
  <c r="P70" i="11"/>
  <c r="P75" i="11"/>
  <c r="P81" i="11"/>
  <c r="AM25" i="23"/>
  <c r="F85" i="11"/>
  <c r="F68" i="11"/>
  <c r="F87" i="11"/>
  <c r="F79" i="11"/>
  <c r="F73" i="11"/>
  <c r="F67" i="11"/>
  <c r="F65" i="11"/>
  <c r="CT12" i="23"/>
  <c r="AF65" i="11"/>
  <c r="AF78" i="11"/>
  <c r="AF86" i="11"/>
  <c r="AI87" i="11"/>
  <c r="AI73" i="11"/>
  <c r="K35" i="23"/>
  <c r="K36" i="23" s="1"/>
  <c r="AC62" i="11"/>
  <c r="AC75" i="11"/>
  <c r="AC65" i="11"/>
  <c r="AG78" i="11"/>
  <c r="AG58" i="11"/>
  <c r="P59" i="11"/>
  <c r="P56" i="11"/>
  <c r="G70" i="11"/>
  <c r="G81" i="11"/>
  <c r="J72" i="11"/>
  <c r="M59" i="11"/>
  <c r="M82" i="11"/>
  <c r="X80" i="11"/>
  <c r="X63" i="11"/>
  <c r="S76" i="11"/>
  <c r="S79" i="11"/>
  <c r="Q81" i="11"/>
  <c r="Q80" i="11"/>
  <c r="AB78" i="11"/>
  <c r="AB46" i="11"/>
  <c r="D66" i="11"/>
  <c r="M61" i="11"/>
  <c r="M83" i="11"/>
  <c r="M63" i="11"/>
  <c r="M69" i="11"/>
  <c r="M55" i="11"/>
  <c r="M73" i="11"/>
  <c r="M50" i="11"/>
  <c r="N11" i="23" s="1"/>
  <c r="M58" i="11"/>
  <c r="AD12" i="23"/>
  <c r="AS9" i="23" s="1"/>
  <c r="AJ28" i="23"/>
  <c r="AH24" i="23"/>
  <c r="AX87" i="23" s="1"/>
  <c r="M70" i="11"/>
  <c r="M56" i="11"/>
  <c r="M85" i="11"/>
  <c r="M60" i="11"/>
  <c r="M75" i="11"/>
  <c r="M68" i="11"/>
  <c r="M74" i="11"/>
  <c r="AD32" i="23"/>
  <c r="AT136" i="23" s="1"/>
  <c r="M87" i="11"/>
  <c r="M86" i="11"/>
  <c r="AJ30" i="23"/>
  <c r="BF86" i="23" s="1"/>
  <c r="AH23" i="23"/>
  <c r="BA87" i="23" s="1"/>
  <c r="M67" i="11"/>
  <c r="U49" i="11"/>
  <c r="K49" i="11"/>
  <c r="K48" i="11" s="1"/>
  <c r="M76" i="11"/>
  <c r="AF22" i="23"/>
  <c r="AZ72" i="23" s="1"/>
  <c r="M80" i="11"/>
  <c r="M62" i="11"/>
  <c r="M84" i="11"/>
  <c r="AE22" i="23"/>
  <c r="AU74" i="23" s="1"/>
  <c r="CA12" i="23"/>
  <c r="M78" i="11"/>
  <c r="AG22" i="23"/>
  <c r="AX72" i="23" s="1"/>
  <c r="AH25" i="23"/>
  <c r="AU87" i="23" s="1"/>
  <c r="M71" i="11"/>
  <c r="M65" i="11"/>
  <c r="X72" i="11"/>
  <c r="AG34" i="23"/>
  <c r="AV158" i="23" s="1"/>
  <c r="AT153" i="23"/>
  <c r="X65" i="11"/>
  <c r="X94" i="11"/>
  <c r="X76" i="11"/>
  <c r="X84" i="11"/>
  <c r="X64" i="11"/>
  <c r="X67" i="11"/>
  <c r="G31" i="23"/>
  <c r="AZ174" i="23" s="1"/>
  <c r="AD46" i="23"/>
  <c r="X61" i="11"/>
  <c r="X73" i="11"/>
  <c r="X60" i="11"/>
  <c r="X82" i="11"/>
  <c r="X81" i="11"/>
  <c r="X55" i="11"/>
  <c r="AM35" i="23"/>
  <c r="AT161" i="23" s="1"/>
  <c r="X70" i="11"/>
  <c r="X87" i="11"/>
  <c r="X50" i="11"/>
  <c r="X51" i="11" s="1"/>
  <c r="U31" i="23" s="1"/>
  <c r="X56" i="11"/>
  <c r="X78" i="11"/>
  <c r="AE34" i="23"/>
  <c r="AS157" i="23" s="1"/>
  <c r="X66" i="11"/>
  <c r="X79" i="11"/>
  <c r="X62" i="11"/>
  <c r="X86" i="11"/>
  <c r="AM34" i="23"/>
  <c r="X59" i="11"/>
  <c r="X71" i="11"/>
  <c r="S60" i="11"/>
  <c r="AK28" i="23"/>
  <c r="BD84" i="23" s="1"/>
  <c r="S86" i="11"/>
  <c r="S71" i="11"/>
  <c r="S68" i="11"/>
  <c r="S59" i="11"/>
  <c r="S62" i="11"/>
  <c r="S75" i="11"/>
  <c r="S83" i="11"/>
  <c r="N57" i="11"/>
  <c r="N69" i="11"/>
  <c r="N50" i="11"/>
  <c r="N63" i="11"/>
  <c r="AE23" i="23"/>
  <c r="AS88" i="23" s="1"/>
  <c r="N56" i="11"/>
  <c r="N81" i="11"/>
  <c r="N55" i="11"/>
  <c r="N58" i="11"/>
  <c r="N77" i="11"/>
  <c r="N59" i="11"/>
  <c r="N78" i="11"/>
  <c r="N71" i="11"/>
  <c r="CB12" i="23"/>
  <c r="N79" i="11"/>
  <c r="AI23" i="23"/>
  <c r="N64" i="11"/>
  <c r="AD24" i="23"/>
  <c r="AX89" i="23" s="1"/>
  <c r="N74" i="11"/>
  <c r="N85" i="11"/>
  <c r="N66" i="11"/>
  <c r="N62" i="11"/>
  <c r="N67" i="11"/>
  <c r="N61" i="11"/>
  <c r="N75" i="11"/>
  <c r="E15" i="23"/>
  <c r="E17" i="23" s="1"/>
  <c r="N84" i="11"/>
  <c r="AG23" i="23"/>
  <c r="BA91" i="23" s="1"/>
  <c r="N60" i="11"/>
  <c r="N87" i="11"/>
  <c r="T77" i="11"/>
  <c r="T69" i="11"/>
  <c r="T63" i="11"/>
  <c r="T86" i="11"/>
  <c r="T70" i="11"/>
  <c r="T85" i="11"/>
  <c r="T60" i="11"/>
  <c r="T67" i="11"/>
  <c r="T75" i="11"/>
  <c r="T66" i="11"/>
  <c r="T62" i="11"/>
  <c r="T73" i="11"/>
  <c r="T64" i="11"/>
  <c r="T82" i="11"/>
  <c r="CH12" i="23"/>
  <c r="T84" i="11"/>
  <c r="AG29" i="23"/>
  <c r="BH91" i="23" s="1"/>
  <c r="T61" i="11"/>
  <c r="T50" i="11"/>
  <c r="N43" i="23" s="1"/>
  <c r="AZ123" i="23" s="1"/>
  <c r="AL29" i="23"/>
  <c r="T76" i="11"/>
  <c r="T74" i="11"/>
  <c r="T68" i="11"/>
  <c r="T78" i="11"/>
  <c r="T56" i="11"/>
  <c r="T87" i="11"/>
  <c r="AK29" i="23"/>
  <c r="BH84" i="23" s="1"/>
  <c r="T72" i="11"/>
  <c r="T59" i="11"/>
  <c r="T65" i="11"/>
  <c r="O62" i="11"/>
  <c r="O69" i="11"/>
  <c r="O71" i="11"/>
  <c r="O86" i="11"/>
  <c r="O83" i="11"/>
  <c r="O56" i="11"/>
  <c r="O84" i="11"/>
  <c r="AD23" i="23"/>
  <c r="O78" i="11"/>
  <c r="O85" i="11"/>
  <c r="O94" i="11"/>
  <c r="O82" i="11"/>
  <c r="O72" i="11"/>
  <c r="AM26" i="23"/>
  <c r="AY98" i="23" s="1"/>
  <c r="O63" i="11"/>
  <c r="O87" i="11"/>
  <c r="O74" i="11"/>
  <c r="O80" i="11"/>
  <c r="AE24" i="23"/>
  <c r="AS89" i="23" s="1"/>
  <c r="O60" i="11"/>
  <c r="AG24" i="23"/>
  <c r="AX95" i="23" s="1"/>
  <c r="CC12" i="23"/>
  <c r="O61" i="11"/>
  <c r="O76" i="11"/>
  <c r="O55" i="11"/>
  <c r="O79" i="11"/>
  <c r="AI24" i="23"/>
  <c r="O57" i="11"/>
  <c r="O50" i="11"/>
  <c r="AD14" i="23" s="1"/>
  <c r="O46" i="11"/>
  <c r="O68" i="11"/>
  <c r="O67" i="11"/>
  <c r="S65" i="11"/>
  <c r="S58" i="11"/>
  <c r="S80" i="11"/>
  <c r="S55" i="11"/>
  <c r="N86" i="11"/>
  <c r="T94" i="11"/>
  <c r="T81" i="11"/>
  <c r="Q86" i="11"/>
  <c r="Q94" i="11"/>
  <c r="AB83" i="11"/>
  <c r="AB57" i="11"/>
  <c r="E19" i="23"/>
  <c r="E20" i="23" s="1"/>
  <c r="O64" i="11"/>
  <c r="O77" i="11"/>
  <c r="M72" i="11"/>
  <c r="M79" i="11"/>
  <c r="M46" i="11"/>
  <c r="X85" i="11"/>
  <c r="X74" i="11"/>
  <c r="AD33" i="23"/>
  <c r="AB65" i="11"/>
  <c r="AG39" i="23"/>
  <c r="BB152" i="23" s="1"/>
  <c r="AB56" i="11"/>
  <c r="AB67" i="11"/>
  <c r="AB94" i="11"/>
  <c r="AB58" i="11"/>
  <c r="AB77" i="11"/>
  <c r="AB81" i="11"/>
  <c r="AB68" i="11"/>
  <c r="AB76" i="11"/>
  <c r="AZ155" i="23"/>
  <c r="AB62" i="11"/>
  <c r="AB82" i="11"/>
  <c r="AB50" i="11"/>
  <c r="AB51" i="11" s="1"/>
  <c r="V27" i="23" s="1"/>
  <c r="AB64" i="11"/>
  <c r="AB86" i="11"/>
  <c r="AC46" i="11"/>
  <c r="AB66" i="11"/>
  <c r="AB73" i="11"/>
  <c r="BA145" i="23"/>
  <c r="AB55" i="11"/>
  <c r="AB85" i="11"/>
  <c r="AB61" i="11"/>
  <c r="AB87" i="11"/>
  <c r="AE39" i="23"/>
  <c r="AY147" i="23" s="1"/>
  <c r="AB63" i="11"/>
  <c r="AB71" i="11"/>
  <c r="CP12" i="23"/>
  <c r="AB74" i="11"/>
  <c r="AB84" i="11"/>
  <c r="AB60" i="11"/>
  <c r="AB75" i="11"/>
  <c r="I27" i="23"/>
  <c r="BA173" i="23" s="1"/>
  <c r="S69" i="11"/>
  <c r="AG28" i="23"/>
  <c r="BD91" i="23" s="1"/>
  <c r="N83" i="11"/>
  <c r="T83" i="11"/>
  <c r="S67" i="11"/>
  <c r="S82" i="11"/>
  <c r="S61" i="11"/>
  <c r="S46" i="11"/>
  <c r="N80" i="11"/>
  <c r="N94" i="11"/>
  <c r="R49" i="11"/>
  <c r="E43" i="23"/>
  <c r="T58" i="11"/>
  <c r="T57" i="11"/>
  <c r="Q50" i="11"/>
  <c r="Q59" i="11"/>
  <c r="AB59" i="11"/>
  <c r="AB80" i="11"/>
  <c r="AB70" i="11"/>
  <c r="O65" i="11"/>
  <c r="O81" i="11"/>
  <c r="O73" i="11"/>
  <c r="M66" i="11"/>
  <c r="M57" i="11"/>
  <c r="M77" i="11"/>
  <c r="X83" i="11"/>
  <c r="X58" i="11"/>
  <c r="Q76" i="11"/>
  <c r="Q75" i="11"/>
  <c r="Q57" i="11"/>
  <c r="Q73" i="11"/>
  <c r="AN24" i="23"/>
  <c r="Q67" i="11"/>
  <c r="AG26" i="23"/>
  <c r="AX99" i="23" s="1"/>
  <c r="Q56" i="11"/>
  <c r="Q83" i="11"/>
  <c r="E23" i="23"/>
  <c r="E25" i="23" s="1"/>
  <c r="Q55" i="11"/>
  <c r="Q66" i="11"/>
  <c r="Q85" i="11"/>
  <c r="Q63" i="11"/>
  <c r="Q79" i="11"/>
  <c r="Q70" i="11"/>
  <c r="Q84" i="11"/>
  <c r="Q77" i="11"/>
  <c r="Q60" i="11"/>
  <c r="Q74" i="11"/>
  <c r="Q46" i="11"/>
  <c r="Q61" i="11"/>
  <c r="Q71" i="11"/>
  <c r="Q49" i="11"/>
  <c r="Q65" i="11"/>
  <c r="Q87" i="11"/>
  <c r="Q58" i="11"/>
  <c r="Q78" i="11"/>
  <c r="AN26" i="23"/>
  <c r="AY96" i="23" s="1"/>
  <c r="Q72" i="11"/>
  <c r="Q69" i="11"/>
  <c r="L49" i="11"/>
  <c r="S50" i="11"/>
  <c r="N39" i="23" s="1"/>
  <c r="AZ122" i="23" s="1"/>
  <c r="S66" i="11"/>
  <c r="S85" i="11"/>
  <c r="E39" i="23"/>
  <c r="S56" i="11"/>
  <c r="S94" i="11"/>
  <c r="S77" i="11"/>
  <c r="S64" i="11"/>
  <c r="S57" i="11"/>
  <c r="S81" i="11"/>
  <c r="S73" i="11"/>
  <c r="S72" i="11"/>
  <c r="S74" i="11"/>
  <c r="N72" i="11"/>
  <c r="N70" i="11"/>
  <c r="N73" i="11"/>
  <c r="T55" i="11"/>
  <c r="T79" i="11"/>
  <c r="Q62" i="11"/>
  <c r="Q82" i="11"/>
  <c r="Q64" i="11"/>
  <c r="AD40" i="23"/>
  <c r="AB72" i="11"/>
  <c r="O59" i="11"/>
  <c r="O75" i="11"/>
  <c r="AJ29" i="23"/>
  <c r="BH86" i="23" s="1"/>
  <c r="M81" i="11"/>
  <c r="E11" i="23"/>
  <c r="X77" i="11"/>
  <c r="X68" i="11"/>
  <c r="X69" i="11"/>
  <c r="J46" i="11"/>
  <c r="J48" i="11" s="1"/>
  <c r="J85" i="11"/>
  <c r="J79" i="11"/>
  <c r="J84" i="11"/>
  <c r="J66" i="11"/>
  <c r="H65" i="11"/>
  <c r="H66" i="11"/>
  <c r="H56" i="11"/>
  <c r="H85" i="11"/>
  <c r="H50" i="11"/>
  <c r="AF16" i="23" s="1"/>
  <c r="AX47" i="23" s="1"/>
  <c r="H72" i="11"/>
  <c r="H71" i="11"/>
  <c r="C23" i="23"/>
  <c r="C24" i="23" s="1"/>
  <c r="H77" i="11"/>
  <c r="AN16" i="23"/>
  <c r="AY32" i="23" s="1"/>
  <c r="H81" i="11"/>
  <c r="AG16" i="23"/>
  <c r="AX35" i="23" s="1"/>
  <c r="H69" i="11"/>
  <c r="H49" i="11"/>
  <c r="H48" i="11" s="1"/>
  <c r="H73" i="11"/>
  <c r="H79" i="11"/>
  <c r="H75" i="11"/>
  <c r="H46" i="11"/>
  <c r="H64" i="11"/>
  <c r="H70" i="11"/>
  <c r="H62" i="11"/>
  <c r="H58" i="11"/>
  <c r="H87" i="11"/>
  <c r="H82" i="11"/>
  <c r="H80" i="11"/>
  <c r="BV12" i="23"/>
  <c r="H74" i="11"/>
  <c r="H57" i="11"/>
  <c r="H60" i="11"/>
  <c r="H55" i="11"/>
  <c r="D75" i="11"/>
  <c r="D60" i="11"/>
  <c r="D70" i="11"/>
  <c r="D80" i="11"/>
  <c r="D86" i="11"/>
  <c r="D50" i="11"/>
  <c r="D69" i="11"/>
  <c r="AE12" i="23"/>
  <c r="AU10" i="23" s="1"/>
  <c r="AG12" i="23"/>
  <c r="AX8" i="23" s="1"/>
  <c r="AH13" i="23"/>
  <c r="D61" i="11"/>
  <c r="D58" i="11"/>
  <c r="M49" i="11"/>
  <c r="D79" i="11"/>
  <c r="D76" i="11"/>
  <c r="D49" i="11"/>
  <c r="D59" i="11"/>
  <c r="D46" i="11"/>
  <c r="D67" i="11"/>
  <c r="C45" i="11"/>
  <c r="G8" i="20" s="1"/>
  <c r="AJ18" i="23"/>
  <c r="D62" i="11"/>
  <c r="G49" i="11"/>
  <c r="O49" i="11"/>
  <c r="O48" i="11" s="1"/>
  <c r="D83" i="11"/>
  <c r="C11" i="23"/>
  <c r="C12" i="23" s="1"/>
  <c r="D82" i="11"/>
  <c r="D84" i="11"/>
  <c r="D71" i="11"/>
  <c r="AH14" i="23"/>
  <c r="AX23" i="23" s="1"/>
  <c r="D57" i="11"/>
  <c r="X49" i="11"/>
  <c r="AB49" i="11"/>
  <c r="AC49" i="11"/>
  <c r="AI49" i="11"/>
  <c r="AI48" i="11" s="1"/>
  <c r="D72" i="11"/>
  <c r="BR12" i="23"/>
  <c r="D64" i="11"/>
  <c r="D87" i="11"/>
  <c r="D74" i="11"/>
  <c r="D94" i="11"/>
  <c r="AH15" i="23"/>
  <c r="AU23" i="23" s="1"/>
  <c r="Y49" i="11"/>
  <c r="E49" i="11"/>
  <c r="E48" i="11" s="1"/>
  <c r="W57" i="11"/>
  <c r="W70" i="11"/>
  <c r="AE33" i="23"/>
  <c r="AS147" i="23" s="1"/>
  <c r="W56" i="11"/>
  <c r="W77" i="11"/>
  <c r="G27" i="23"/>
  <c r="G29" i="23" s="1"/>
  <c r="W58" i="11"/>
  <c r="W83" i="11"/>
  <c r="W72" i="11"/>
  <c r="W55" i="11"/>
  <c r="W69" i="11"/>
  <c r="W81" i="11"/>
  <c r="Z84" i="11"/>
  <c r="G47" i="23"/>
  <c r="AZ176" i="23" s="1"/>
  <c r="Z57" i="11"/>
  <c r="Z69" i="11"/>
  <c r="AX144" i="23"/>
  <c r="Z76" i="11"/>
  <c r="Z63" i="11"/>
  <c r="Z66" i="11"/>
  <c r="Z64" i="11"/>
  <c r="AL36" i="23"/>
  <c r="AL33" i="23" s="1"/>
  <c r="AV147" i="23" s="1"/>
  <c r="V59" i="11"/>
  <c r="V69" i="11"/>
  <c r="V86" i="11"/>
  <c r="V85" i="11"/>
  <c r="V49" i="11"/>
  <c r="V84" i="11"/>
  <c r="AE32" i="23"/>
  <c r="AS136" i="23" s="1"/>
  <c r="V60" i="11"/>
  <c r="G11" i="23"/>
  <c r="G13" i="23" s="1"/>
  <c r="V46" i="11"/>
  <c r="V94" i="11"/>
  <c r="V77" i="11"/>
  <c r="AA63" i="11"/>
  <c r="AA70" i="11"/>
  <c r="AA57" i="11"/>
  <c r="AA85" i="11"/>
  <c r="AA49" i="11"/>
  <c r="AA48" i="11" s="1"/>
  <c r="AA80" i="11"/>
  <c r="AA50" i="11"/>
  <c r="P11" i="23" s="1"/>
  <c r="AA61" i="11"/>
  <c r="AF38" i="23"/>
  <c r="BA136" i="23" s="1"/>
  <c r="AA62" i="11"/>
  <c r="AA83" i="11"/>
  <c r="AA71" i="11"/>
  <c r="AA56" i="11"/>
  <c r="AA65" i="11"/>
  <c r="AA64" i="11"/>
  <c r="I11" i="23"/>
  <c r="AA94" i="11"/>
  <c r="AA79" i="11"/>
  <c r="AD60" i="11"/>
  <c r="AN41" i="23"/>
  <c r="AD61" i="11"/>
  <c r="AD74" i="11"/>
  <c r="I35" i="23"/>
  <c r="BA175" i="23" s="1"/>
  <c r="AD64" i="11"/>
  <c r="AD67" i="11"/>
  <c r="AD46" i="11"/>
  <c r="AD76" i="11"/>
  <c r="AD79" i="11"/>
  <c r="AD57" i="11"/>
  <c r="AD94" i="11"/>
  <c r="AD63" i="11"/>
  <c r="AD71" i="11"/>
  <c r="AD56" i="11"/>
  <c r="AD73" i="11"/>
  <c r="AD58" i="11"/>
  <c r="AD83" i="11"/>
  <c r="AD62" i="11"/>
  <c r="AD86" i="11"/>
  <c r="AD68" i="11"/>
  <c r="AD50" i="11"/>
  <c r="P37" i="23" s="1"/>
  <c r="P36" i="23" s="1"/>
  <c r="AD72" i="11"/>
  <c r="AD87" i="11"/>
  <c r="AD65" i="11"/>
  <c r="U63" i="11"/>
  <c r="U83" i="11"/>
  <c r="U58" i="11"/>
  <c r="U77" i="11"/>
  <c r="U81" i="11"/>
  <c r="U71" i="11"/>
  <c r="U70" i="11"/>
  <c r="U55" i="11"/>
  <c r="U78" i="11"/>
  <c r="AL30" i="23"/>
  <c r="U67" i="11"/>
  <c r="AG30" i="23"/>
  <c r="BF91" i="23" s="1"/>
  <c r="U84" i="11"/>
  <c r="AK30" i="23"/>
  <c r="BF84" i="23" s="1"/>
  <c r="U82" i="11"/>
  <c r="U46" i="11"/>
  <c r="U48" i="11" s="1"/>
  <c r="U74" i="11"/>
  <c r="U94" i="11"/>
  <c r="U57" i="11"/>
  <c r="U86" i="11"/>
  <c r="U50" i="11"/>
  <c r="U64" i="11"/>
  <c r="U61" i="11"/>
  <c r="CI12" i="23"/>
  <c r="U80" i="11"/>
  <c r="U60" i="11"/>
  <c r="U85" i="11"/>
  <c r="U73" i="11"/>
  <c r="U76" i="11"/>
  <c r="U65" i="11"/>
  <c r="W76" i="11"/>
  <c r="W86" i="11"/>
  <c r="W50" i="11"/>
  <c r="W67" i="11"/>
  <c r="W46" i="11"/>
  <c r="W84" i="11"/>
  <c r="AU145" i="23"/>
  <c r="W75" i="11"/>
  <c r="W63" i="11"/>
  <c r="N49" i="11"/>
  <c r="N48" i="11" s="1"/>
  <c r="Z74" i="11"/>
  <c r="Z86" i="11"/>
  <c r="Z61" i="11"/>
  <c r="Z70" i="11"/>
  <c r="Z55" i="11"/>
  <c r="AK36" i="23"/>
  <c r="AK32" i="23" s="1"/>
  <c r="Z59" i="11"/>
  <c r="Z67" i="11"/>
  <c r="V74" i="11"/>
  <c r="CJ12" i="23"/>
  <c r="AD38" i="23"/>
  <c r="AZ136" i="23" s="1"/>
  <c r="V57" i="11"/>
  <c r="V76" i="11"/>
  <c r="V56" i="11"/>
  <c r="V65" i="11"/>
  <c r="V55" i="11"/>
  <c r="V61" i="11"/>
  <c r="AG38" i="23"/>
  <c r="BA141" i="23" s="1"/>
  <c r="AA76" i="11"/>
  <c r="AA87" i="11"/>
  <c r="AE38" i="23"/>
  <c r="AY136" i="23" s="1"/>
  <c r="AA66" i="11"/>
  <c r="AA68" i="11"/>
  <c r="AG49" i="11"/>
  <c r="AG48" i="11" s="1"/>
  <c r="AZ159" i="23"/>
  <c r="AD69" i="11"/>
  <c r="AD84" i="11"/>
  <c r="AD80" i="11"/>
  <c r="AD78" i="11"/>
  <c r="U87" i="11"/>
  <c r="U59" i="11"/>
  <c r="U56" i="11"/>
  <c r="AJ49" i="11"/>
  <c r="AJ48" i="11" s="1"/>
  <c r="AN14" i="23"/>
  <c r="H67" i="11"/>
  <c r="H68" i="11"/>
  <c r="J49" i="11"/>
  <c r="D63" i="11"/>
  <c r="D77" i="11"/>
  <c r="D65" i="11"/>
  <c r="D73" i="11"/>
  <c r="S49" i="11"/>
  <c r="S48" i="11" s="1"/>
  <c r="F49" i="11"/>
  <c r="F48" i="11" s="1"/>
  <c r="W49" i="11"/>
  <c r="W73" i="11"/>
  <c r="W59" i="11"/>
  <c r="W68" i="11"/>
  <c r="W65" i="11"/>
  <c r="AD45" i="23"/>
  <c r="W66" i="11"/>
  <c r="X46" i="11"/>
  <c r="W79" i="11"/>
  <c r="AF49" i="11"/>
  <c r="AF48" i="11" s="1"/>
  <c r="Z94" i="11"/>
  <c r="Z85" i="11"/>
  <c r="CN12" i="23"/>
  <c r="Z81" i="11"/>
  <c r="Z87" i="11"/>
  <c r="Z72" i="11"/>
  <c r="Z46" i="11"/>
  <c r="Z71" i="11"/>
  <c r="AJ36" i="23"/>
  <c r="AJ32" i="23" s="1"/>
  <c r="V70" i="11"/>
  <c r="V81" i="11"/>
  <c r="V78" i="11"/>
  <c r="V71" i="11"/>
  <c r="V50" i="11"/>
  <c r="O11" i="23" s="1"/>
  <c r="V79" i="11"/>
  <c r="V80" i="11"/>
  <c r="I49" i="11"/>
  <c r="I48" i="11" s="1"/>
  <c r="AA82" i="11"/>
  <c r="CO12" i="23"/>
  <c r="AA84" i="11"/>
  <c r="AA73" i="11"/>
  <c r="AA74" i="11"/>
  <c r="AA55" i="11"/>
  <c r="AA59" i="11"/>
  <c r="AG41" i="23"/>
  <c r="BA164" i="23" s="1"/>
  <c r="AD55" i="11"/>
  <c r="AD59" i="11"/>
  <c r="CR12" i="23"/>
  <c r="E47" i="23"/>
  <c r="E48" i="23" s="1"/>
  <c r="U68" i="11"/>
  <c r="H61" i="11"/>
  <c r="H94" i="11"/>
  <c r="H63" i="11"/>
  <c r="AJ20" i="23"/>
  <c r="BF22" i="23" s="1"/>
  <c r="D68" i="11"/>
  <c r="D81" i="11"/>
  <c r="AD34" i="23"/>
  <c r="AT157" i="23" s="1"/>
  <c r="AD25" i="23"/>
  <c r="AU90" i="23" s="1"/>
  <c r="AT155" i="23"/>
  <c r="W85" i="11"/>
  <c r="W82" i="11"/>
  <c r="AD39" i="23"/>
  <c r="W61" i="11"/>
  <c r="AG33" i="23"/>
  <c r="AV152" i="23" s="1"/>
  <c r="W64" i="11"/>
  <c r="Z49" i="11"/>
  <c r="Z48" i="11" s="1"/>
  <c r="Z80" i="11"/>
  <c r="AG36" i="23"/>
  <c r="AX151" i="23" s="1"/>
  <c r="Z65" i="11"/>
  <c r="Z50" i="11"/>
  <c r="Z51" i="11" s="1"/>
  <c r="U47" i="23" s="1"/>
  <c r="Z73" i="11"/>
  <c r="Z79" i="11"/>
  <c r="Z60" i="11"/>
  <c r="T49" i="11"/>
  <c r="T48" i="11" s="1"/>
  <c r="AH33" i="23"/>
  <c r="AH32" i="23" s="1"/>
  <c r="V87" i="11"/>
  <c r="V75" i="11"/>
  <c r="V58" i="11"/>
  <c r="V67" i="11"/>
  <c r="V83" i="11"/>
  <c r="V66" i="11"/>
  <c r="V63" i="11"/>
  <c r="AJ42" i="23"/>
  <c r="AJ38" i="23" s="1"/>
  <c r="AA75" i="11"/>
  <c r="AA58" i="11"/>
  <c r="AA67" i="11"/>
  <c r="AA86" i="11"/>
  <c r="AA69" i="11"/>
  <c r="AH49" i="11"/>
  <c r="AD77" i="11"/>
  <c r="AD82" i="11"/>
  <c r="AD49" i="11"/>
  <c r="AD48" i="11" s="1"/>
  <c r="AN40" i="23"/>
  <c r="U66" i="11"/>
  <c r="U75" i="11"/>
  <c r="U69" i="11"/>
  <c r="H76" i="11"/>
  <c r="H78" i="11"/>
  <c r="H83" i="11"/>
  <c r="AJ19" i="23"/>
  <c r="AD22" i="23"/>
  <c r="D85" i="11"/>
  <c r="Y61" i="11"/>
  <c r="Y82" i="11"/>
  <c r="Y77" i="11"/>
  <c r="Y67" i="11"/>
  <c r="Y83" i="11"/>
  <c r="Y46" i="11"/>
  <c r="Y56" i="11"/>
  <c r="Y84" i="11"/>
  <c r="Y58" i="11"/>
  <c r="Y78" i="11"/>
  <c r="G35" i="23"/>
  <c r="AZ175" i="23" s="1"/>
  <c r="Y73" i="11"/>
  <c r="AN34" i="23"/>
  <c r="Y75" i="11"/>
  <c r="Y85" i="11"/>
  <c r="Y69" i="11"/>
  <c r="AG35" i="23"/>
  <c r="AU164" i="23" s="1"/>
  <c r="Y71" i="11"/>
  <c r="Y81" i="11"/>
  <c r="AG46" i="11"/>
  <c r="AH46" i="11"/>
  <c r="AH65" i="11"/>
  <c r="AH73" i="11"/>
  <c r="BF153" i="23"/>
  <c r="AH74" i="11"/>
  <c r="AM46" i="23"/>
  <c r="AO46" i="23" s="1"/>
  <c r="AH63" i="11"/>
  <c r="AH94" i="11"/>
  <c r="AH86" i="11"/>
  <c r="AH76" i="11"/>
  <c r="AH81" i="11"/>
  <c r="E76" i="11"/>
  <c r="E67" i="11"/>
  <c r="C15" i="23"/>
  <c r="E59" i="11"/>
  <c r="E87" i="11"/>
  <c r="E84" i="11"/>
  <c r="E61" i="11"/>
  <c r="E55" i="11"/>
  <c r="E70" i="11"/>
  <c r="AI13" i="23"/>
  <c r="AE60" i="11"/>
  <c r="AE68" i="11"/>
  <c r="AE64" i="11"/>
  <c r="AE85" i="11"/>
  <c r="AE49" i="11"/>
  <c r="AE84" i="11"/>
  <c r="AE86" i="11"/>
  <c r="AE66" i="11"/>
  <c r="AE69" i="11"/>
  <c r="AL42" i="23"/>
  <c r="AL39" i="23" s="1"/>
  <c r="BB147" i="23" s="1"/>
  <c r="AE63" i="11"/>
  <c r="I47" i="23"/>
  <c r="BA176" i="23" s="1"/>
  <c r="AE71" i="11"/>
  <c r="AK42" i="23"/>
  <c r="AK38" i="23" s="1"/>
  <c r="AE73" i="11"/>
  <c r="AE46" i="11"/>
  <c r="AE48" i="11" s="1"/>
  <c r="AE56" i="11"/>
  <c r="CS12" i="23"/>
  <c r="L57" i="11"/>
  <c r="L56" i="11"/>
  <c r="L85" i="11"/>
  <c r="L76" i="11"/>
  <c r="L79" i="11"/>
  <c r="L59" i="11"/>
  <c r="L50" i="11"/>
  <c r="M49" i="23" s="1"/>
  <c r="M48" i="23" s="1"/>
  <c r="L84" i="11"/>
  <c r="L67" i="11"/>
  <c r="K56" i="11"/>
  <c r="K85" i="11"/>
  <c r="K82" i="11"/>
  <c r="K80" i="11"/>
  <c r="K60" i="11"/>
  <c r="K75" i="11"/>
  <c r="K73" i="11"/>
  <c r="K50" i="11"/>
  <c r="M43" i="23" s="1"/>
  <c r="AZ58" i="23" s="1"/>
  <c r="K64" i="11"/>
  <c r="R46" i="11"/>
  <c r="R79" i="11"/>
  <c r="R74" i="11"/>
  <c r="R76" i="11"/>
  <c r="R72" i="11"/>
  <c r="R56" i="11"/>
  <c r="R94" i="11"/>
  <c r="R82" i="11"/>
  <c r="AG27" i="23"/>
  <c r="AU108" i="23" s="1"/>
  <c r="R67" i="11"/>
  <c r="I82" i="11"/>
  <c r="I65" i="11"/>
  <c r="I78" i="11"/>
  <c r="I59" i="11"/>
  <c r="I72" i="11"/>
  <c r="AG17" i="23"/>
  <c r="AU44" i="23" s="1"/>
  <c r="I58" i="11"/>
  <c r="I50" i="11"/>
  <c r="AF17" i="23" s="1"/>
  <c r="AV47" i="23" s="1"/>
  <c r="I79" i="11"/>
  <c r="AB79" i="11" s="1"/>
  <c r="AB92" i="11" s="1"/>
  <c r="AH77" i="11"/>
  <c r="AH60" i="11"/>
  <c r="AH72" i="11"/>
  <c r="AH57" i="11"/>
  <c r="AH68" i="11"/>
  <c r="AH55" i="11"/>
  <c r="AH62" i="11"/>
  <c r="AH59" i="11"/>
  <c r="E57" i="11"/>
  <c r="AE13" i="23"/>
  <c r="AS24" i="23" s="1"/>
  <c r="E65" i="11"/>
  <c r="E73" i="11"/>
  <c r="E69" i="11"/>
  <c r="E66" i="11"/>
  <c r="E63" i="11"/>
  <c r="AE87" i="11"/>
  <c r="AE55" i="11"/>
  <c r="AE65" i="11"/>
  <c r="AE72" i="11"/>
  <c r="AE50" i="11"/>
  <c r="AE51" i="11" s="1"/>
  <c r="V47" i="23" s="1"/>
  <c r="AE58" i="11"/>
  <c r="Y62" i="11"/>
  <c r="Y87" i="11"/>
  <c r="Y57" i="11"/>
  <c r="Y68" i="11"/>
  <c r="Y66" i="11"/>
  <c r="G75" i="11"/>
  <c r="G82" i="11"/>
  <c r="AM17" i="23"/>
  <c r="AU42" i="23" s="1"/>
  <c r="G60" i="11"/>
  <c r="G78" i="11"/>
  <c r="G46" i="11"/>
  <c r="G86" i="11"/>
  <c r="AE15" i="23"/>
  <c r="AS26" i="23" s="1"/>
  <c r="G71" i="11"/>
  <c r="G77" i="11"/>
  <c r="AM15" i="23"/>
  <c r="J58" i="11"/>
  <c r="J63" i="11"/>
  <c r="J81" i="11"/>
  <c r="J78" i="11"/>
  <c r="J87" i="11"/>
  <c r="J83" i="11"/>
  <c r="J50" i="11"/>
  <c r="AF18" i="23" s="1"/>
  <c r="BD47" i="23" s="1"/>
  <c r="J75" i="11"/>
  <c r="AG18" i="23"/>
  <c r="BD27" i="23" s="1"/>
  <c r="AL18" i="23"/>
  <c r="AL14" i="23" s="1"/>
  <c r="AY23" i="23" s="1"/>
  <c r="P60" i="11"/>
  <c r="P86" i="11"/>
  <c r="P74" i="11"/>
  <c r="P62" i="11"/>
  <c r="P65" i="11"/>
  <c r="AG25" i="23"/>
  <c r="AU97" i="23" s="1"/>
  <c r="P72" i="11"/>
  <c r="AM27" i="23"/>
  <c r="P49" i="11"/>
  <c r="P48" i="11" s="1"/>
  <c r="P61" i="11"/>
  <c r="R48" i="11"/>
  <c r="Y48" i="11"/>
  <c r="L48" i="11"/>
  <c r="S51" i="11"/>
  <c r="T39" i="23" s="1"/>
  <c r="AF28" i="23"/>
  <c r="BD111" i="23" s="1"/>
  <c r="M47" i="23"/>
  <c r="AZ59" i="23" s="1"/>
  <c r="E41" i="23"/>
  <c r="E40" i="23"/>
  <c r="AZ173" i="23"/>
  <c r="Q11" i="23"/>
  <c r="AF51" i="11"/>
  <c r="W11" i="23" s="1"/>
  <c r="G49" i="23"/>
  <c r="G48" i="23"/>
  <c r="AF29" i="23"/>
  <c r="BH111" i="23" s="1"/>
  <c r="T51" i="11"/>
  <c r="T43" i="23" s="1"/>
  <c r="AE14" i="23"/>
  <c r="AS25" i="23" s="1"/>
  <c r="F51" i="11"/>
  <c r="S19" i="23" s="1"/>
  <c r="M19" i="23"/>
  <c r="BG147" i="23"/>
  <c r="AH44" i="23"/>
  <c r="E36" i="23"/>
  <c r="E37" i="23"/>
  <c r="AA51" i="11"/>
  <c r="V11" i="23" s="1"/>
  <c r="AG51" i="11"/>
  <c r="W27" i="23" s="1"/>
  <c r="Q27" i="23"/>
  <c r="Q28" i="23" s="1"/>
  <c r="Q29" i="23" s="1"/>
  <c r="I37" i="23"/>
  <c r="C17" i="23"/>
  <c r="C16" i="23"/>
  <c r="E21" i="23"/>
  <c r="AU106" i="23"/>
  <c r="K48" i="23"/>
  <c r="K49" i="23"/>
  <c r="BB176" i="23"/>
  <c r="AH22" i="23"/>
  <c r="H51" i="11"/>
  <c r="S23" i="23" s="1"/>
  <c r="BA23" i="23"/>
  <c r="AH12" i="23"/>
  <c r="D51" i="11"/>
  <c r="S11" i="23" s="1"/>
  <c r="M11" i="23"/>
  <c r="I60" i="11"/>
  <c r="I92" i="11" s="1"/>
  <c r="AY34" i="23"/>
  <c r="AI22" i="23"/>
  <c r="BA85" i="23"/>
  <c r="K13" i="23"/>
  <c r="K12" i="23"/>
  <c r="BB172" i="23"/>
  <c r="E44" i="23"/>
  <c r="E45" i="23"/>
  <c r="BB175" i="23"/>
  <c r="AX146" i="23"/>
  <c r="BF161" i="23"/>
  <c r="AH51" i="11"/>
  <c r="W31" i="23" s="1"/>
  <c r="Q31" i="23"/>
  <c r="Q32" i="23" s="1"/>
  <c r="Q33" i="23" s="1"/>
  <c r="I29" i="23"/>
  <c r="P35" i="23"/>
  <c r="AF41" i="23"/>
  <c r="BB164" i="23" s="1"/>
  <c r="AD51" i="11"/>
  <c r="V35" i="23" s="1"/>
  <c r="E28" i="23"/>
  <c r="E29" i="23"/>
  <c r="I49" i="23"/>
  <c r="AJ22" i="23"/>
  <c r="BD86" i="23"/>
  <c r="AK12" i="23"/>
  <c r="BD20" i="23"/>
  <c r="AS73" i="23"/>
  <c r="C49" i="23"/>
  <c r="C48" i="23"/>
  <c r="BF147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C36" i="23"/>
  <c r="C37" i="23"/>
  <c r="P31" i="23"/>
  <c r="P32" i="23" s="1"/>
  <c r="P33" i="23" s="1"/>
  <c r="AH38" i="23"/>
  <c r="BA147" i="23"/>
  <c r="N27" i="23"/>
  <c r="P51" i="11"/>
  <c r="T27" i="23" s="1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C28" i="23"/>
  <c r="C29" i="23"/>
  <c r="O35" i="23"/>
  <c r="AF35" i="23"/>
  <c r="AV164" i="23" s="1"/>
  <c r="Y51" i="11"/>
  <c r="U35" i="23" s="1"/>
  <c r="O37" i="23"/>
  <c r="O36" i="23" s="1"/>
  <c r="BF21" i="23"/>
  <c r="BH22" i="23"/>
  <c r="D48" i="11"/>
  <c r="C48" i="11" s="1"/>
  <c r="O27" i="23"/>
  <c r="O28" i="23" s="1"/>
  <c r="O29" i="23" s="1"/>
  <c r="W51" i="11"/>
  <c r="U27" i="23" s="1"/>
  <c r="AZ172" i="23"/>
  <c r="G12" i="23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K33" i="23"/>
  <c r="BB174" i="23"/>
  <c r="K32" i="23"/>
  <c r="BB173" i="23"/>
  <c r="BF157" i="23"/>
  <c r="E51" i="11"/>
  <c r="S15" i="23" s="1"/>
  <c r="M15" i="23"/>
  <c r="AT147" i="23"/>
  <c r="E13" i="23"/>
  <c r="E12" i="23"/>
  <c r="C41" i="23"/>
  <c r="BD22" i="23"/>
  <c r="AZ8" i="23"/>
  <c r="C51" i="23"/>
  <c r="D27" i="23" s="1"/>
  <c r="AV37" i="23" s="1"/>
  <c r="AL23" i="23" l="1"/>
  <c r="BB87" i="23" s="1"/>
  <c r="AO39" i="23"/>
  <c r="Q68" i="11"/>
  <c r="Q93" i="11" s="1"/>
  <c r="V48" i="11"/>
  <c r="AO40" i="23"/>
  <c r="Q48" i="11"/>
  <c r="C13" i="23"/>
  <c r="Q35" i="23"/>
  <c r="G51" i="11"/>
  <c r="S27" i="23" s="1"/>
  <c r="S28" i="23" s="1"/>
  <c r="N19" i="23"/>
  <c r="BJ146" i="23"/>
  <c r="C25" i="23"/>
  <c r="D25" i="23" s="1"/>
  <c r="G28" i="23"/>
  <c r="AK22" i="23"/>
  <c r="AF20" i="23"/>
  <c r="BF47" i="23" s="1"/>
  <c r="L51" i="11"/>
  <c r="S47" i="23" s="1"/>
  <c r="G48" i="11"/>
  <c r="Q37" i="23"/>
  <c r="Q36" i="23" s="1"/>
  <c r="AO45" i="23"/>
  <c r="O51" i="11"/>
  <c r="T19" i="23" s="1"/>
  <c r="BD151" i="23"/>
  <c r="G37" i="23"/>
  <c r="C20" i="23"/>
  <c r="W48" i="11"/>
  <c r="U72" i="11"/>
  <c r="U92" i="11" s="1"/>
  <c r="K51" i="23"/>
  <c r="L11" i="23" s="1"/>
  <c r="BH142" i="23" s="1"/>
  <c r="C46" i="11"/>
  <c r="P47" i="23"/>
  <c r="K28" i="23"/>
  <c r="V51" i="11"/>
  <c r="U11" i="23" s="1"/>
  <c r="U51" i="23" s="1"/>
  <c r="K29" i="23"/>
  <c r="M37" i="23"/>
  <c r="M36" i="23" s="1"/>
  <c r="M51" i="11"/>
  <c r="T11" i="23" s="1"/>
  <c r="T13" i="23" s="1"/>
  <c r="AI51" i="11"/>
  <c r="W35" i="23" s="1"/>
  <c r="W36" i="23" s="1"/>
  <c r="G11" i="20"/>
  <c r="O31" i="23"/>
  <c r="O32" i="23" s="1"/>
  <c r="O33" i="23" s="1"/>
  <c r="I28" i="23"/>
  <c r="I33" i="23"/>
  <c r="K37" i="23"/>
  <c r="L37" i="23" s="1"/>
  <c r="AL13" i="23"/>
  <c r="BB23" i="23" s="1"/>
  <c r="M25" i="23"/>
  <c r="M24" i="23" s="1"/>
  <c r="N45" i="23"/>
  <c r="N44" i="23" s="1"/>
  <c r="N41" i="23"/>
  <c r="N40" i="23" s="1"/>
  <c r="G58" i="11"/>
  <c r="G93" i="11" s="1"/>
  <c r="I32" i="23"/>
  <c r="J32" i="23" s="1"/>
  <c r="J51" i="11"/>
  <c r="S39" i="23" s="1"/>
  <c r="S41" i="23" s="1"/>
  <c r="K51" i="11"/>
  <c r="S43" i="23" s="1"/>
  <c r="S45" i="23" s="1"/>
  <c r="P27" i="23"/>
  <c r="P28" i="23" s="1"/>
  <c r="P29" i="23" s="1"/>
  <c r="I51" i="23"/>
  <c r="J11" i="23" s="1"/>
  <c r="BB142" i="23" s="1"/>
  <c r="G33" i="23"/>
  <c r="G36" i="23"/>
  <c r="M23" i="23"/>
  <c r="AZ55" i="23" s="1"/>
  <c r="AO15" i="23"/>
  <c r="AI12" i="23"/>
  <c r="AB48" i="11"/>
  <c r="L63" i="11"/>
  <c r="L93" i="11" s="1"/>
  <c r="E51" i="23"/>
  <c r="F39" i="23" s="1"/>
  <c r="BD96" i="23" s="1"/>
  <c r="G32" i="23"/>
  <c r="F11" i="20"/>
  <c r="G10" i="20" s="1"/>
  <c r="AZ157" i="23"/>
  <c r="E16" i="23"/>
  <c r="G51" i="23"/>
  <c r="H12" i="23" s="1"/>
  <c r="AJ87" i="11"/>
  <c r="AJ92" i="11" s="1"/>
  <c r="F57" i="11"/>
  <c r="F92" i="11" s="1"/>
  <c r="AE82" i="11"/>
  <c r="AE92" i="11" s="1"/>
  <c r="J61" i="11"/>
  <c r="J93" i="11" s="1"/>
  <c r="Y76" i="11"/>
  <c r="Y93" i="11" s="1"/>
  <c r="O66" i="11"/>
  <c r="O93" i="11" s="1"/>
  <c r="AF42" i="23"/>
  <c r="BD164" i="23" s="1"/>
  <c r="L28" i="23"/>
  <c r="L31" i="23"/>
  <c r="BH156" i="23" s="1"/>
  <c r="E24" i="23"/>
  <c r="O49" i="23"/>
  <c r="O48" i="23" s="1"/>
  <c r="AL24" i="23"/>
  <c r="AO24" i="23" s="1"/>
  <c r="AC48" i="11"/>
  <c r="AH85" i="11"/>
  <c r="AH92" i="11" s="1"/>
  <c r="Z77" i="11"/>
  <c r="Z92" i="11" s="1"/>
  <c r="X48" i="11"/>
  <c r="AC80" i="11"/>
  <c r="AC93" i="11" s="1"/>
  <c r="L32" i="23"/>
  <c r="AO25" i="23"/>
  <c r="O47" i="23"/>
  <c r="AG49" i="23"/>
  <c r="M39" i="23"/>
  <c r="AZ57" i="23" s="1"/>
  <c r="AF19" i="23"/>
  <c r="BH47" i="23" s="1"/>
  <c r="AA78" i="11"/>
  <c r="AA92" i="11" s="1"/>
  <c r="R69" i="11"/>
  <c r="R93" i="11" s="1"/>
  <c r="K62" i="11"/>
  <c r="K92" i="11" s="1"/>
  <c r="AG84" i="11"/>
  <c r="AG92" i="11" s="1"/>
  <c r="P67" i="11"/>
  <c r="P93" i="11" s="1"/>
  <c r="AH48" i="11"/>
  <c r="AO34" i="23"/>
  <c r="N65" i="11"/>
  <c r="N93" i="11" s="1"/>
  <c r="S70" i="11"/>
  <c r="S92" i="11" s="1"/>
  <c r="D55" i="11"/>
  <c r="C94" i="11"/>
  <c r="T71" i="11"/>
  <c r="T93" i="11" s="1"/>
  <c r="AF83" i="11"/>
  <c r="AF92" i="11" s="1"/>
  <c r="AJ12" i="23"/>
  <c r="H59" i="11"/>
  <c r="H92" i="11" s="1"/>
  <c r="M48" i="11"/>
  <c r="AI86" i="11"/>
  <c r="AI93" i="11" s="1"/>
  <c r="X75" i="11"/>
  <c r="X92" i="11" s="1"/>
  <c r="W74" i="11"/>
  <c r="W93" i="11" s="1"/>
  <c r="M64" i="11"/>
  <c r="M92" i="11" s="1"/>
  <c r="V73" i="11"/>
  <c r="V93" i="11" s="1"/>
  <c r="AD81" i="11"/>
  <c r="AD93" i="11" s="1"/>
  <c r="E56" i="11"/>
  <c r="E92" i="11" s="1"/>
  <c r="AO33" i="23"/>
  <c r="C49" i="11"/>
  <c r="I48" i="23"/>
  <c r="J48" i="23" s="1"/>
  <c r="BD146" i="23"/>
  <c r="I36" i="23"/>
  <c r="J36" i="23" s="1"/>
  <c r="P49" i="23"/>
  <c r="P48" i="23" s="1"/>
  <c r="L27" i="23"/>
  <c r="BH150" i="23" s="1"/>
  <c r="AU147" i="23"/>
  <c r="AF36" i="23"/>
  <c r="AX164" i="23" s="1"/>
  <c r="M41" i="23"/>
  <c r="M40" i="23" s="1"/>
  <c r="BA21" i="23"/>
  <c r="AZ147" i="23"/>
  <c r="M45" i="23"/>
  <c r="M44" i="23" s="1"/>
  <c r="L33" i="23"/>
  <c r="AO38" i="23"/>
  <c r="AO16" i="23"/>
  <c r="X93" i="11"/>
  <c r="X95" i="11" s="1"/>
  <c r="AO26" i="23"/>
  <c r="AO23" i="23"/>
  <c r="AO44" i="23"/>
  <c r="S93" i="11"/>
  <c r="S95" i="11" s="1"/>
  <c r="AB93" i="11"/>
  <c r="AB95" i="11" s="1"/>
  <c r="D13" i="23"/>
  <c r="L92" i="11"/>
  <c r="L95" i="11" s="1"/>
  <c r="D39" i="23"/>
  <c r="BD31" i="23" s="1"/>
  <c r="J13" i="23"/>
  <c r="R92" i="11"/>
  <c r="R95" i="11" s="1"/>
  <c r="AO22" i="23"/>
  <c r="D12" i="23"/>
  <c r="AH93" i="11"/>
  <c r="AH95" i="11" s="1"/>
  <c r="L35" i="23"/>
  <c r="BH162" i="23" s="1"/>
  <c r="V92" i="11"/>
  <c r="V95" i="11" s="1"/>
  <c r="AO32" i="23"/>
  <c r="AO41" i="23"/>
  <c r="F11" i="23"/>
  <c r="AY75" i="23" s="1"/>
  <c r="O92" i="11"/>
  <c r="O95" i="11" s="1"/>
  <c r="AC92" i="11"/>
  <c r="AC95" i="11" s="1"/>
  <c r="AO12" i="23"/>
  <c r="J12" i="23"/>
  <c r="D41" i="23"/>
  <c r="D11" i="23"/>
  <c r="AY11" i="23" s="1"/>
  <c r="W92" i="11"/>
  <c r="W95" i="11" s="1"/>
  <c r="D40" i="23"/>
  <c r="S17" i="23"/>
  <c r="S16" i="23"/>
  <c r="P92" i="11"/>
  <c r="P95" i="11" s="1"/>
  <c r="H32" i="23"/>
  <c r="U37" i="23"/>
  <c r="U36" i="23"/>
  <c r="D28" i="23"/>
  <c r="N12" i="23"/>
  <c r="N13" i="23"/>
  <c r="AZ116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J47" i="23"/>
  <c r="BD155" i="23" s="1"/>
  <c r="F29" i="23"/>
  <c r="V37" i="23"/>
  <c r="V36" i="23"/>
  <c r="J28" i="23"/>
  <c r="AA93" i="11"/>
  <c r="AA95" i="11" s="1"/>
  <c r="L36" i="23"/>
  <c r="L12" i="23"/>
  <c r="S13" i="23"/>
  <c r="S12" i="23"/>
  <c r="G92" i="11"/>
  <c r="G95" i="11" s="1"/>
  <c r="S25" i="23"/>
  <c r="S24" i="23"/>
  <c r="AO27" i="23"/>
  <c r="AO28" i="23" s="1"/>
  <c r="AO29" i="23" s="1"/>
  <c r="AO30" i="23" s="1"/>
  <c r="D15" i="23"/>
  <c r="BB27" i="23" s="1"/>
  <c r="I93" i="11"/>
  <c r="I95" i="11" s="1"/>
  <c r="F37" i="23"/>
  <c r="S21" i="23"/>
  <c r="S20" i="23"/>
  <c r="D21" i="23"/>
  <c r="T45" i="23"/>
  <c r="T44" i="23"/>
  <c r="W51" i="23"/>
  <c r="W12" i="23"/>
  <c r="W13" i="23"/>
  <c r="W48" i="23"/>
  <c r="W49" i="23"/>
  <c r="AE93" i="11"/>
  <c r="AE95" i="11" s="1"/>
  <c r="T28" i="23"/>
  <c r="T29" i="23"/>
  <c r="F24" i="23"/>
  <c r="D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J27" i="23"/>
  <c r="BB150" i="23" s="1"/>
  <c r="W32" i="23"/>
  <c r="W33" i="23"/>
  <c r="J33" i="23"/>
  <c r="L13" i="23"/>
  <c r="S40" i="23"/>
  <c r="H36" i="23"/>
  <c r="D24" i="23"/>
  <c r="L49" i="23"/>
  <c r="F21" i="23"/>
  <c r="D17" i="23"/>
  <c r="J35" i="23"/>
  <c r="BB162" i="23" s="1"/>
  <c r="U12" i="23"/>
  <c r="U13" i="23"/>
  <c r="F16" i="23"/>
  <c r="H47" i="23"/>
  <c r="AX155" i="23" s="1"/>
  <c r="Q13" i="23"/>
  <c r="Q12" i="23"/>
  <c r="V29" i="23"/>
  <c r="V28" i="23"/>
  <c r="F35" i="23"/>
  <c r="AV107" i="23" s="1"/>
  <c r="F51" i="23"/>
  <c r="AX25" i="23"/>
  <c r="AO14" i="23"/>
  <c r="H31" i="23"/>
  <c r="AV156" i="23" s="1"/>
  <c r="N28" i="23"/>
  <c r="N29" i="23" s="1"/>
  <c r="AZ119" i="23"/>
  <c r="N16" i="23"/>
  <c r="N17" i="23" s="1"/>
  <c r="AZ117" i="23"/>
  <c r="D45" i="23"/>
  <c r="D48" i="23"/>
  <c r="U32" i="23"/>
  <c r="U33" i="23"/>
  <c r="AZ118" i="23"/>
  <c r="N20" i="23"/>
  <c r="N21" i="23" s="1"/>
  <c r="AO47" i="23"/>
  <c r="AO48" i="23" s="1"/>
  <c r="F45" i="23"/>
  <c r="F93" i="11"/>
  <c r="F95" i="11" s="1"/>
  <c r="H37" i="23"/>
  <c r="D23" i="23"/>
  <c r="AY37" i="23" s="1"/>
  <c r="L48" i="23"/>
  <c r="E93" i="11"/>
  <c r="E95" i="11" s="1"/>
  <c r="J37" i="23"/>
  <c r="P12" i="23"/>
  <c r="P13" i="23"/>
  <c r="O13" i="23"/>
  <c r="O12" i="23"/>
  <c r="F17" i="23"/>
  <c r="D19" i="23"/>
  <c r="AY30" i="23" s="1"/>
  <c r="H48" i="23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48" i="23"/>
  <c r="T49" i="23"/>
  <c r="V33" i="23"/>
  <c r="V32" i="23"/>
  <c r="D37" i="23"/>
  <c r="T17" i="23"/>
  <c r="T16" i="23"/>
  <c r="D49" i="23"/>
  <c r="AO35" i="23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AO17" i="23"/>
  <c r="AO18" i="23" s="1"/>
  <c r="L47" i="23"/>
  <c r="BJ155" i="23" s="1"/>
  <c r="U93" i="11"/>
  <c r="U95" i="11" s="1"/>
  <c r="D16" i="23"/>
  <c r="D92" i="11"/>
  <c r="D93" i="11"/>
  <c r="W29" i="23"/>
  <c r="W28" i="23"/>
  <c r="V13" i="23"/>
  <c r="V12" i="23"/>
  <c r="V51" i="23"/>
  <c r="M20" i="23"/>
  <c r="M21" i="23" s="1"/>
  <c r="AZ53" i="23"/>
  <c r="D20" i="23"/>
  <c r="S49" i="23"/>
  <c r="S48" i="23"/>
  <c r="T40" i="23"/>
  <c r="T41" i="23"/>
  <c r="F41" i="23" l="1"/>
  <c r="F49" i="23"/>
  <c r="F19" i="23"/>
  <c r="AY94" i="23" s="1"/>
  <c r="F25" i="23"/>
  <c r="F47" i="23"/>
  <c r="BF96" i="23" s="1"/>
  <c r="F36" i="23"/>
  <c r="F28" i="23"/>
  <c r="F15" i="23"/>
  <c r="BB91" i="23" s="1"/>
  <c r="F48" i="23"/>
  <c r="J51" i="23"/>
  <c r="F13" i="23"/>
  <c r="D51" i="23"/>
  <c r="AO42" i="23"/>
  <c r="H51" i="23"/>
  <c r="AI92" i="11"/>
  <c r="AI95" i="11" s="1"/>
  <c r="F20" i="23"/>
  <c r="F43" i="23"/>
  <c r="BH96" i="23" s="1"/>
  <c r="F12" i="23"/>
  <c r="Q92" i="11"/>
  <c r="Q95" i="11" s="1"/>
  <c r="J92" i="11"/>
  <c r="L29" i="23"/>
  <c r="S44" i="23"/>
  <c r="S51" i="23"/>
  <c r="H28" i="23"/>
  <c r="L51" i="23"/>
  <c r="H11" i="23"/>
  <c r="AV142" i="23" s="1"/>
  <c r="H29" i="23"/>
  <c r="AF49" i="23"/>
  <c r="H93" i="11"/>
  <c r="H95" i="11" s="1"/>
  <c r="H49" i="23"/>
  <c r="K93" i="11"/>
  <c r="K95" i="11" s="1"/>
  <c r="H35" i="23"/>
  <c r="AV162" i="23" s="1"/>
  <c r="H27" i="23"/>
  <c r="AV150" i="23" s="1"/>
  <c r="AX85" i="23"/>
  <c r="AY87" i="23"/>
  <c r="AG93" i="11"/>
  <c r="AG95" i="11" s="1"/>
  <c r="AO19" i="23"/>
  <c r="AO20" i="23" s="1"/>
  <c r="N92" i="11"/>
  <c r="N95" i="11" s="1"/>
  <c r="T92" i="11"/>
  <c r="T95" i="11" s="1"/>
  <c r="AO36" i="23"/>
  <c r="AJ93" i="11"/>
  <c r="AJ95" i="11" s="1"/>
  <c r="Y92" i="11"/>
  <c r="Y95" i="11" s="1"/>
  <c r="M93" i="11"/>
  <c r="M95" i="11" s="1"/>
  <c r="J95" i="11"/>
  <c r="D95" i="11"/>
  <c r="C92" i="11" l="1"/>
  <c r="AO49" i="23"/>
  <c r="C93" i="1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<sst xmlns="http://schemas.openxmlformats.org/spreadsheetml/2006/main" count="14981" uniqueCount="4056">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</sst>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143" zoomScaleNormal="100" workbookViewId="0">
      <selection activeCell="L160" sqref="L160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>
        <f>1.03*10^-5</f>
        <v>1.0300000000000001E-5</v>
      </c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1.0300000000000001E-5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2.38*10^-8</f>
        <v>2.3799999999999998E-8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1.07*10^-7</f>
        <v>1.0700000000000001E-7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0.11394691110345707</v>
      </c>
      <c r="AY8" s="75"/>
      <c r="AZ8" s="295">
        <f>output!AF12</f>
        <v>4.6145786506848195E-6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1.8801757174310158E-3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0.1186648056529664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12596.922247633182</v>
      </c>
      <c r="D11" s="117">
        <f>C11/$C$51</f>
        <v>1.0775245866968544E-3</v>
      </c>
      <c r="E11" s="517">
        <f>M.aC*Molweight</f>
        <v>6259.1171005510914</v>
      </c>
      <c r="F11" s="117">
        <f>E11/$E$51</f>
        <v>3.2473785526657395E-3</v>
      </c>
      <c r="G11" s="517">
        <f>M.aM*Molweight</f>
        <v>471.27389092585952</v>
      </c>
      <c r="H11" s="117">
        <f>G11/$G$51</f>
        <v>8.9438013810372438E-4</v>
      </c>
      <c r="I11" s="517">
        <f>M.aA*Molweight</f>
        <v>10.713746904441146</v>
      </c>
      <c r="J11" s="117">
        <f>I11/$I$51</f>
        <v>4.1047971967108146E-5</v>
      </c>
      <c r="K11" s="517">
        <f>M.aT*Molweight</f>
        <v>16.213090533382882</v>
      </c>
      <c r="L11" s="118">
        <f>K11/$K$51</f>
        <v>5.5098139818106811E-3</v>
      </c>
      <c r="M11" s="320">
        <f>C.aR*(Molweight*1000)</f>
        <v>5.4871813597740033E-8</v>
      </c>
      <c r="N11" s="320">
        <f>C.aC*(Molweight*1000)</f>
        <v>8.6941238331091309E-10</v>
      </c>
      <c r="O11" s="320">
        <f>C.aM*(Molweight*1000)</f>
        <v>6.0753734947162011E-12</v>
      </c>
      <c r="P11" s="320">
        <f>C.aA*(Molweight*1000)</f>
        <v>2.5208816245743876E-13</v>
      </c>
      <c r="Q11" s="321">
        <f>C.aT*(Molweight*1000)</f>
        <v>1.2716149437947356E-13</v>
      </c>
      <c r="R11" s="119" t="s">
        <v>1493</v>
      </c>
      <c r="S11" s="323">
        <f>F.aR</f>
        <v>5.7986893944210613E-7</v>
      </c>
      <c r="T11" s="323">
        <f>F.aC</f>
        <v>9.1876904296288269E-9</v>
      </c>
      <c r="U11" s="323">
        <f>F.aM</f>
        <v>6.4202732771363352E-11</v>
      </c>
      <c r="V11" s="323">
        <f>F.aA</f>
        <v>2.4583508984145541E-12</v>
      </c>
      <c r="W11" s="324">
        <f>F.aT</f>
        <v>1.405101052326916E-12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1.0775245866968544E-3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12295.514344161538</v>
      </c>
      <c r="D12" s="122">
        <f>C12/$C$51</f>
        <v>1.0517425408739973E-3</v>
      </c>
      <c r="E12" s="318">
        <f>FRgas.aC*E11</f>
        <v>6109.3545374603273</v>
      </c>
      <c r="F12" s="122">
        <f>E12/$E$51</f>
        <v>3.1696781793446559E-3</v>
      </c>
      <c r="G12" s="318">
        <f>FRgas.aM*G11</f>
        <v>459.99767022428489</v>
      </c>
      <c r="H12" s="122">
        <f>G12/$G$51</f>
        <v>8.7298020905493057E-4</v>
      </c>
      <c r="I12" s="318">
        <f>FRgas.aA*I11</f>
        <v>10.331966252523481</v>
      </c>
      <c r="J12" s="122">
        <f>I12/$I$51</f>
        <v>3.9585241734886179E-5</v>
      </c>
      <c r="K12" s="318">
        <f>FRgas.aT*K11</f>
        <v>15.830403043951028</v>
      </c>
      <c r="L12" s="123">
        <f>K12/$K$51</f>
        <v>5.3797624733956653E-3</v>
      </c>
      <c r="M12" s="320">
        <f>FRgas.aR*M11</f>
        <v>5.3558889855649851E-8</v>
      </c>
      <c r="N12" s="320">
        <f>FRgas.aC*N11</f>
        <v>8.4860986039661452E-10</v>
      </c>
      <c r="O12" s="320">
        <f>FRgas.aM*O11</f>
        <v>5.9300073844987906E-12</v>
      </c>
      <c r="P12" s="320">
        <f>FRgas.aA*P11</f>
        <v>2.4310508829467016E-13</v>
      </c>
      <c r="Q12" s="320">
        <f>FRgas.aT*Q11</f>
        <v>1.2416002387412569E-13</v>
      </c>
      <c r="R12" s="120" t="s">
        <v>1493</v>
      </c>
      <c r="S12" s="325">
        <f>S11*FRgas.aR</f>
        <v>5.6599435342103193E-7</v>
      </c>
      <c r="T12" s="325">
        <f>T11*FRgas.aC</f>
        <v>8.9678555798375453E-9</v>
      </c>
      <c r="U12" s="325">
        <f>U11*FRgas.aM</f>
        <v>6.2666547130033172E-11</v>
      </c>
      <c r="V12" s="325">
        <f>V11*FRgas.aA</f>
        <v>2.3707484175075213E-12</v>
      </c>
      <c r="W12" s="326">
        <f>W11*FRgas.aT</f>
        <v>1.3719355930330273E-12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1.8801757174310158E-3</v>
      </c>
      <c r="AE12" s="325">
        <f>k.aR.aC*M.aR*Molweight</f>
        <v>0.1186648056529664</v>
      </c>
      <c r="AF12" s="325">
        <f>kesc.aR*M.aR*Molweight</f>
        <v>4.6145786506848195E-6</v>
      </c>
      <c r="AG12" s="326">
        <f>KDEG.aR*M.aR*Molweight</f>
        <v>0.11394691110345707</v>
      </c>
      <c r="AH12" s="325">
        <f>SUM(AH13:AH15)</f>
        <v>4.1120794544056661E-3</v>
      </c>
      <c r="AI12" s="325">
        <f>SUM(AI13:AI15)</f>
        <v>1.3209600632193167E-4</v>
      </c>
      <c r="AJ12" s="325">
        <f>SUM(AJ18:AJ20)</f>
        <v>8.2564422749362432E-2</v>
      </c>
      <c r="AK12" s="325">
        <f>SUM(AK18:AK20)</f>
        <v>1.8264197744352422E-4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56181.082185501655</v>
      </c>
      <c r="BS12" s="425"/>
      <c r="BT12" s="425">
        <f>engine!F45</f>
        <v>9210831.7685784884</v>
      </c>
      <c r="BU12" s="425">
        <f>engine!G45</f>
        <v>460675.44405442232</v>
      </c>
      <c r="BV12" s="425">
        <f>engine!H45</f>
        <v>3323310.8863851656</v>
      </c>
      <c r="BW12" s="425">
        <f>engine!I45</f>
        <v>42017.389011381521</v>
      </c>
      <c r="BX12" s="425">
        <f>engine!J45</f>
        <v>2130527.2799875941</v>
      </c>
      <c r="BY12" s="425">
        <f>engine!K45</f>
        <v>36028859.335921392</v>
      </c>
      <c r="BZ12" s="425">
        <f>engine!L45</f>
        <v>789028.18547442928</v>
      </c>
      <c r="CA12" s="425">
        <f>engine!M45</f>
        <v>27915.070468963924</v>
      </c>
      <c r="CB12" s="425">
        <f>engine!N45</f>
        <v>8976.3391040563729</v>
      </c>
      <c r="CC12" s="425">
        <f>engine!O45</f>
        <v>53882.835101446595</v>
      </c>
      <c r="CD12" s="425">
        <f>engine!P45</f>
        <v>6543912.1885981001</v>
      </c>
      <c r="CE12" s="425">
        <f>engine!Q45</f>
        <v>19441.177190186601</v>
      </c>
      <c r="CF12" s="425">
        <f>engine!R45</f>
        <v>29842.930379002908</v>
      </c>
      <c r="CG12" s="425">
        <f>engine!S45</f>
        <v>514571.14752494998</v>
      </c>
      <c r="CH12" s="425">
        <f>engine!T45</f>
        <v>1207075.9291174996</v>
      </c>
      <c r="CI12" s="425">
        <f>engine!U45</f>
        <v>190568.51118525164</v>
      </c>
      <c r="CJ12" s="425">
        <f>engine!V45</f>
        <v>2101.8369945850482</v>
      </c>
      <c r="CK12" s="425">
        <f>engine!W45</f>
        <v>607700.43515700428</v>
      </c>
      <c r="CL12" s="611"/>
      <c r="CM12" s="425">
        <f>engine!Y45</f>
        <v>483.78272417587129</v>
      </c>
      <c r="CN12" s="425">
        <f>engine!Z45</f>
        <v>148515.72055523749</v>
      </c>
      <c r="CO12" s="425">
        <f>engine!AA45</f>
        <v>47.782298209085482</v>
      </c>
      <c r="CP12" s="425">
        <f>engine!AB45</f>
        <v>114882.32181431957</v>
      </c>
      <c r="CQ12" s="425"/>
      <c r="CR12" s="425">
        <f>engine!AD45</f>
        <v>366.30183183444655</v>
      </c>
      <c r="CS12" s="425">
        <f>engine!AE45</f>
        <v>11838.64569137967</v>
      </c>
      <c r="CT12" s="425">
        <f>engine!AF45</f>
        <v>72.308850831250027</v>
      </c>
      <c r="CU12" s="425">
        <f>engine!AG45</f>
        <v>1244.8484354457992</v>
      </c>
      <c r="CV12" s="425"/>
      <c r="CW12" s="425">
        <f>engine!AI45</f>
        <v>2.5435300658567139</v>
      </c>
      <c r="CX12" s="425">
        <f>engine!AJ45</f>
        <v>1258.6547248440218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301.40790347164273</v>
      </c>
      <c r="D13" s="122">
        <f>C13/$C$51</f>
        <v>2.5782045822857137E-5</v>
      </c>
      <c r="E13" s="318">
        <f>(1-FRgas.aC)*E11</f>
        <v>149.7625630907639</v>
      </c>
      <c r="F13" s="122">
        <f>E13/$E$51</f>
        <v>7.7700373321083307E-5</v>
      </c>
      <c r="G13" s="318">
        <f>(1-FRgas.aM)*G11</f>
        <v>11.276220701574603</v>
      </c>
      <c r="H13" s="122">
        <f>G13/$G$51</f>
        <v>2.1399929048793774E-5</v>
      </c>
      <c r="I13" s="318">
        <f>(1-FRgas.aA)*I11</f>
        <v>0.38178065191766503</v>
      </c>
      <c r="J13" s="122">
        <f>I13/$I$51</f>
        <v>1.4627302322219677E-6</v>
      </c>
      <c r="K13" s="318">
        <f>(1-FRgas.aT)*K11</f>
        <v>0.38268748943185354</v>
      </c>
      <c r="L13" s="123">
        <f>K13/$K$51</f>
        <v>1.3005150841501561E-4</v>
      </c>
      <c r="M13" s="320">
        <f>(1-FRgas.aR)*M11</f>
        <v>1.3129237420901803E-9</v>
      </c>
      <c r="N13" s="320">
        <f>(1-FRgas.aC)*N11</f>
        <v>2.0802522914298558E-11</v>
      </c>
      <c r="O13" s="320">
        <f>(1-FRgas.aM)*O11</f>
        <v>1.4536611021741067E-13</v>
      </c>
      <c r="P13" s="320">
        <f>(1-FRgas.aA)*P11</f>
        <v>8.9830741627685897E-15</v>
      </c>
      <c r="Q13" s="320">
        <f>(1-FRgas.aT)*Q11</f>
        <v>3.0014705053478701E-15</v>
      </c>
      <c r="R13" s="120" t="s">
        <v>1493</v>
      </c>
      <c r="S13" s="325">
        <f>S11*(1-FRgas.aR)</f>
        <v>1.387458602107422E-8</v>
      </c>
      <c r="T13" s="325">
        <f>T11*(1-FRgas.aC)</f>
        <v>2.1983484979128219E-10</v>
      </c>
      <c r="U13" s="325">
        <f>U11*(1-FRgas.aM)</f>
        <v>1.5361856413301775E-12</v>
      </c>
      <c r="V13" s="325">
        <f>V11*(1-FRgas.aA)</f>
        <v>8.7602480907032668E-14</v>
      </c>
      <c r="W13" s="326">
        <f>W11*(1-FRgas.aT)</f>
        <v>3.3165459293888744E-14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5.2458322012697125E-5</v>
      </c>
      <c r="AF13" s="330"/>
      <c r="AG13" s="326">
        <f>KDEG.w0R*M.w0R*Molweight</f>
        <v>1.9006573668418634E-3</v>
      </c>
      <c r="AH13" s="325">
        <f>k.aR.w0R*M.aR*Molweight</f>
        <v>2.9906008606658401E-4</v>
      </c>
      <c r="AI13" s="325">
        <f>k.w0R.aR*M.w0R*Molweight</f>
        <v>4.1434170667845444E-8</v>
      </c>
      <c r="AJ13" s="325"/>
      <c r="AK13" s="325"/>
      <c r="AL13" s="631">
        <f>SUM(AL18:AL20)*AREAFRAC.w0R/(AREAFRAC.w0R+AREAFRAC.w1R)</f>
        <v>1.654097036958644E-3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5.2458322012697125E-5</v>
      </c>
      <c r="AE14" s="325">
        <f>(WATERflow.w1R.w0R+WATERflow.w1R.w2R)*C.w1R*Molweight</f>
        <v>0.15002873489056331</v>
      </c>
      <c r="AF14" s="330"/>
      <c r="AG14" s="326">
        <f>KDEG.w1R*M.w1R*Molweight</f>
        <v>0.17911622243371397</v>
      </c>
      <c r="AH14" s="325">
        <f>k.aR.w1R*M.aR*Molweight</f>
        <v>3.2896609467324245E-3</v>
      </c>
      <c r="AI14" s="325">
        <f>k.w1R.aR*M.w1R*Molweight</f>
        <v>1.3015728591541474E-4</v>
      </c>
      <c r="AJ14" s="325"/>
      <c r="AK14" s="325"/>
      <c r="AL14" s="631">
        <f>SUM(AL18:AL20)*AREAFRAC.w1R/(AREAFRAC.w0R+AREAFRAC.w1R)</f>
        <v>1.8195067406545085E-2</v>
      </c>
      <c r="AM14" s="325">
        <f>k.w1R.sd1R*M.w1R*Molweight</f>
        <v>5.4632347394567425E-2</v>
      </c>
      <c r="AN14" s="326">
        <f>k.sd1R.w1R*M.sd1R*Molweight</f>
        <v>4.5272355491824026E-2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21882.614325296516</v>
      </c>
      <c r="D15" s="122">
        <f>C15/$C$51</f>
        <v>1.871810787840818E-3</v>
      </c>
      <c r="E15" s="318">
        <f>M.w0C*Molweight</f>
        <v>2012.6747539115199</v>
      </c>
      <c r="F15" s="122">
        <f>E15/$E$51</f>
        <v>1.0442234462698585E-3</v>
      </c>
      <c r="G15" s="318"/>
      <c r="H15" s="122"/>
      <c r="I15" s="318"/>
      <c r="J15" s="122"/>
      <c r="K15" s="318"/>
      <c r="L15" s="123"/>
      <c r="M15" s="320">
        <f>C.w0R*Molweight</f>
        <v>3.8294814411858982E-7</v>
      </c>
      <c r="N15" s="320">
        <f>C.w0C*Molweight</f>
        <v>2.3095434717732538E-9</v>
      </c>
      <c r="O15" s="320"/>
      <c r="P15" s="320"/>
      <c r="Q15" s="320"/>
      <c r="R15" s="120" t="s">
        <v>1489</v>
      </c>
      <c r="S15" s="325">
        <f>F.w0R</f>
        <v>1.9893930055292709E-10</v>
      </c>
      <c r="T15" s="325">
        <f>F.w0C</f>
        <v>1.1997942017153808E-12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0.15005309200563688</v>
      </c>
      <c r="AE15" s="325">
        <f>k.w2R.w2C*M.w2R*Molweight</f>
        <v>0.14149589381757813</v>
      </c>
      <c r="AF15" s="330"/>
      <c r="AG15" s="326">
        <f>KDEG.w2R*M.w2R*Molweight</f>
        <v>8.9676864382884601E-3</v>
      </c>
      <c r="AH15" s="325">
        <f>k.aR.w2R*M.aR*Molweight</f>
        <v>5.2335842160665771E-4</v>
      </c>
      <c r="AI15" s="325">
        <f>k.w2R.aR*M.w2R*Molweight</f>
        <v>1.8972862358490931E-6</v>
      </c>
      <c r="AJ15" s="325"/>
      <c r="AK15" s="325"/>
      <c r="AL15" s="631"/>
      <c r="AM15" s="325">
        <f>k.w2R.sd2R*M.w2R*Molweight</f>
        <v>5.1121964094429182E-4</v>
      </c>
      <c r="AN15" s="326">
        <f>k.sd2R.w2R*M.sd2R*Molweight</f>
        <v>4.0024675580317297E-4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21875.721050224587</v>
      </c>
      <c r="D16" s="122">
        <f>C16/$C$51</f>
        <v>1.8712211459245742E-3</v>
      </c>
      <c r="E16" s="318">
        <f>FRw.w0C*E15</f>
        <v>2012.0407382266117</v>
      </c>
      <c r="F16" s="122">
        <f>E16/$E$51</f>
        <v>1.0438945038800374E-3</v>
      </c>
      <c r="G16" s="318"/>
      <c r="H16" s="122"/>
      <c r="I16" s="318"/>
      <c r="J16" s="122"/>
      <c r="K16" s="318"/>
      <c r="L16" s="123"/>
      <c r="M16" s="320">
        <f>M15*FRw.w0R</f>
        <v>3.8282751105087441E-7</v>
      </c>
      <c r="N16" s="320">
        <f>N15*FRw.w0C</f>
        <v>2.3088159390294582E-9</v>
      </c>
      <c r="O16" s="320"/>
      <c r="P16" s="320"/>
      <c r="Q16" s="320"/>
      <c r="R16" s="120" t="s">
        <v>1489</v>
      </c>
      <c r="S16" s="325">
        <f>S15*FRw.w0R</f>
        <v>1.9887663238627469E-10</v>
      </c>
      <c r="T16" s="325">
        <f>T15*FRw.w0C</f>
        <v>1.199416252749175E-12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2.1574916675702513E-3</v>
      </c>
      <c r="AG16" s="326">
        <f>KDEG.sd1R*M.sd1R*Molweight</f>
        <v>7.2025002351731367E-3</v>
      </c>
      <c r="AH16" s="325"/>
      <c r="AI16" s="325"/>
      <c r="AJ16" s="325"/>
      <c r="AK16" s="325"/>
      <c r="AL16" s="631"/>
      <c r="AM16" s="325">
        <f>k.w1R.sd1R*M.w1R*Molweight</f>
        <v>5.4632347394567425E-2</v>
      </c>
      <c r="AN16" s="326">
        <f>k.sd1R.w1R*M.sd1R*Molweight</f>
        <v>4.5272355491824026E-2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6.8932750719268823</v>
      </c>
      <c r="D17" s="122">
        <f>C17/$C$51</f>
        <v>5.8964191624357443E-7</v>
      </c>
      <c r="E17" s="318">
        <f>(1-FRw.w0C)*E15</f>
        <v>0.63401568490819971</v>
      </c>
      <c r="F17" s="122">
        <f>E17/$E$51</f>
        <v>3.2894238982096849E-7</v>
      </c>
      <c r="G17" s="318"/>
      <c r="H17" s="122"/>
      <c r="I17" s="318"/>
      <c r="J17" s="122"/>
      <c r="K17" s="318"/>
      <c r="L17" s="123"/>
      <c r="M17" s="320">
        <f>M16*Kp.susp1R</f>
        <v>3.9125096287372595E-5</v>
      </c>
      <c r="N17" s="320">
        <f>N16*Kp.susp1C</f>
        <v>2.3596174077558319E-7</v>
      </c>
      <c r="O17" s="320"/>
      <c r="P17" s="320"/>
      <c r="Q17" s="320"/>
      <c r="R17" s="120" t="s">
        <v>1494</v>
      </c>
      <c r="S17" s="325">
        <f>S15*(1-FRw.w0R)</f>
        <v>6.266816665240843E-14</v>
      </c>
      <c r="T17" s="325">
        <f>T15*(1-FRw.w0C)</f>
        <v>3.7794896620584573E-16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1.9910007010865552E-5</v>
      </c>
      <c r="AG17" s="326">
        <f>KDEG.sd2R*M.sd2R*Molweight</f>
        <v>9.1062878130253344E-5</v>
      </c>
      <c r="AH17" s="325"/>
      <c r="AI17" s="325"/>
      <c r="AJ17" s="325"/>
      <c r="AK17" s="325"/>
      <c r="AL17" s="631"/>
      <c r="AM17" s="325">
        <f>k.w2R.sd2R*M.w2R*Molweight</f>
        <v>5.1121964094429182E-4</v>
      </c>
      <c r="AN17" s="326">
        <f>k.sd2R.w2R*M.sd2R*Molweight</f>
        <v>4.0024675580317297E-4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1.466481728124543E-5</v>
      </c>
      <c r="AG18" s="326">
        <f>KDEG.s1R*M.s1R*Molweight</f>
        <v>2.0758990539557987E-2</v>
      </c>
      <c r="AH18" s="325"/>
      <c r="AI18" s="325"/>
      <c r="AJ18" s="325">
        <f>k.aR.s1R*M.aR*Molweight</f>
        <v>2.2981849631265837E-2</v>
      </c>
      <c r="AK18" s="325">
        <f>k.s1R.aR*M.s1R*Molweight</f>
        <v>2.0192860465750056E-5</v>
      </c>
      <c r="AL18" s="631">
        <f>(k.s1R.w1R+k.s1R.w0R)*M.s1R*Molweight</f>
        <v>2.1880014139608601E-3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2065252.6991506687</v>
      </c>
      <c r="D19" s="122">
        <f>C19/$C$51</f>
        <v>0.17665906936077241</v>
      </c>
      <c r="E19" s="318">
        <f>M.w1C*Molweight</f>
        <v>12081.609286446355</v>
      </c>
      <c r="F19" s="122">
        <f>E19/$E$51</f>
        <v>6.2682257334726581E-3</v>
      </c>
      <c r="G19" s="318"/>
      <c r="H19" s="122"/>
      <c r="I19" s="318"/>
      <c r="J19" s="122"/>
      <c r="K19" s="318"/>
      <c r="L19" s="123"/>
      <c r="M19" s="320">
        <f>C.w1R*Molweight</f>
        <v>1.0952166098049236E-4</v>
      </c>
      <c r="N19" s="320">
        <f>C.w1C*Molweight</f>
        <v>4.2011035769462311E-8</v>
      </c>
      <c r="O19" s="320"/>
      <c r="P19" s="320"/>
      <c r="Q19" s="320"/>
      <c r="R19" s="120" t="s">
        <v>1489</v>
      </c>
      <c r="S19" s="325">
        <f>F.w1R</f>
        <v>5.6895856437697455E-8</v>
      </c>
      <c r="T19" s="325">
        <f>F.w1C</f>
        <v>2.1824485115908208E-11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1.1293710859764946E-4</v>
      </c>
      <c r="AG19" s="326">
        <f>KDEG.s2R*M.s2R*Molweight</f>
        <v>0.35105053905238548</v>
      </c>
      <c r="AH19" s="325"/>
      <c r="AI19" s="325"/>
      <c r="AJ19" s="325">
        <f>k.aR.s2R*M.aR*Molweight</f>
        <v>5.1070776958368515E-2</v>
      </c>
      <c r="AK19" s="325">
        <f>k.s2R.aR*M.s2R*Molweight</f>
        <v>1.5499008020730047E-4</v>
      </c>
      <c r="AL19" s="631">
        <f>(k.s2R.w1R+k.s2R.w0R)*M.s2R*Molweight</f>
        <v>1.6850230554823941E-2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2061548.0653625419</v>
      </c>
      <c r="D20" s="122">
        <f>C20/$C$51</f>
        <v>0.17634217973385069</v>
      </c>
      <c r="E20" s="318">
        <f>FRw.w1C*E19</f>
        <v>12059.937392253494</v>
      </c>
      <c r="F20" s="122">
        <f>E20/$E$51</f>
        <v>6.2569818402418795E-3</v>
      </c>
      <c r="G20" s="318"/>
      <c r="H20" s="122"/>
      <c r="I20" s="318"/>
      <c r="J20" s="122"/>
      <c r="K20" s="318"/>
      <c r="L20" s="123"/>
      <c r="M20" s="320">
        <f>M19*FRw.w1R</f>
        <v>1.0932520190022244E-4</v>
      </c>
      <c r="N20" s="320">
        <f>N19*FRw.w1C</f>
        <v>4.1935676709212807E-8</v>
      </c>
      <c r="O20" s="320"/>
      <c r="P20" s="320"/>
      <c r="Q20" s="320"/>
      <c r="R20" s="120" t="s">
        <v>1489</v>
      </c>
      <c r="S20" s="325">
        <f>S19*FRw.w1R</f>
        <v>5.6793797105079133E-8</v>
      </c>
      <c r="T20" s="325">
        <f>T19*FRw.w1C</f>
        <v>2.1785336528908608E-11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5.4351997537786184E-6</v>
      </c>
      <c r="AG20" s="326">
        <f>KDEG.s3R*M.s3R*Molweight</f>
        <v>7.6879694484849109E-3</v>
      </c>
      <c r="AH20" s="325"/>
      <c r="AI20" s="325"/>
      <c r="AJ20" s="325">
        <f>k.aR.s3R*M.aR*Molweight</f>
        <v>8.511796159728087E-3</v>
      </c>
      <c r="AK20" s="325">
        <f>k.s3R.aR*M.s3R*Molweight</f>
        <v>7.4590367704736916E-6</v>
      </c>
      <c r="AL20" s="631">
        <f>(k.s3R.w1R+k.s3R.w0R)*M.s3R*Molweight</f>
        <v>8.1093247471892671E-4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2.0192860465750056E-5</v>
      </c>
      <c r="BE20" s="2"/>
      <c r="BF20" s="296">
        <f>IF(output!AK20&lt;0,"",output!AK20)</f>
        <v>7.4590367704736916E-6</v>
      </c>
      <c r="BG20" s="75"/>
      <c r="BH20" s="296">
        <f>IF(output!AK19&lt;0,"",output!AK19)</f>
        <v>1.5499008020730047E-4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3704.6337881267109</v>
      </c>
      <c r="D21" s="122">
        <f>C21/$C$51</f>
        <v>3.168896269217234E-4</v>
      </c>
      <c r="E21" s="318">
        <f>(1-FRw.w1C)*E19</f>
        <v>21.671894192861352</v>
      </c>
      <c r="F21" s="122">
        <f>E21/$E$51</f>
        <v>1.1243893230778943E-5</v>
      </c>
      <c r="G21" s="318"/>
      <c r="H21" s="122"/>
      <c r="I21" s="318"/>
      <c r="J21" s="122"/>
      <c r="K21" s="318"/>
      <c r="L21" s="123"/>
      <c r="M21" s="320">
        <f>M20*Kp.susp1R</f>
        <v>1.1173071233154478E-2</v>
      </c>
      <c r="N21" s="320">
        <f>N20*Kp.susp1C</f>
        <v>4.2858398149605289E-6</v>
      </c>
      <c r="O21" s="320"/>
      <c r="P21" s="320"/>
      <c r="Q21" s="320"/>
      <c r="R21" s="120" t="s">
        <v>1494</v>
      </c>
      <c r="S21" s="325">
        <f>S19*(1-FRw.w1R)</f>
        <v>1.0205933261831969E-10</v>
      </c>
      <c r="T21" s="325">
        <f>T19*(1-FRw.w1C)</f>
        <v>3.914858699960163E-14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1.8972862358490931E-6</v>
      </c>
      <c r="AV21" s="75"/>
      <c r="AW21" s="75"/>
      <c r="AX21" s="288">
        <f>IF(output!AI14&lt;0,"",output!AI14)</f>
        <v>1.3015728591541474E-4</v>
      </c>
      <c r="AY21" s="75"/>
      <c r="AZ21" s="75"/>
      <c r="BA21" s="296">
        <f>IF(output!AI13&lt;0,"",output!AI13)</f>
        <v>4.1434170667845444E-8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0.11872524239398546</v>
      </c>
      <c r="AE22" s="325">
        <f>(k.aC.aM+k.aC.aR)*M.aC*Molweight</f>
        <v>1.0528936340071231E-2</v>
      </c>
      <c r="AF22" s="325">
        <f>kesc.aC*M.aC*Molweight</f>
        <v>2.2928765913250087E-6</v>
      </c>
      <c r="AG22" s="326">
        <f>KDEG.aC*M.aC*Molweight</f>
        <v>5.6617564657639043E-2</v>
      </c>
      <c r="AH22" s="325">
        <f>SUM(AH23:AH25)</f>
        <v>3.1649227526498964E-2</v>
      </c>
      <c r="AI22" s="325">
        <f>SUM(AI23:AI25)</f>
        <v>2.1127747247724709E-6</v>
      </c>
      <c r="AJ22" s="325">
        <f>SUM(AJ28:AJ30)</f>
        <v>1.9941199607226776E-2</v>
      </c>
      <c r="AK22" s="325">
        <f>SUM(AK28:AK30)</f>
        <v>1.1865839317048895E-5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2.2981849631265837E-2</v>
      </c>
      <c r="BE22" s="2"/>
      <c r="BF22" s="296">
        <f>IF(output!AJ20&lt;0,"",output!AJ20)</f>
        <v>8.511796159728087E-3</v>
      </c>
      <c r="BG22" s="75"/>
      <c r="BH22" s="296">
        <f>IF(output!AJ19&lt;0,"",output!AJ19)</f>
        <v>5.1070776958368515E-2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745152.76694528188</v>
      </c>
      <c r="D23" s="122">
        <f>C23/$C$51</f>
        <v>6.3739412806139373E-2</v>
      </c>
      <c r="E23" s="318">
        <f>M.sd1C*Molweight</f>
        <v>4359.1007495836402</v>
      </c>
      <c r="F23" s="122">
        <f>E23/$E$51</f>
        <v>2.2616049605240188E-3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3.0396864622693944E-3</v>
      </c>
      <c r="N23" s="320">
        <f>C.sd1C*(Molweight*1000)/(FRACw.sdC*1000+FRACs.sdC*RHOsolid)</f>
        <v>1.1659828343645688E-6</v>
      </c>
      <c r="O23" s="320"/>
      <c r="P23" s="320"/>
      <c r="Q23" s="320"/>
      <c r="R23" s="120" t="s">
        <v>1495</v>
      </c>
      <c r="S23" s="325">
        <f>F.sd1R</f>
        <v>7.7730715393961292E-8</v>
      </c>
      <c r="T23" s="325">
        <f>F.sd1C</f>
        <v>2.9816456722503979E-11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4.8249052319796717E-6</v>
      </c>
      <c r="AF23" s="330"/>
      <c r="AG23" s="326">
        <f>KDEG.w0C*M.w0C*Molweight</f>
        <v>1.7481481148513221E-4</v>
      </c>
      <c r="AH23" s="325">
        <f>k.aC.w0C*M.aC*Molweight</f>
        <v>7.2239766199834384E-5</v>
      </c>
      <c r="AI23" s="325">
        <f>k.w0C.aC*M.w0C*Molweight</f>
        <v>3.8109481807221739E-9</v>
      </c>
      <c r="AJ23" s="325"/>
      <c r="AK23" s="325"/>
      <c r="AL23" s="631">
        <f>SUM(AL28:AL30)*AREAFRAC.w0C/(AREAFRAC.w1C+AREAFRAC.w0C)</f>
        <v>1.0740376146545825E-4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5.2335842160665771E-4</v>
      </c>
      <c r="AV23" s="75"/>
      <c r="AW23" s="75"/>
      <c r="AX23" s="288">
        <f>IF(output!AH14&lt;0,"",output!AH14)</f>
        <v>3.2896609467324245E-3</v>
      </c>
      <c r="AY23" s="291">
        <f>output!AL14</f>
        <v>1.8195067406545085E-2</v>
      </c>
      <c r="AZ23" s="87"/>
      <c r="BA23" s="296">
        <f>IF(output!AH13&lt;0,"",output!AH13)</f>
        <v>2.9906008606658401E-4</v>
      </c>
      <c r="BB23" s="291">
        <f>output!AL13</f>
        <v>1.654097036958644E-3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596122.21355622553</v>
      </c>
      <c r="D24" s="122">
        <f>C24/$C$51</f>
        <v>5.0991530244911501E-2</v>
      </c>
      <c r="E24" s="318">
        <f>E23*FRACw.sdC</f>
        <v>3487.2805996669122</v>
      </c>
      <c r="F24" s="122">
        <f>E24/$E$51</f>
        <v>1.8092839684192149E-3</v>
      </c>
      <c r="G24" s="318"/>
      <c r="H24" s="122"/>
      <c r="I24" s="318"/>
      <c r="J24" s="122"/>
      <c r="K24" s="318"/>
      <c r="L24" s="123"/>
      <c r="M24" s="320">
        <f>M25/Kp.sd1R</f>
        <v>1.4962771618475863E-4</v>
      </c>
      <c r="N24" s="320">
        <f>N25/Kp.sd1C</f>
        <v>5.7395179003544296E-8</v>
      </c>
      <c r="O24" s="320"/>
      <c r="P24" s="320"/>
      <c r="Q24" s="320"/>
      <c r="R24" s="120" t="s">
        <v>1489</v>
      </c>
      <c r="S24" s="325">
        <f>S23*FRACw.sdR</f>
        <v>6.2184572315169042E-8</v>
      </c>
      <c r="T24" s="325">
        <f>T23*FRACw.sdC</f>
        <v>2.3853165378003185E-11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4.8249052319796717E-6</v>
      </c>
      <c r="AE24" s="325">
        <f>(k.w1C.w0C+k.w1C.w1R+k.w1C.w2C)*M.w1C*Molweight</f>
        <v>8.7765945418352535E-4</v>
      </c>
      <c r="AF24" s="330"/>
      <c r="AG24" s="326">
        <f>KDEG.w1C*M.w1C*Molweight</f>
        <v>1.0478195802374672E-3</v>
      </c>
      <c r="AH24" s="325">
        <f>k.aC.w1C*M.aC*Molweight</f>
        <v>7.9463742819817793E-4</v>
      </c>
      <c r="AI24" s="325">
        <f>k.w1C.aC*M.w1C*Molweight</f>
        <v>7.6141262270763268E-7</v>
      </c>
      <c r="AJ24" s="518"/>
      <c r="AK24" s="518"/>
      <c r="AL24" s="631">
        <f>SUM(AL28:AL30)*AREAFRAC.w1C/(AREAFRAC.w1C+AREAFRAC.w0C)</f>
        <v>1.1814413761200404E-3</v>
      </c>
      <c r="AM24" s="325">
        <f>k.w1C.sd1C*M.w1C*Molweight</f>
        <v>3.1959608424383717E-4</v>
      </c>
      <c r="AN24" s="326">
        <f>k.sd1C.w1C*M.sd1C*Molweight</f>
        <v>2.649328217373385E-4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5.2458322012697125E-5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149030.55338905635</v>
      </c>
      <c r="D25" s="122">
        <f>C25/$C$51</f>
        <v>1.2747882561227872E-2</v>
      </c>
      <c r="E25" s="318">
        <f>E23*FRACs.sdC</f>
        <v>871.82014991672781</v>
      </c>
      <c r="F25" s="122">
        <f>E25/$E$51</f>
        <v>4.5232099210480362E-4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7.6637804560048131E-3</v>
      </c>
      <c r="N25" s="320">
        <f>C.sd1C*FRACs.sdC/(FRACw.sdC/(Kp.sd1C*RHOsolid/1000)+FRACs.sdC)*(Molweight*1000)/(FRACs.sdC*RHOsolid)</f>
        <v>2.9397230829422095E-6</v>
      </c>
      <c r="O25" s="320"/>
      <c r="P25" s="320"/>
      <c r="Q25" s="320"/>
      <c r="R25" s="120" t="s">
        <v>1494</v>
      </c>
      <c r="S25" s="325">
        <f>S23*(1-FRACw.sdR)</f>
        <v>1.5546143078792254E-8</v>
      </c>
      <c r="T25" s="325">
        <f>T23*(1-FRACw.sdC)</f>
        <v>5.9632913445007947E-12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0.1432004230029795</v>
      </c>
      <c r="AE25" s="325">
        <f>(k.w2C.w2M+k.w2C.w2R)*M.w2C*Molweight</f>
        <v>4.6524310108962713E-2</v>
      </c>
      <c r="AF25" s="330"/>
      <c r="AG25" s="326">
        <f>KDEG.w2C*M.w2C*Molweight</f>
        <v>0.12738632663066166</v>
      </c>
      <c r="AH25" s="325">
        <f>k.aC.w2C*M.aC*Molweight</f>
        <v>3.0782350332100951E-2</v>
      </c>
      <c r="AI25" s="325">
        <f>k.w2C.aC*M.w2C*Molweight</f>
        <v>1.3475511538841162E-6</v>
      </c>
      <c r="AJ25" s="325"/>
      <c r="AK25" s="325"/>
      <c r="AL25" s="631"/>
      <c r="AM25" s="325">
        <f>k.w2C.sd2C*M.w2C*Molweight</f>
        <v>3.6309472130566684E-4</v>
      </c>
      <c r="AN25" s="326">
        <f>k.sd2C.w2C*M.sd2C*Molweight</f>
        <v>2.9230567700353735E-4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0.15002873489056331</v>
      </c>
      <c r="AT25" s="75"/>
      <c r="AU25" s="75"/>
      <c r="AV25" s="87"/>
      <c r="AW25" s="75"/>
      <c r="AX25" s="289">
        <f>output!AD14</f>
        <v>5.2458322012697125E-5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1.2529051151788461E-5</v>
      </c>
      <c r="AG26" s="326">
        <f>KDEG.sd1C*M.sd1C*Molweight</f>
        <v>4.2134211354710128E-5</v>
      </c>
      <c r="AH26" s="325"/>
      <c r="AI26" s="325"/>
      <c r="AJ26" s="325"/>
      <c r="AK26" s="325"/>
      <c r="AL26" s="631"/>
      <c r="AM26" s="325">
        <f>k.w1C.sd1C*M.w1C*Molweight</f>
        <v>3.1959608424383717E-4</v>
      </c>
      <c r="AN26" s="326">
        <f>k.sd1C.w1C*M.sd1C*Molweight</f>
        <v>2.649328217373385E-4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0.14149589381757813</v>
      </c>
      <c r="AT26" s="75"/>
      <c r="AU26" s="285">
        <f>output!AD15</f>
        <v>0.15005309200563688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103292.64806588257</v>
      </c>
      <c r="D27" s="122">
        <f>C27/$C$51</f>
        <v>8.8355207508664137E-3</v>
      </c>
      <c r="E27" s="318">
        <f>M.w2C*Molweight</f>
        <v>1467275.990927466</v>
      </c>
      <c r="F27" s="122">
        <f>E27/$E$51</f>
        <v>0.76125761944279657</v>
      </c>
      <c r="G27" s="318">
        <f>M.w2M*Molweight</f>
        <v>136258.59157090349</v>
      </c>
      <c r="H27" s="122">
        <f>G27/$G$51</f>
        <v>0.25859055698499467</v>
      </c>
      <c r="I27" s="318">
        <f>M.w2A*Molweight</f>
        <v>25758.914197206734</v>
      </c>
      <c r="J27" s="122">
        <f>I27/$I$51</f>
        <v>9.8691073935280704E-2</v>
      </c>
      <c r="K27" s="318">
        <f>M.w2T*Molweight</f>
        <v>279.11991619565708</v>
      </c>
      <c r="L27" s="123">
        <f>K27/$K$51</f>
        <v>9.4855377121968884E-2</v>
      </c>
      <c r="M27" s="320">
        <f>C.w2R*Molweight</f>
        <v>1.0329264806588245E-5</v>
      </c>
      <c r="N27" s="320">
        <f>C.w2C*Molweight</f>
        <v>1.9756450148616314E-9</v>
      </c>
      <c r="O27" s="320">
        <f>C.w2M*Molweight</f>
        <v>3.5131241157064652E-11</v>
      </c>
      <c r="P27" s="320">
        <f>C.w2A*Molweight</f>
        <v>1.0101534979296758E-11</v>
      </c>
      <c r="Q27" s="320">
        <f>C.w2T*Molweight</f>
        <v>3.1273940189989594E-14</v>
      </c>
      <c r="R27" s="120" t="s">
        <v>1489</v>
      </c>
      <c r="S27" s="325">
        <f>F.w2R</f>
        <v>5.3659920994741256E-9</v>
      </c>
      <c r="T27" s="325">
        <f>F.w2C</f>
        <v>1.0263359241551444E-12</v>
      </c>
      <c r="U27" s="325">
        <f>F.w2M</f>
        <v>1.8250472422131204E-14</v>
      </c>
      <c r="V27" s="325">
        <f>F.w2A</f>
        <v>1.5338690594169408E-16</v>
      </c>
      <c r="W27" s="326">
        <f>F.w2T</f>
        <v>1.0252946663645116E-16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6.1114620892830969E-6</v>
      </c>
      <c r="AG27" s="326">
        <f>KDEG.sd2C*M.sd2C*Molweight</f>
        <v>6.4677582212846406E-5</v>
      </c>
      <c r="AH27" s="325"/>
      <c r="AI27" s="325"/>
      <c r="AJ27" s="325"/>
      <c r="AK27" s="325"/>
      <c r="AL27" s="631"/>
      <c r="AM27" s="325">
        <f>k.w2C.sd2C*M.w2C*Molweight</f>
        <v>3.6309472130566684E-4</v>
      </c>
      <c r="AN27" s="326">
        <f>k.sd2C.w2C*M.sd2C*Molweight</f>
        <v>2.9230567700353735E-4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1.9006573668418634E-3</v>
      </c>
      <c r="BB27" s="264">
        <f>IF(ISERROR(output!D15),0,output!D15)</f>
        <v>1.871810787840818E-3</v>
      </c>
      <c r="BC27" s="86"/>
      <c r="BD27" s="295">
        <f>output!AG18</f>
        <v>2.0758990539557987E-2</v>
      </c>
      <c r="BE27" s="75"/>
      <c r="BF27" s="295">
        <f>output!AG19</f>
        <v>0.35105053905238548</v>
      </c>
      <c r="BG27" s="75"/>
      <c r="BH27" s="256">
        <f>output!AG20</f>
        <v>7.6879694484849109E-3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103214.08288114794</v>
      </c>
      <c r="D28" s="122">
        <f>C28/$C$51</f>
        <v>8.8288003856418166E-3</v>
      </c>
      <c r="E28" s="318">
        <f>FRw.w2C*E27</f>
        <v>1466159.9694928098</v>
      </c>
      <c r="F28" s="122">
        <f>E28/$E$51</f>
        <v>0.76067860102646134</v>
      </c>
      <c r="G28" s="318">
        <f>FRw.w2M*G27</f>
        <v>136154.95223529829</v>
      </c>
      <c r="H28" s="122">
        <f>G28/$G$51</f>
        <v>0.25839387101304434</v>
      </c>
      <c r="I28" s="318">
        <f>FRw.w2A*I27</f>
        <v>25739.3217684099</v>
      </c>
      <c r="J28" s="122">
        <f>I28/$I$51</f>
        <v>9.8616008743318162E-2</v>
      </c>
      <c r="K28" s="318">
        <f>FRw.w2T*K27</f>
        <v>278.90761543476418</v>
      </c>
      <c r="L28" s="123">
        <f>K28/$K$51</f>
        <v>9.4783229390584284E-2</v>
      </c>
      <c r="M28" s="320">
        <f>M27*FRw.w2R</f>
        <v>1.0321408288114782E-5</v>
      </c>
      <c r="N28" s="320">
        <f>N27*FRw.w2C</f>
        <v>1.9741423240267168E-9</v>
      </c>
      <c r="O28" s="320">
        <f>O27*FRw.w2M</f>
        <v>3.5104520064100693E-11</v>
      </c>
      <c r="P28" s="320">
        <f>P27*FRw.w2A</f>
        <v>1.0093851673886236E-11</v>
      </c>
      <c r="Q28" s="320">
        <f>Q27*FRw.w2T</f>
        <v>3.1250152989889552E-14</v>
      </c>
      <c r="R28" s="120" t="s">
        <v>1489</v>
      </c>
      <c r="S28" s="325">
        <f>S27*FRw.w2R</f>
        <v>5.3619106844995485E-9</v>
      </c>
      <c r="T28" s="325">
        <f>T27*FRw.w2C</f>
        <v>1.0255552851359025E-12</v>
      </c>
      <c r="U28" s="325">
        <f>U27*FRw.w2M</f>
        <v>1.8236590972055254E-14</v>
      </c>
      <c r="V28" s="325">
        <f>V27*FRw.w2A</f>
        <v>1.5327023867808111E-16</v>
      </c>
      <c r="W28" s="326">
        <f>W27*FRw.w2T</f>
        <v>1.0245148193339757E-16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3.5418893376939615E-6</v>
      </c>
      <c r="AG28" s="326">
        <f>KDEG.s1C*M.s1C*Molweight</f>
        <v>5.0137717943053673E-3</v>
      </c>
      <c r="AH28" s="325"/>
      <c r="AI28" s="325"/>
      <c r="AJ28" s="325">
        <f>k.aC.s1C*M.aC*Molweight</f>
        <v>5.5506431896404423E-3</v>
      </c>
      <c r="AK28" s="325">
        <f>k.s1C.aC*M.s1C*Molweight</f>
        <v>4.8770384116990535E-6</v>
      </c>
      <c r="AL28" s="631">
        <f>(k.s1C.w1C+k.s1C.w0C)*M.s1C*Molweight</f>
        <v>5.284524675856809E-4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78.565184734637072</v>
      </c>
      <c r="D29" s="122">
        <f>C29/$C$51</f>
        <v>6.7203652245974379E-6</v>
      </c>
      <c r="E29" s="318">
        <f>(1-FRw.w2C)*E27</f>
        <v>1116.0214346561013</v>
      </c>
      <c r="F29" s="122">
        <f>E29/$E$51</f>
        <v>5.7901841633516973E-4</v>
      </c>
      <c r="G29" s="318">
        <f>(1-FRw.w2M)*G27</f>
        <v>103.63933560519688</v>
      </c>
      <c r="H29" s="122">
        <f>G29/$G$51</f>
        <v>1.9668597195030398E-4</v>
      </c>
      <c r="I29" s="318">
        <f>(1-FRw.w2A)*I27</f>
        <v>19.592428796833758</v>
      </c>
      <c r="J29" s="122">
        <f>I29/$I$51</f>
        <v>7.5065191962544778E-5</v>
      </c>
      <c r="K29" s="318">
        <f>(1-FRw.w2T)*K27</f>
        <v>0.21230076089288849</v>
      </c>
      <c r="L29" s="123">
        <f>K29/$K$51</f>
        <v>7.2147731384598391E-5</v>
      </c>
      <c r="M29" s="320">
        <f>M28*Kp.susp2R</f>
        <v>1.0263114627983524E-3</v>
      </c>
      <c r="N29" s="320">
        <f>N28*Kp.susp2C</f>
        <v>1.9629926845128859E-7</v>
      </c>
      <c r="O29" s="320">
        <f>O28*Kp.susp2M</f>
        <v>3.4906255359850592E-9</v>
      </c>
      <c r="P29" s="320">
        <f>P28*Kp.susp2A</f>
        <v>1.0036843217048964E-9</v>
      </c>
      <c r="Q29" s="320">
        <f>Q28*Kp.susp2T</f>
        <v>3.1073657133259199E-12</v>
      </c>
      <c r="R29" s="120" t="s">
        <v>1494</v>
      </c>
      <c r="S29" s="325">
        <f>S27*(1-FRw.w2R)</f>
        <v>4.0814149745768314E-12</v>
      </c>
      <c r="T29" s="325">
        <f>T27*(1-FRw.w2C)</f>
        <v>7.8063901924184253E-16</v>
      </c>
      <c r="U29" s="325">
        <f>U27*(1-FRw.w2M)</f>
        <v>1.3881450075949178E-17</v>
      </c>
      <c r="V29" s="325">
        <f>V27*(1-FRw.w2A)</f>
        <v>1.1666726361296553E-19</v>
      </c>
      <c r="W29" s="326">
        <f>W27*(1-FRw.w2T)</f>
        <v>7.7984703053587704E-20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3.7837352557102642E-6</v>
      </c>
      <c r="AG29" s="326">
        <f>KDEG.s2C*M.s2C*Molweight</f>
        <v>1.1761256487278703E-2</v>
      </c>
      <c r="AH29" s="325"/>
      <c r="AI29" s="325"/>
      <c r="AJ29" s="325">
        <f>k.aC.s2C*M.aC*Molweight</f>
        <v>1.2334762643645428E-2</v>
      </c>
      <c r="AK29" s="325">
        <f>k.s2C.aC*M.s2C*Molweight</f>
        <v>5.1886535229501632E-6</v>
      </c>
      <c r="AL29" s="631">
        <f>(k.s2C.w1C+k.s2C.w0C)*M.s2C*Molweight</f>
        <v>5.6453376758806655E-4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1.3127261410176894E-6</v>
      </c>
      <c r="AG30" s="326">
        <f>KDEG.s3C*M.s3C*Molweight</f>
        <v>1.8568219980057352E-3</v>
      </c>
      <c r="AH30" s="325"/>
      <c r="AI30" s="325"/>
      <c r="AJ30" s="325">
        <f>k.aC.s3C*M.aC*Molweight</f>
        <v>2.0557937739409038E-3</v>
      </c>
      <c r="AK30" s="325">
        <f>k.s3C.aC*M.s3C*Molweight</f>
        <v>1.8001473823996785E-6</v>
      </c>
      <c r="AL30" s="631">
        <f>(k.s3C.w1C+k.s3C.w0C)*M.s3C*Molweight</f>
        <v>1.9585890241175142E-4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0.17665906936077241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356789.41393847321</v>
      </c>
      <c r="H31" s="122">
        <f>G31/$G$51</f>
        <v>0.67711233627928691</v>
      </c>
      <c r="I31" s="318">
        <f>M.w3A*Molweight</f>
        <v>232499.28985993625</v>
      </c>
      <c r="J31" s="122">
        <f>I31/$I$51</f>
        <v>0.89078306755474279</v>
      </c>
      <c r="K31" s="318">
        <f>M.w3T*Molweight</f>
        <v>2364.4651328114664</v>
      </c>
      <c r="L31" s="123">
        <f>K31/$K$51</f>
        <v>0.80353360276649288</v>
      </c>
      <c r="M31" s="320"/>
      <c r="N31" s="320"/>
      <c r="O31" s="320">
        <f>C.w3M*Molweight</f>
        <v>3.0663399640474142E-12</v>
      </c>
      <c r="P31" s="320">
        <f>C.w3A*Molweight</f>
        <v>3.0392064033978595E-12</v>
      </c>
      <c r="Q31" s="320">
        <f>C.w3T*Molweight</f>
        <v>8.8308688433668221E-15</v>
      </c>
      <c r="R31" s="120" t="s">
        <v>1489</v>
      </c>
      <c r="S31" s="325"/>
      <c r="T31" s="325"/>
      <c r="U31" s="325">
        <f>F.w3M</f>
        <v>1.5929455125291669E-15</v>
      </c>
      <c r="V31" s="325">
        <f>F.w3A</f>
        <v>4.6148874175143977E-17</v>
      </c>
      <c r="W31" s="326">
        <f>F.w3T</f>
        <v>2.8951397455721615E-17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0.17911622243371397</v>
      </c>
      <c r="AY31" s="75"/>
      <c r="AZ31" s="75"/>
      <c r="BA31" s="87"/>
      <c r="BB31" s="2"/>
      <c r="BC31" s="86"/>
      <c r="BD31" s="277">
        <f>IF(ISERROR(output!D39),0,output!D39)</f>
        <v>4.0862429798610093E-2</v>
      </c>
      <c r="BE31" s="75"/>
      <c r="BF31" s="277">
        <f>IF(ISERROR(output!D43),0,output!D43)</f>
        <v>0.69101520039990216</v>
      </c>
      <c r="BG31" s="75"/>
      <c r="BH31" s="273">
        <f>IF(ISERROR(output!D47),0,output!D47)</f>
        <v>1.5133159354928004E-2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356518.03715859278</v>
      </c>
      <c r="H32" s="122">
        <f>G32/$G$51</f>
        <v>0.67659731941427281</v>
      </c>
      <c r="I32" s="318">
        <f>FRw.w3A*I31</f>
        <v>232322.44910698288</v>
      </c>
      <c r="J32" s="122">
        <f>I32/$I$51</f>
        <v>0.89010553108364476</v>
      </c>
      <c r="K32" s="318">
        <f>FRw.w3T*K31</f>
        <v>2362.6667023961722</v>
      </c>
      <c r="L32" s="123">
        <f>K32/$K$51</f>
        <v>0.80292242891119991</v>
      </c>
      <c r="M32" s="320"/>
      <c r="N32" s="320"/>
      <c r="O32" s="320">
        <f>O31*FRw.w3M</f>
        <v>3.0640076822224684E-12</v>
      </c>
      <c r="P32" s="320">
        <f>P31*FRw.w3A</f>
        <v>3.0368947595684036E-12</v>
      </c>
      <c r="Q32" s="320">
        <f>Q31*FRw.w3T</f>
        <v>8.8241520164189447E-15</v>
      </c>
      <c r="R32" s="120" t="s">
        <v>1489</v>
      </c>
      <c r="S32" s="325"/>
      <c r="T32" s="325"/>
      <c r="U32" s="325">
        <f>U31*FRw.w3M</f>
        <v>1.5917339058871895E-15</v>
      </c>
      <c r="V32" s="325">
        <f>V31*FRw.w3A</f>
        <v>4.6113772985536045E-17</v>
      </c>
      <c r="W32" s="326">
        <f>W31*FRw.w3T</f>
        <v>2.8929376799537218E-17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8.6626589554408794E-3</v>
      </c>
      <c r="AE32" s="325">
        <f>(k.aM.aA+k.aM.aC+k.aM.aT)*M.aM*Molweight</f>
        <v>5.4883180877766371E-4</v>
      </c>
      <c r="AF32" s="325">
        <f>kesc.aM*M.aM*Molweight</f>
        <v>1.7263982367599713E-7</v>
      </c>
      <c r="AG32" s="326">
        <f>KDEG.aM*M.aM*Molweight</f>
        <v>4.2629622616587089E-3</v>
      </c>
      <c r="AH32" s="325">
        <f>AH33</f>
        <v>2.2503213873884382E-3</v>
      </c>
      <c r="AI32" s="325">
        <f>AI33</f>
        <v>2.5028068806868727E-7</v>
      </c>
      <c r="AJ32" s="325">
        <f>AJ36</f>
        <v>1.6020287511640974E-3</v>
      </c>
      <c r="AK32" s="325">
        <f>AK36</f>
        <v>1.4076126836356212E-6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4.5272355491824026E-2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271.37677988040389</v>
      </c>
      <c r="H33" s="122">
        <f>G33/$G$51</f>
        <v>5.1501686501398663E-4</v>
      </c>
      <c r="I33" s="318">
        <f>(1-FRw.w3A)*I31</f>
        <v>176.840752953367</v>
      </c>
      <c r="J33" s="122">
        <f>I33/$I$51</f>
        <v>6.7753647109799347E-4</v>
      </c>
      <c r="K33" s="318">
        <f>(1-FRw.w3T)*K31</f>
        <v>1.7984304152939889</v>
      </c>
      <c r="L33" s="123">
        <f>K33/$K$51</f>
        <v>6.1117385529289837E-4</v>
      </c>
      <c r="M33" s="320"/>
      <c r="N33" s="320"/>
      <c r="O33" s="320">
        <f>O32*Kp.susp3M</f>
        <v>3.0467026578032025E-10</v>
      </c>
      <c r="P33" s="320">
        <f>P32*Kp.susp3A</f>
        <v>3.0197428645917721E-10</v>
      </c>
      <c r="Q33" s="320">
        <f>Q32*Kp.susp3T</f>
        <v>8.774314619793136E-13</v>
      </c>
      <c r="R33" s="120" t="s">
        <v>1494</v>
      </c>
      <c r="S33" s="325"/>
      <c r="T33" s="325"/>
      <c r="U33" s="325">
        <f>U31*(1-FRw.w3M)</f>
        <v>1.2116066419774752E-18</v>
      </c>
      <c r="V33" s="325">
        <f>V31*(1-FRw.w3A)</f>
        <v>3.5101189607929808E-20</v>
      </c>
      <c r="W33" s="326">
        <f>W31*(1-FRw.w3T)</f>
        <v>2.2020656184396521E-20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4.9467326658778892E-2</v>
      </c>
      <c r="AE33" s="325">
        <f>(k.w2M.w2C+k.w2M.w2A+k.w2M.w2T+k.w2M.w3M)*M.w2M*Molweight</f>
        <v>4.0040188115985267E-2</v>
      </c>
      <c r="AF33" s="330"/>
      <c r="AG33" s="326">
        <f>KDEG.w2M*M.w2M*Molweight</f>
        <v>1.1829731801931387E-2</v>
      </c>
      <c r="AH33" s="325">
        <f>k.aM.w2M*M.aM*Molweight</f>
        <v>2.2503213873884382E-3</v>
      </c>
      <c r="AI33" s="325">
        <f>k.w2M.aM*M.w2M*Molweight</f>
        <v>2.5028068806868727E-7</v>
      </c>
      <c r="AJ33" s="325"/>
      <c r="AK33" s="325"/>
      <c r="AL33" s="325">
        <f>AL36</f>
        <v>1.5252215243738529E-4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8.9676864382884601E-3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3.4399513171717418E-2</v>
      </c>
      <c r="AE34" s="325">
        <f>(k.w3M.w2M+k.w3M.w3A+k.w3M.w3T)*M.w3M*Molweight</f>
        <v>3.4226335684683857E-3</v>
      </c>
      <c r="AF34" s="330"/>
      <c r="AG34" s="326">
        <f>KDEG.w3M*M.w3M*Molweight</f>
        <v>3.0975830793496233E-2</v>
      </c>
      <c r="AH34" s="325"/>
      <c r="AI34" s="325"/>
      <c r="AJ34" s="325"/>
      <c r="AK34" s="325"/>
      <c r="AL34" s="325"/>
      <c r="AM34" s="325">
        <f>k.w3M.sdM*M.w3M*Molweight</f>
        <v>5.886116114479347E-6</v>
      </c>
      <c r="AN34" s="326">
        <f>k.sdM.w3M*M.sdM*Molweight</f>
        <v>4.8373063616862118E-6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5.4632347394567425E-2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9421.1389641319656</v>
      </c>
      <c r="D35" s="122">
        <f>C35/$C$51</f>
        <v>8.0587215424365107E-4</v>
      </c>
      <c r="E35" s="318">
        <f>M.sd2C*Molweight</f>
        <v>6691.3818495800324</v>
      </c>
      <c r="F35" s="122">
        <f>E35/$E$51</f>
        <v>3.4716477670804096E-3</v>
      </c>
      <c r="G35" s="318">
        <f>M.sdM*Molweight</f>
        <v>108.47376241471386</v>
      </c>
      <c r="H35" s="122">
        <f>G35/$G$51</f>
        <v>2.0586071173708408E-4</v>
      </c>
      <c r="I35" s="318">
        <f>M.sdA*Molweight</f>
        <v>82.132196733919599</v>
      </c>
      <c r="J35" s="122">
        <f>I35/$I$51</f>
        <v>3.1467610157314996E-4</v>
      </c>
      <c r="K35" s="318">
        <f>M.sdT*Molweight</f>
        <v>0.57031031136639243</v>
      </c>
      <c r="L35" s="123">
        <f>K35/$K$51</f>
        <v>1.9381275402535522E-4</v>
      </c>
      <c r="M35" s="320">
        <f>C.sd2R*(Molweight*1000)/(FRACw.sdR*1000+FRACs.sdR*RHOsolid)</f>
        <v>2.4156766574697324E-4</v>
      </c>
      <c r="N35" s="320">
        <f>C.sd2C*(Molweight*1000)/(FRACw.sdC*1000+FRACs.sdC*RHOsolid)</f>
        <v>4.6203864797847581E-8</v>
      </c>
      <c r="O35" s="320">
        <f>C.sdM*(Molweight*1000)/(FRACw.sdM*1000+FRACs.sdM*RHOsolid)</f>
        <v>7.1711646605200579E-11</v>
      </c>
      <c r="P35" s="320">
        <f>C.sdA*(Molweight*1000)/(FRACw.sdA*1000+FRACs.sdA*RHOsolid)</f>
        <v>8.2586422055223326E-11</v>
      </c>
      <c r="Q35" s="320">
        <f>C.sdT*(Molweight*1000)/(FRACw.sdT*1000+FRACs.sdT*RHOsolid)</f>
        <v>1.6384696153598862E-13</v>
      </c>
      <c r="R35" s="120" t="s">
        <v>1495</v>
      </c>
      <c r="S35" s="325">
        <f>F.sd2R</f>
        <v>6.2193838770325454E-9</v>
      </c>
      <c r="T35" s="325">
        <f>F.sd2C</f>
        <v>1.1895614046348229E-12</v>
      </c>
      <c r="U35" s="325">
        <f>F.sdM</f>
        <v>1.8462829340703203E-15</v>
      </c>
      <c r="V35" s="325">
        <f>F.sdA</f>
        <v>6.2149481468014004E-17</v>
      </c>
      <c r="W35" s="326">
        <f>F.sdT</f>
        <v>2.6621494466138916E-17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3.2367858190912411E-10</v>
      </c>
      <c r="AG35" s="326">
        <f>KDEG.sdM*M.sdM*Molweight</f>
        <v>1.0484860742112266E-6</v>
      </c>
      <c r="AH35" s="325"/>
      <c r="AI35" s="325"/>
      <c r="AJ35" s="325"/>
      <c r="AK35" s="325"/>
      <c r="AL35" s="325"/>
      <c r="AM35" s="325">
        <f>k.w3M.sdM*M.w3M*Molweight</f>
        <v>5.886116114479347E-6</v>
      </c>
      <c r="AN35" s="326">
        <f>k.sdM.w3M*M.sdM*Molweight</f>
        <v>4.8373063616862118E-6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7.2025002351731367E-3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7536.9111713055727</v>
      </c>
      <c r="D36" s="122">
        <f>C36/$C$51</f>
        <v>6.4469772339492085E-4</v>
      </c>
      <c r="E36" s="318">
        <f>E35*FRACw.sdC</f>
        <v>5353.1054796640265</v>
      </c>
      <c r="F36" s="122">
        <f>E36/$E$51</f>
        <v>2.777318213664328E-3</v>
      </c>
      <c r="G36" s="318">
        <f>G35*FRACw.sdM</f>
        <v>86.7790099317711</v>
      </c>
      <c r="H36" s="122">
        <f>G36/$G$51</f>
        <v>1.6468856938966727E-4</v>
      </c>
      <c r="I36" s="318">
        <f>I35*FRACw.sdA</f>
        <v>65.705757387135677</v>
      </c>
      <c r="J36" s="122">
        <f>I36/$I$51</f>
        <v>2.5174088125851996E-4</v>
      </c>
      <c r="K36" s="318">
        <f>K35*FRACw.sdT</f>
        <v>0.45624824909311396</v>
      </c>
      <c r="L36" s="123">
        <f>K36/$K$51</f>
        <v>1.5505020322028419E-4</v>
      </c>
      <c r="M36" s="320">
        <f>M37/Kp.sd2R</f>
        <v>1.1972001040774993E-5</v>
      </c>
      <c r="N36" s="320">
        <f>N37/Kp.sd2C</f>
        <v>2.2898458522468432E-9</v>
      </c>
      <c r="O36" s="320">
        <f>O37/Kp.sdM</f>
        <v>3.5540017540774998E-12</v>
      </c>
      <c r="P36" s="320">
        <f>P37/Kp.sdA</f>
        <v>4.0929514624471431E-12</v>
      </c>
      <c r="Q36" s="320">
        <f>Q37/Kp.sdT</f>
        <v>8.1201926920604599E-15</v>
      </c>
      <c r="R36" s="120" t="s">
        <v>1489</v>
      </c>
      <c r="S36" s="325">
        <f>S35*FRACw.sdR</f>
        <v>4.9755071016260363E-9</v>
      </c>
      <c r="T36" s="325">
        <f>T35*FRACw.sdC</f>
        <v>9.5164912370785825E-13</v>
      </c>
      <c r="U36" s="325">
        <f>U35*FRACw.sdM</f>
        <v>1.4770263472562563E-15</v>
      </c>
      <c r="V36" s="325">
        <f>V35*FRACw.sdA</f>
        <v>4.9719585174411203E-17</v>
      </c>
      <c r="W36" s="326">
        <f>W35*FRACw.sdT</f>
        <v>2.1297195572911134E-17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1.0222614494510234E-6</v>
      </c>
      <c r="AG36" s="326">
        <f>KDEG.sM*M.sM*Molweight</f>
        <v>1.4470767245936249E-3</v>
      </c>
      <c r="AH36" s="325"/>
      <c r="AI36" s="325"/>
      <c r="AJ36" s="325">
        <f>k.aM.sM*M.aM*Molweight</f>
        <v>1.6020287511640974E-3</v>
      </c>
      <c r="AK36" s="325">
        <f>k.sM.aM*M.sM*Molweight</f>
        <v>1.4076126836356212E-6</v>
      </c>
      <c r="AL36" s="325">
        <f>k.sM.w2M*M.sM*Molweight</f>
        <v>1.5252215243738529E-4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1884.2277928263927</v>
      </c>
      <c r="D37" s="122">
        <f>C37/$C$51</f>
        <v>1.6117443084873019E-4</v>
      </c>
      <c r="E37" s="318">
        <f>E35*FRACs.sdC</f>
        <v>1338.2763699160062</v>
      </c>
      <c r="F37" s="122">
        <f>E37/$E$51</f>
        <v>6.9432955341608177E-4</v>
      </c>
      <c r="G37" s="318">
        <f>G35*FRACs.sdM</f>
        <v>21.694752482942768</v>
      </c>
      <c r="H37" s="122">
        <f>G37/$G$51</f>
        <v>4.1172142347416804E-5</v>
      </c>
      <c r="I37" s="318">
        <f>I35*FRACs.sdA</f>
        <v>16.426439346783916</v>
      </c>
      <c r="J37" s="122">
        <f>I37/$I$51</f>
        <v>6.2935220314629976E-5</v>
      </c>
      <c r="K37" s="318">
        <f>K35*FRACs.sdT</f>
        <v>0.11406206227327846</v>
      </c>
      <c r="L37" s="123">
        <f>K37/$K$51</f>
        <v>3.8762550805071034E-5</v>
      </c>
      <c r="M37" s="320">
        <f>C.sd2R*FRACs.sdR/(FRACw.sdR/(Kp.sd2R*RHOsolid/1000)+FRACs.sdR)*(Molweight*1000)/(FRACs.sdR*RHOsolid)</f>
        <v>6.0892072927689049E-4</v>
      </c>
      <c r="N37" s="320">
        <f>C.sd2C*FRACs.sdC/(FRACw.sdC/(Kp.sd2C*RHOsolid/1000)+FRACs.sdC)*(Molweight*1000)/(FRACs.sdC*RHOsolid)</f>
        <v>1.164662951108088E-7</v>
      </c>
      <c r="O37" s="320">
        <f>C.sdM*FRACs.sdM/(FRACw.sdM/(Kp.sdM*RHOsolid/1000)+FRACs.sdM)*(Molweight*1000)/(FRACs.sdM*RHOsolid)</f>
        <v>1.8076387836699756E-10</v>
      </c>
      <c r="P37" s="320">
        <f>C.sdA*FRACs.sdA/(FRACw.sdA/(Kp.sdA*RHOsolid/1000)+FRACs.sdA)*(Molweight*1000)/(FRACs.sdA*RHOsolid)</f>
        <v>2.0817597500366527E-10</v>
      </c>
      <c r="Q37" s="320">
        <f>C.sdT*FRACs.sdT/(FRACw.sdT/(Kp.sdT*RHOsolid/1000)+FRACs.sdT)*(Molweight*1000)/(FRACs.sdT*RHOsolid)</f>
        <v>4.1300979168627369E-13</v>
      </c>
      <c r="R37" s="120" t="s">
        <v>1494</v>
      </c>
      <c r="S37" s="325">
        <f>S35*(1-FRACw.sdR)</f>
        <v>1.2438767754065089E-9</v>
      </c>
      <c r="T37" s="325">
        <f>T35*(1-FRACw.sdC)</f>
        <v>2.3791228092696451E-13</v>
      </c>
      <c r="U37" s="325">
        <f>U35*(1-FRACw.sdM)</f>
        <v>3.6925658681406398E-16</v>
      </c>
      <c r="V37" s="325">
        <f>V35*(1-FRACw.sdA)</f>
        <v>1.2429896293602798E-17</v>
      </c>
      <c r="W37" s="326">
        <f>W35*(1-FRACw.sdT)</f>
        <v>5.324298893227782E-18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8.8355207508664137E-3</v>
      </c>
      <c r="AW37" s="75"/>
      <c r="AX37" s="75"/>
      <c r="AY37" s="300">
        <f>IF(ISERROR(output!D23),0,output!D23)</f>
        <v>6.3739412806139373E-2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1.7876500188266771E-4</v>
      </c>
      <c r="AE38" s="325">
        <f>k.aA.aM*M.aA*Molweight</f>
        <v>7.4175753763114739E-6</v>
      </c>
      <c r="AF38" s="325">
        <f>kesc.aA*M.aA*Molweight</f>
        <v>3.924722782452976E-9</v>
      </c>
      <c r="AG38" s="326">
        <f>KDEG.aA*M.aA*Molweight</f>
        <v>8.0074353614170802E-5</v>
      </c>
      <c r="AH38" s="325">
        <f>AH39</f>
        <v>6.1753433346054478E-5</v>
      </c>
      <c r="AI38" s="325">
        <f>AI39</f>
        <v>1.4987077578344342E-9</v>
      </c>
      <c r="AJ38" s="325">
        <f>AJ42</f>
        <v>2.9520768732686626E-5</v>
      </c>
      <c r="AK38" s="325">
        <f>AK42</f>
        <v>3.5552015802575579E-9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477706.82671881834</v>
      </c>
      <c r="D39" s="122">
        <f>C39/$C$51</f>
        <v>4.0862429798610093E-2</v>
      </c>
      <c r="E39" s="318">
        <f>M.s1C*Molweight</f>
        <v>115377.14269804429</v>
      </c>
      <c r="F39" s="122">
        <f>E39/$E$51</f>
        <v>5.9860400859491028E-2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9.1066685371351318E-5</v>
      </c>
      <c r="N39" s="320">
        <f>C.s1C*(Molweight*1000)/(FRACw.s1C*1000+(1-FRACa.s1C-FRACw.s1C)*RHOsolid)</f>
        <v>1.4422137789507303E-6</v>
      </c>
      <c r="O39" s="320"/>
      <c r="P39" s="320"/>
      <c r="Q39" s="320"/>
      <c r="R39" s="120" t="s">
        <v>1495</v>
      </c>
      <c r="S39" s="325">
        <f>F.s1R</f>
        <v>2.5981016686965054E-9</v>
      </c>
      <c r="T39" s="325">
        <f>F.s1C</f>
        <v>4.1145870308438385E-11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7.3564544086199956E-3</v>
      </c>
      <c r="AE39" s="325">
        <f>(k.w2A.w2M+k.w2A.w3A)*M.w2A*Molweight</f>
        <v>6.9358771739161324E-3</v>
      </c>
      <c r="AF39" s="330"/>
      <c r="AG39" s="326">
        <f>KDEG.w2A*M.w2A*Molweight</f>
        <v>4.8671257273998948E-4</v>
      </c>
      <c r="AH39" s="325">
        <f>k.aA.w2A*M.aA*Molweight</f>
        <v>6.1753433346054478E-5</v>
      </c>
      <c r="AI39" s="325">
        <f>k.w2A.aA*M.w2A*Molweight</f>
        <v>1.4987077578344342E-9</v>
      </c>
      <c r="AJ39" s="325"/>
      <c r="AK39" s="325"/>
      <c r="AL39" s="325">
        <f>AL42</f>
        <v>4.3834033978301598E-6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3086.4448184374141</v>
      </c>
      <c r="D40" s="122">
        <f>C40/$C$51</f>
        <v>2.6401053463470311E-4</v>
      </c>
      <c r="E40" s="318">
        <f>E39*FRw.s1C</f>
        <v>745.44713269525664</v>
      </c>
      <c r="F40" s="122">
        <f>E40/$E$51</f>
        <v>3.8675567048387867E-4</v>
      </c>
      <c r="G40" s="318"/>
      <c r="H40" s="122"/>
      <c r="I40" s="318"/>
      <c r="J40" s="122"/>
      <c r="K40" s="318"/>
      <c r="L40" s="123"/>
      <c r="M40" s="320">
        <f>M41/Kp.s1R</f>
        <v>5.0012149911728366E-6</v>
      </c>
      <c r="N40" s="320">
        <f>N41/Kp.s1C</f>
        <v>7.9203730127565437E-8</v>
      </c>
      <c r="O40" s="320"/>
      <c r="P40" s="320"/>
      <c r="Q40" s="320"/>
      <c r="R40" s="120" t="s">
        <v>1489</v>
      </c>
      <c r="S40" s="325">
        <f>S39*FRACw.s1R</f>
        <v>5.1962033373930112E-10</v>
      </c>
      <c r="T40" s="325">
        <f>T39*FRACw.s1C</f>
        <v>8.2291740616876776E-12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6.9358771739161324E-3</v>
      </c>
      <c r="AE40" s="325">
        <f>(k.w3A.w2A+k.w3A.w3M)*M.w3A*Molweight</f>
        <v>2.542649195569977E-3</v>
      </c>
      <c r="AF40" s="330"/>
      <c r="AG40" s="326">
        <f>KDEG.w3A*M.w3A*Molweight</f>
        <v>4.3930550279258698E-3</v>
      </c>
      <c r="AH40" s="325"/>
      <c r="AI40" s="325"/>
      <c r="AJ40" s="325"/>
      <c r="AK40" s="325"/>
      <c r="AL40" s="325"/>
      <c r="AM40" s="325">
        <f>k.w3A.sdA*M.w3A*Molweight</f>
        <v>3.835645798856494E-6</v>
      </c>
      <c r="AN40" s="326">
        <f>k.sdA.w3A*M.sdA*Molweight</f>
        <v>3.6626953785702883E-6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4.0024675580317297E-4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474620.38174866053</v>
      </c>
      <c r="D41" s="122">
        <f>C41/$C$51</f>
        <v>4.0598419250997428E-2</v>
      </c>
      <c r="E41" s="318">
        <f>E39*FRs.s1C</f>
        <v>114631.69552870508</v>
      </c>
      <c r="F41" s="122">
        <f>E41/$E$51</f>
        <v>5.9473645169995398E-2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1.0254208138926247E-4</v>
      </c>
      <c r="N41" s="320">
        <f>C.s1C*FRs.s1C*(Molweight*1000)/(FRACs.s1C*RHOsolid)</f>
        <v>1.6239484516080298E-6</v>
      </c>
      <c r="O41" s="320"/>
      <c r="P41" s="320"/>
      <c r="Q41" s="320"/>
      <c r="R41" s="120" t="s">
        <v>1494</v>
      </c>
      <c r="S41" s="325">
        <f>S39*(1-FRACw.s1R)</f>
        <v>2.0784813349572045E-9</v>
      </c>
      <c r="T41" s="325">
        <f>T39*(1-FRACw.s1C)</f>
        <v>3.291669624675071E-11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1.736263249068128E-10</v>
      </c>
      <c r="AG41" s="326">
        <f>KDEG.sdA*M.sdA*Molweight</f>
        <v>1.7277679396129894E-7</v>
      </c>
      <c r="AH41" s="325"/>
      <c r="AI41" s="325"/>
      <c r="AJ41" s="325"/>
      <c r="AK41" s="325"/>
      <c r="AL41" s="325"/>
      <c r="AM41" s="325">
        <f>k.w3A.sdA*M.w3A*Molweight</f>
        <v>3.835645798856494E-6</v>
      </c>
      <c r="AN41" s="326">
        <f>k.sdA.w3A*M.sdA*Molweight</f>
        <v>3.6626953785702883E-6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2.9102717838517227E-8</v>
      </c>
      <c r="AG42" s="326">
        <f>KDEG.sA*M.sA*Molweight</f>
        <v>2.5104707415437683E-5</v>
      </c>
      <c r="AH42" s="325"/>
      <c r="AI42" s="325"/>
      <c r="AJ42" s="325">
        <f>k.aA.sA*M.aA*Molweight</f>
        <v>2.9520768732686626E-5</v>
      </c>
      <c r="AK42" s="325">
        <f>k.sA.aA*M.sA*Molweight</f>
        <v>3.5552015802575579E-9</v>
      </c>
      <c r="AL42" s="325">
        <f>k.sA.w2A*M.sA*Molweight</f>
        <v>4.3834033978301598E-6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5.1121964094429182E-4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8078390.8403002946</v>
      </c>
      <c r="D43" s="122">
        <f>C43/$C$51</f>
        <v>0.69101520039990216</v>
      </c>
      <c r="E43" s="318">
        <f>M.s2C*Molweight</f>
        <v>270650.56482672575</v>
      </c>
      <c r="F43" s="122">
        <f>E43/$E$51</f>
        <v>0.14041993868556849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1.7325088637840157E-4</v>
      </c>
      <c r="N43" s="320">
        <f>C.s2C*(Molweight*1000)/(FRACw.s2C*1000+(1-FRACa.s2C-FRACw.s2C)*RHOsolid)</f>
        <v>3.8060222357680474E-7</v>
      </c>
      <c r="O43" s="320"/>
      <c r="P43" s="320"/>
      <c r="Q43" s="320"/>
      <c r="R43" s="120" t="s">
        <v>1495</v>
      </c>
      <c r="S43" s="325">
        <f>F.s2R</f>
        <v>4.9465854236399407E-9</v>
      </c>
      <c r="T43" s="325">
        <f>F.s2C</f>
        <v>1.0866792376680604E-11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8.0587215424365107E-4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52234.250307366681</v>
      </c>
      <c r="D44" s="122">
        <f>C44/$C$51</f>
        <v>4.4680508355475794E-3</v>
      </c>
      <c r="E44" s="318">
        <f>E43*FRw.s2C</f>
        <v>1750.0056172652137</v>
      </c>
      <c r="F44" s="122">
        <f>E44/$E$51</f>
        <v>9.0794446201545947E-4</v>
      </c>
      <c r="G44" s="318"/>
      <c r="H44" s="122"/>
      <c r="I44" s="318"/>
      <c r="J44" s="122"/>
      <c r="K44" s="318"/>
      <c r="L44" s="123"/>
      <c r="M44" s="320">
        <f>M45/Kp.s2R</f>
        <v>9.5219280576640779E-6</v>
      </c>
      <c r="N44" s="320">
        <f>N45/Kp.s2C</f>
        <v>2.0918028572563254E-8</v>
      </c>
      <c r="O44" s="320"/>
      <c r="P44" s="320"/>
      <c r="Q44" s="320"/>
      <c r="R44" s="120" t="s">
        <v>1489</v>
      </c>
      <c r="S44" s="325">
        <f>S43*FRACw.s2R</f>
        <v>9.8931708472798827E-10</v>
      </c>
      <c r="T44" s="325">
        <f>T43*FRACw.s2C</f>
        <v>2.1733584753361208E-12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3.0963006587592649E-4</v>
      </c>
      <c r="AE44" s="325">
        <f>k.aT.aM*M.aT*Molweight</f>
        <v>6.4807574243527049E-6</v>
      </c>
      <c r="AF44" s="325">
        <f>kesc.aT*M.aT*Molweight</f>
        <v>5.9392746868010547E-9</v>
      </c>
      <c r="AG44" s="326">
        <f>KDEG.aT*M.aT*Molweight</f>
        <v>1.6305315135269562E-4</v>
      </c>
      <c r="AH44" s="325">
        <f>AH45</f>
        <v>1.0748544612499744E-4</v>
      </c>
      <c r="AI44" s="325">
        <f>AI45</f>
        <v>3.093729203866987E-9</v>
      </c>
      <c r="AJ44" s="325">
        <f>AJ48</f>
        <v>3.2679825283447352E-5</v>
      </c>
      <c r="AK44" s="325">
        <f>AK48</f>
        <v>7.1959855049533435E-8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9.1062878130253344E-5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8026156.5874338327</v>
      </c>
      <c r="D45" s="122">
        <f>C45/$C$51</f>
        <v>0.68654714934545291</v>
      </c>
      <c r="E45" s="318">
        <f>E43*FRs.s2C</f>
        <v>268900.55912372307</v>
      </c>
      <c r="F45" s="122">
        <f>E45/$E$51</f>
        <v>0.1395119941790704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1.9508141409229927E-4</v>
      </c>
      <c r="N45" s="320">
        <f>C.s2C*FRs.s2C*(Molweight*1000)/(FRACs.s2C*RHOsolid)</f>
        <v>4.2856011610739294E-7</v>
      </c>
      <c r="O45" s="320"/>
      <c r="P45" s="320"/>
      <c r="Q45" s="320"/>
      <c r="R45" s="120" t="s">
        <v>1494</v>
      </c>
      <c r="S45" s="325">
        <f>S43*(1-FRACw.s2R)</f>
        <v>3.9572683389119531E-9</v>
      </c>
      <c r="T45" s="325">
        <f>T43*(1-FRACw.s2C)</f>
        <v>8.693433901344483E-12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1.7910384625126422E-5</v>
      </c>
      <c r="AE45" s="325">
        <f>(k.w2T.w2M+k.w2T.w3T)*M.w2T*Molweight</f>
        <v>6.8119538158776564E-5</v>
      </c>
      <c r="AF45" s="330"/>
      <c r="AG45" s="326">
        <f>KDEG.w2T*M.w2T*Molweight</f>
        <v>5.9667909652871694E-5</v>
      </c>
      <c r="AH45" s="325">
        <f>k.aT.w2T*M.aT*Molweight</f>
        <v>1.0748544612499744E-4</v>
      </c>
      <c r="AI45" s="325">
        <f>k.w2T.aT*M.w2T*Molweight</f>
        <v>3.093729203866987E-9</v>
      </c>
      <c r="AJ45" s="325"/>
      <c r="AK45" s="325"/>
      <c r="AL45" s="325">
        <f>AL48</f>
        <v>2.3947107907282841E-6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5.2337944173739019E-4</v>
      </c>
      <c r="AE46" s="325">
        <f>(k.w3T.w2T+k.w3T.w3M)*M.w3T*Molweight</f>
        <v>1.7910384625126422E-5</v>
      </c>
      <c r="AF46" s="330"/>
      <c r="AG46" s="326">
        <f>KDEG.w3T*M.w3T*Molweight</f>
        <v>5.0545548252122537E-4</v>
      </c>
      <c r="AH46" s="325"/>
      <c r="AI46" s="325"/>
      <c r="AJ46" s="325"/>
      <c r="AK46" s="325"/>
      <c r="AL46" s="325"/>
      <c r="AM46" s="325">
        <f>k.w3T.sdT*M.w3T*Molweight</f>
        <v>3.9007649264969884E-8</v>
      </c>
      <c r="AN46" s="326">
        <f>k.sdT.w3T*M.sdT*Molweight</f>
        <v>2.5433058226360435E-8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176915.89974707653</v>
      </c>
      <c r="D47" s="122">
        <f>C47/$C$51</f>
        <v>1.5133159354928004E-2</v>
      </c>
      <c r="E47" s="318">
        <f>M.s3C*Molweight</f>
        <v>42729.271577957123</v>
      </c>
      <c r="F47" s="122">
        <f>E47/$E$51</f>
        <v>2.2168960552131321E-2</v>
      </c>
      <c r="G47" s="318">
        <f>M.sM*Molweight</f>
        <v>33300.194862895354</v>
      </c>
      <c r="H47" s="122">
        <f>G47/$G$51</f>
        <v>6.3196865885877654E-2</v>
      </c>
      <c r="I47" s="318">
        <f>M.sA*Molweight</f>
        <v>2654.4611369211498</v>
      </c>
      <c r="J47" s="122">
        <f>I47/$I$51</f>
        <v>1.0170134436436083E-2</v>
      </c>
      <c r="K47" s="318">
        <f>M.sT*Molweight</f>
        <v>282.21556240452657</v>
      </c>
      <c r="L47" s="123">
        <f>K47/$K$51</f>
        <v>9.5907393375702185E-2</v>
      </c>
      <c r="M47" s="320">
        <f>C.s3R*(Molweight*1000)/(FRACw.s3R*1000+(1-FRACa.s3R-FRACw.s3R)*RHOsolid)</f>
        <v>9.1060223407979791E-5</v>
      </c>
      <c r="N47" s="320">
        <f>C.s3C*(Molweight*1000)/(FRACw.s3C*1000+(1-FRACa.s3C-FRACw.s3C)*RHOsolid)</f>
        <v>1.4421124110167087E-6</v>
      </c>
      <c r="O47" s="320">
        <f>C.sM*(Molweight*1000)/(FRACw.sM*1000+(1-FRACa.sM-FRACw.sM)*RHOsolid)</f>
        <v>1.0100838955576133E-8</v>
      </c>
      <c r="P47" s="320">
        <f>C.sA*(Molweight*1000)/(FRACw.sA*1000+(1-FRACa.sA-FRACw.sA)*RHOsolid)</f>
        <v>1.8369973265890306E-9</v>
      </c>
      <c r="Q47" s="320">
        <f>C.sT*(Molweight*1000)/(FRACw.sT*1000+(1-FRACa.sT-FRACw.sT)*RHOsolid)</f>
        <v>8.6802172212080411E-11</v>
      </c>
      <c r="R47" s="120" t="s">
        <v>1495</v>
      </c>
      <c r="S47" s="325">
        <f>F.s3R</f>
        <v>2.5999126653787988E-9</v>
      </c>
      <c r="T47" s="325">
        <f>F.s3C</f>
        <v>4.1174578558893936E-11</v>
      </c>
      <c r="U47" s="325">
        <f>F.sM</f>
        <v>2.8817351195668757E-13</v>
      </c>
      <c r="V47" s="325">
        <f>F.sA</f>
        <v>1.5318824274260407E-15</v>
      </c>
      <c r="W47" s="326">
        <f>F.sT</f>
        <v>1.5628334012178812E-14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1.2056280893082934E-12</v>
      </c>
      <c r="AG47" s="326">
        <f>KDEG.sdT*M.sdT*Molweight</f>
        <v>1.357338541052014E-8</v>
      </c>
      <c r="AH47" s="325"/>
      <c r="AI47" s="325"/>
      <c r="AJ47" s="325"/>
      <c r="AK47" s="325"/>
      <c r="AL47" s="325"/>
      <c r="AM47" s="325">
        <f>k.w3T.sdT*M.w3T*Molweight</f>
        <v>3.9007649264969884E-8</v>
      </c>
      <c r="AN47" s="326">
        <f>k.sdT.w3T*M.sdT*Molweight</f>
        <v>2.5433058226360435E-8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1.9910007010865552E-5</v>
      </c>
      <c r="AW47" s="75"/>
      <c r="AX47" s="290">
        <f>output!AF16</f>
        <v>2.1574916675702513E-3</v>
      </c>
      <c r="AY47" s="75"/>
      <c r="AZ47" s="75"/>
      <c r="BA47" s="75"/>
      <c r="BB47" s="75"/>
      <c r="BC47" s="2"/>
      <c r="BD47" s="295">
        <f>output!AF18</f>
        <v>1.466481728124543E-5</v>
      </c>
      <c r="BE47" s="75"/>
      <c r="BF47" s="295">
        <f>output!AF20</f>
        <v>5.4351997537786184E-6</v>
      </c>
      <c r="BG47" s="75"/>
      <c r="BH47" s="299">
        <f>output!AF19</f>
        <v>1.1293710859764946E-4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1143.9245232653625</v>
      </c>
      <c r="D48" s="122">
        <f>C48/$C$51</f>
        <v>9.7849837834436003E-5</v>
      </c>
      <c r="E48" s="318">
        <f>E47*FRw.s3C</f>
        <v>276.28416490077797</v>
      </c>
      <c r="F48" s="122">
        <f>E48/$E$51</f>
        <v>1.4334278415416703E-4</v>
      </c>
      <c r="G48" s="318">
        <f>G47*FRw.sM</f>
        <v>215.15123531620816</v>
      </c>
      <c r="H48" s="122">
        <f>G48/$G$51</f>
        <v>4.0831243839385456E-4</v>
      </c>
      <c r="I48" s="318">
        <f>I47*FRw.sA</f>
        <v>17.150367895277704</v>
      </c>
      <c r="J48" s="122">
        <f>I48/$I$51</f>
        <v>6.570883434805877E-5</v>
      </c>
      <c r="K48" s="318">
        <f>K47*FRw.sT</f>
        <v>1.8233835276243764</v>
      </c>
      <c r="L48" s="123">
        <f>K48/$K$51</f>
        <v>6.1965385526110766E-4</v>
      </c>
      <c r="M48" s="320">
        <f>M49/Kp.s3R</f>
        <v>5.0047010686676379E-6</v>
      </c>
      <c r="N48" s="320">
        <f>N49/Kp.s3C</f>
        <v>7.9258992065263445E-8</v>
      </c>
      <c r="O48" s="320">
        <f>O49/Kp.sM</f>
        <v>5.5471951133451397E-10</v>
      </c>
      <c r="P48" s="320">
        <f>P49/Kp.sA</f>
        <v>1.0088451703104532E-10</v>
      </c>
      <c r="Q48" s="320">
        <f>Q49/Kp.sT</f>
        <v>4.7670157584951E-12</v>
      </c>
      <c r="R48" s="120" t="s">
        <v>1489</v>
      </c>
      <c r="S48" s="325">
        <f>S47*FRACw.s3R</f>
        <v>5.1998253307575975E-10</v>
      </c>
      <c r="T48" s="325">
        <f>T47*FRACw.s3C</f>
        <v>8.2349157117787879E-12</v>
      </c>
      <c r="U48" s="325">
        <f>U47*FRACw.sM</f>
        <v>5.7634702391337514E-14</v>
      </c>
      <c r="V48" s="325">
        <f>V47*FRACw.sA</f>
        <v>3.0637648548520813E-16</v>
      </c>
      <c r="W48" s="326">
        <f>W47*FRACw.sT</f>
        <v>3.1256668024357626E-15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1.6089460385185771E-8</v>
      </c>
      <c r="AG48" s="326">
        <f>KDEG.sT*M.sT*Molweight</f>
        <v>3.0197065177284345E-5</v>
      </c>
      <c r="AH48" s="325"/>
      <c r="AI48" s="325"/>
      <c r="AJ48" s="325">
        <f>k.aT.sT*M.aT*Molweight</f>
        <v>3.2679825283447352E-5</v>
      </c>
      <c r="AK48" s="325">
        <f>k.sT.aT*M.sT*Molweight</f>
        <v>7.1959855049533435E-8</v>
      </c>
      <c r="AL48" s="333">
        <f>k.sT.w2T*M.sT*Molweight</f>
        <v>2.3947107907282841E-6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175771.97516776726</v>
      </c>
      <c r="D49" s="122">
        <f>C49/$C$51</f>
        <v>1.5035309512299644E-2</v>
      </c>
      <c r="E49" s="318">
        <f>E47*FRs.s3C</f>
        <v>42452.987399520447</v>
      </c>
      <c r="F49" s="122">
        <f>E49/$E$51</f>
        <v>2.2025617760954408E-2</v>
      </c>
      <c r="G49" s="318">
        <f>G47*FRs.sM</f>
        <v>33085.04361700295</v>
      </c>
      <c r="H49" s="122">
        <f>G49/$G$51</f>
        <v>6.278855342741238E-2</v>
      </c>
      <c r="I49" s="318">
        <f>I47*FRs.sA</f>
        <v>2637.3107689991684</v>
      </c>
      <c r="J49" s="122">
        <f>I49/$I$51</f>
        <v>1.0104425601985711E-2</v>
      </c>
      <c r="K49" s="318">
        <f>K47*FRs.sT</f>
        <v>280.39217833592681</v>
      </c>
      <c r="L49" s="123">
        <f>K49/$K$51</f>
        <v>9.5287739336597427E-2</v>
      </c>
      <c r="M49" s="320">
        <f>C.s3R*FRs.s3R*(Molweight*1000)/(FRACs.s3R*RHOsolid)</f>
        <v>1.0253429302052891E-4</v>
      </c>
      <c r="N49" s="320">
        <f>C.s3C*FRs.s3C*(Molweight*1000)/(FRACs.s3C*RHOsolid)</f>
        <v>1.6238261996924866E-6</v>
      </c>
      <c r="O49" s="320">
        <f>C.sM*FRs.sM*(Molweight*1000)/(FRACs.sM*RHOsolid)</f>
        <v>1.1373654877839233E-8</v>
      </c>
      <c r="P49" s="320">
        <f>C.sA*FRs.sA*(Molweight*1000)/(FRACs.sA*RHOsolid)</f>
        <v>2.0684790345091517E-9</v>
      </c>
      <c r="Q49" s="320">
        <f>C.sT*FRs.sT*(Molweight*1000)/(FRACs.sT*RHOsolid)</f>
        <v>9.774019288398318E-11</v>
      </c>
      <c r="R49" s="120" t="s">
        <v>1494</v>
      </c>
      <c r="S49" s="325">
        <f>S47*(1-FRACw.s3R)</f>
        <v>2.079930132303039E-9</v>
      </c>
      <c r="T49" s="325">
        <f>T47*(1-FRACw.s3C)</f>
        <v>3.2939662847115152E-11</v>
      </c>
      <c r="U49" s="325">
        <f>U47*(1-FRACw.sM)</f>
        <v>2.3053880956535006E-13</v>
      </c>
      <c r="V49" s="325">
        <f>V47*(1-FRACw.sA)</f>
        <v>1.2255059419408325E-15</v>
      </c>
      <c r="W49" s="326">
        <f>W47*(1-FRACw.sT)</f>
        <v>1.250266720974305E-14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2.3458755753906478E-3</v>
      </c>
      <c r="AG49" s="336">
        <f>SUM(AG11:AG48)</f>
        <v>0.9489478839375467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11690612.356465086</v>
      </c>
      <c r="D51" s="130">
        <f>C51/SUM($C$51,$E$51,$G$51,$I$51,$K$51)</f>
        <v>0.81134520103764496</v>
      </c>
      <c r="E51" s="317">
        <f>SUM(E11,E15,E19,E23,E27,E31,E35,E39,E43,E47)</f>
        <v>1927436.8537702656</v>
      </c>
      <c r="F51" s="130">
        <f>E51/SUM($C$51,$E$51,$G$51,$I$51,$K$51)</f>
        <v>0.13376687156552478</v>
      </c>
      <c r="G51" s="317">
        <f>SUM(G11,G15,G19,G23,G27,G31,G35,G39,G43,G47)</f>
        <v>526927.94802561263</v>
      </c>
      <c r="H51" s="130">
        <f>G51/SUM($C$51,$E$51,$G$51,$I$51,$K$51)</f>
        <v>3.6569552465467656E-2</v>
      </c>
      <c r="I51" s="317">
        <f>SUM(I11,I15,I19,I23,I27,I31,I35,I39,I43,I47)</f>
        <v>261005.51113770253</v>
      </c>
      <c r="J51" s="130">
        <f>I51/SUM($C$51,$E$51,$G$51,$I$51,$K$51)</f>
        <v>1.8114155396559955E-2</v>
      </c>
      <c r="K51" s="317">
        <f>SUM(K11,K15,K19,K23,K27,K31,K35,K39,K43,K47)</f>
        <v>2942.5840122563995</v>
      </c>
      <c r="L51" s="130">
        <f>K51/SUM($C$51,$E$51,$G$51,$I$51,$K$51)</f>
        <v>2.0421953480255733E-4</v>
      </c>
      <c r="M51" s="199"/>
      <c r="N51" s="199"/>
      <c r="O51" s="199"/>
      <c r="P51" s="199"/>
      <c r="Q51" s="199"/>
      <c r="R51" s="199"/>
      <c r="S51" s="328">
        <f>SUM(S11,S15,S19,S23,S27,S35,S39,S43,S47)</f>
        <v>7.3642442630853973E-7</v>
      </c>
      <c r="T51" s="328">
        <f>SUM(T11,T15,T19,T23,T27,T35,T39,T43,T47)</f>
        <v>9.3359343042417579E-9</v>
      </c>
      <c r="U51" s="328">
        <f>SUM(U11,U15,U19,U23,U27,U35,U39,U43,U47)</f>
        <v>6.4511003038676247E-11</v>
      </c>
      <c r="V51" s="328">
        <f>SUM(V11,V15,V19,V23,V27,V35,V39,V43,V47)</f>
        <v>2.46009831722939E-12</v>
      </c>
      <c r="W51" s="328">
        <f>SUM(W11,W15,W19,W23,W27,W35,W39,W43,W47)</f>
        <v>1.4208585373001973E-12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5.4871813597740033E-8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3.8294814411858982E-7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1.0952166098049236E-4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1.0329264806588245E-5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3.0396864622693944E-3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2.4156766574697324E-4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9.1066685371351318E-5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1.7325088637840157E-4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9.1060223407979791E-5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5.6617564657639043E-2</v>
      </c>
      <c r="AY72" s="75"/>
      <c r="AZ72" s="256">
        <f>output!AF22</f>
        <v>2.2928765913250087E-6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0.11872524239398546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1.0528936340071231E-2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3.2473785526657395E-3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4.8770384116990535E-6</v>
      </c>
      <c r="BE84" s="2"/>
      <c r="BF84" s="304">
        <f>IF(output!AK30&lt;0,"",output!AK30)</f>
        <v>1.8001473823996785E-6</v>
      </c>
      <c r="BG84" s="75"/>
      <c r="BH84" s="311">
        <f>IF(output!AK29&lt;0,"",output!AK29)</f>
        <v>5.1886535229501632E-6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1.3475511538841162E-6</v>
      </c>
      <c r="AV85" s="87"/>
      <c r="AW85" s="75"/>
      <c r="AX85" s="304">
        <f>output!AL24</f>
        <v>1.1814413761200404E-3</v>
      </c>
      <c r="AY85" s="87"/>
      <c r="AZ85" s="201"/>
      <c r="BA85" s="311">
        <f>IF(output!AI23&lt;0,"",output!AI23)</f>
        <v>3.8109481807221739E-9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5.5506431896404423E-3</v>
      </c>
      <c r="BE86" s="87"/>
      <c r="BF86" s="304">
        <f>IF(output!AJ30&lt;0,"",output!AJ30)</f>
        <v>2.0557937739409038E-3</v>
      </c>
      <c r="BG86" s="75"/>
      <c r="BH86" s="311">
        <f>IF(output!AJ29&lt;0,"",output!AJ29)</f>
        <v>1.2334762643645428E-2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3.0782350332100951E-2</v>
      </c>
      <c r="AV87" s="200"/>
      <c r="AW87" s="84"/>
      <c r="AX87" s="304">
        <f>IF(output!AH24&lt;0,"",output!AH24)</f>
        <v>7.9463742819817793E-4</v>
      </c>
      <c r="AY87" s="291">
        <f>output!AL24</f>
        <v>1.1814413761200404E-3</v>
      </c>
      <c r="AZ87" s="75"/>
      <c r="BA87" s="311">
        <f>IF(output!AH23&lt;0,"",output!AH23)</f>
        <v>7.2239766199834384E-5</v>
      </c>
      <c r="BB87" s="291">
        <f>output!AL23</f>
        <v>1.0740376146545825E-4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4.8249052319796717E-6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8.7765945418352535E-4</v>
      </c>
      <c r="AT89" s="83"/>
      <c r="AU89" s="302"/>
      <c r="AV89" s="75"/>
      <c r="AW89" s="81"/>
      <c r="AX89" s="265">
        <f>output!AD24</f>
        <v>4.8249052319796717E-6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4.6524310108962713E-2</v>
      </c>
      <c r="AT90" s="81"/>
      <c r="AU90" s="278">
        <f>output!AD25</f>
        <v>0.1432004230029795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1.7481481148513221E-4</v>
      </c>
      <c r="BB91" s="309">
        <f>IF(ISERROR(output!F15),0,output!F15)</f>
        <v>1.0442234462698585E-3</v>
      </c>
      <c r="BC91" s="2"/>
      <c r="BD91" s="295">
        <f>output!AG28</f>
        <v>5.0137717943053673E-3</v>
      </c>
      <c r="BE91" s="2"/>
      <c r="BF91" s="312">
        <f>output!AG30</f>
        <v>1.8568219980057352E-3</v>
      </c>
      <c r="BG91" s="75"/>
      <c r="BH91" s="295">
        <f>output!AG29</f>
        <v>1.1761256487278703E-2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6.2682257334726581E-3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1.0478195802374672E-3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2.649328217373385E-4</v>
      </c>
      <c r="AZ96" s="75"/>
      <c r="BA96" s="75"/>
      <c r="BB96" s="43"/>
      <c r="BC96" s="2"/>
      <c r="BD96" s="277">
        <f>IF(ISERROR(output!F39),0,output!F39)</f>
        <v>5.9860400859491028E-2</v>
      </c>
      <c r="BE96" s="43"/>
      <c r="BF96" s="277">
        <f>IF(ISERROR(output!F47),0,output!F47)</f>
        <v>2.2168960552131321E-2</v>
      </c>
      <c r="BG96" s="43"/>
      <c r="BH96" s="277">
        <f>IF(ISERROR(output!F43),0,output!F43)</f>
        <v>0.14041993868556849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0.12738632663066166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3.1959608424383717E-4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4.2134211354710128E-5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0.76125761944279657</v>
      </c>
      <c r="AW101" s="56"/>
      <c r="AX101" s="307"/>
      <c r="AY101" s="276">
        <f>IF(ISERROR(output!F23),0,output!F23)</f>
        <v>2.2616049605240188E-3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2.9230567700353735E-4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3.6309472130566684E-4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3.4716477670804096E-3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6.4677582212846406E-5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6.1114620892830969E-6</v>
      </c>
      <c r="AW111" s="75"/>
      <c r="AX111" s="290">
        <f>output!AF26</f>
        <v>1.2529051151788461E-5</v>
      </c>
      <c r="AY111" s="75"/>
      <c r="AZ111" s="75"/>
      <c r="BA111" s="75"/>
      <c r="BB111" s="76"/>
      <c r="BC111" s="2"/>
      <c r="BD111" s="295">
        <f>output!AF28</f>
        <v>3.5418893376939615E-6</v>
      </c>
      <c r="BE111" s="76"/>
      <c r="BF111" s="295">
        <f>output!AF30</f>
        <v>1.3127261410176894E-6</v>
      </c>
      <c r="BG111" s="43"/>
      <c r="BH111" s="294">
        <f>output!AF29</f>
        <v>3.7837352557102642E-6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8.6941238331091309E-10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2.3095434717732538E-9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4.2011035769462311E-8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1.9756450148616314E-9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1.1659828343645688E-6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4.6203864797847581E-8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1.4422137789507303E-6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3.8060222357680474E-7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1.4421124110167087E-6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5.4883180877766371E-4</v>
      </c>
      <c r="AT136" s="81">
        <f>output!AD32</f>
        <v>8.6626589554408794E-3</v>
      </c>
      <c r="AU136" s="268">
        <f>output!AF32</f>
        <v>1.7263982367599713E-7</v>
      </c>
      <c r="AV136" s="221"/>
      <c r="AW136" s="221"/>
      <c r="AX136" s="221"/>
      <c r="AY136" s="279">
        <f>output!AE38</f>
        <v>7.4175753763114739E-6</v>
      </c>
      <c r="AZ136" s="266">
        <f>output!AD38</f>
        <v>1.7876500188266771E-4</v>
      </c>
      <c r="BA136" s="268">
        <f>output!AF38</f>
        <v>3.924722782452976E-9</v>
      </c>
      <c r="BB136" s="75"/>
      <c r="BC136" s="75"/>
      <c r="BD136" s="75"/>
      <c r="BE136" s="279">
        <f>output!AE44</f>
        <v>6.4807574243527049E-6</v>
      </c>
      <c r="BF136" s="266">
        <f>output!AD44</f>
        <v>3.0963006587592649E-4</v>
      </c>
      <c r="BG136" s="268">
        <f>output!AF44</f>
        <v>5.9392746868010547E-9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4.2629622616587089E-3</v>
      </c>
      <c r="AV141" s="223" t="s">
        <v>446</v>
      </c>
      <c r="AW141" s="221"/>
      <c r="AX141" s="221"/>
      <c r="AY141" s="2"/>
      <c r="AZ141" s="202"/>
      <c r="BA141" s="269">
        <f>output!AG38</f>
        <v>8.0074353614170802E-5</v>
      </c>
      <c r="BB141" s="47" t="s">
        <v>446</v>
      </c>
      <c r="BC141" s="75"/>
      <c r="BD141" s="75"/>
      <c r="BE141" s="2"/>
      <c r="BF141" s="202"/>
      <c r="BG141" s="269">
        <f>output!AG44</f>
        <v>1.6305315135269562E-4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8.9438013810372438E-4</v>
      </c>
      <c r="AW142" s="221"/>
      <c r="AX142" s="221"/>
      <c r="AY142" s="203"/>
      <c r="AZ142" s="202"/>
      <c r="BA142" s="75"/>
      <c r="BB142" s="277">
        <f>IF(ISERROR(output!J11),0,output!J11)</f>
        <v>4.1047971967108146E-5</v>
      </c>
      <c r="BC142" s="75"/>
      <c r="BD142" s="75"/>
      <c r="BE142" s="203"/>
      <c r="BF142" s="75"/>
      <c r="BG142" s="75"/>
      <c r="BH142" s="277">
        <f>IF(ISERROR(output!L11),0,output!L11)</f>
        <v>5.5098139818106811E-3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1.4076126836356212E-6</v>
      </c>
      <c r="AY144" s="2"/>
      <c r="AZ144" s="75"/>
      <c r="BA144" s="75"/>
      <c r="BB144" s="75"/>
      <c r="BC144" s="75"/>
      <c r="BD144" s="270">
        <f>k.sA.aA*M.sA*Molweight</f>
        <v>3.5552015802575579E-9</v>
      </c>
      <c r="BE144" s="2"/>
      <c r="BF144" s="75"/>
      <c r="BG144" s="75"/>
      <c r="BH144" s="75"/>
      <c r="BI144" s="75"/>
      <c r="BJ144" s="270">
        <f>k.sT.aT*M.sT*Molweight</f>
        <v>7.1959855049533435E-8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2.5028068806868727E-7</v>
      </c>
      <c r="AV145" s="221"/>
      <c r="AW145" s="221"/>
      <c r="AX145" s="221"/>
      <c r="AY145" s="2"/>
      <c r="AZ145" s="75"/>
      <c r="BA145" s="270">
        <f>k.w2A.aA*M.w2A*Molweight</f>
        <v>1.4987077578344342E-9</v>
      </c>
      <c r="BB145" s="75"/>
      <c r="BC145" s="75"/>
      <c r="BD145" s="221"/>
      <c r="BE145" s="2"/>
      <c r="BF145" s="75"/>
      <c r="BG145" s="270">
        <f>k.w2T.aT*M.w2T*Molweight</f>
        <v>3.093729203866987E-9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1.6020287511640974E-3</v>
      </c>
      <c r="AY146" s="2"/>
      <c r="AZ146" s="75"/>
      <c r="BA146" s="221"/>
      <c r="BB146" s="75"/>
      <c r="BC146" s="75"/>
      <c r="BD146" s="270">
        <f>IF(output!AJ42&lt;0,"",output!AJ42)</f>
        <v>2.9520768732686626E-5</v>
      </c>
      <c r="BE146" s="2"/>
      <c r="BF146" s="75"/>
      <c r="BG146" s="221"/>
      <c r="BH146" s="75"/>
      <c r="BI146" s="75"/>
      <c r="BJ146" s="270">
        <f>IF(output!AJ48&lt;0,"",output!AJ48)</f>
        <v>3.2679825283447352E-5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4.0040188115985267E-2</v>
      </c>
      <c r="AT147" s="81">
        <f>output!AD33</f>
        <v>4.9467326658778892E-2</v>
      </c>
      <c r="AU147" s="270">
        <f>IF(output!AH33&lt;0,"",output!AH33)</f>
        <v>2.2503213873884382E-3</v>
      </c>
      <c r="AV147" s="272">
        <f>output!AL33</f>
        <v>1.5252215243738529E-4</v>
      </c>
      <c r="AW147" s="221"/>
      <c r="AX147" s="221"/>
      <c r="AY147" s="279">
        <f>output!AE39</f>
        <v>6.9358771739161324E-3</v>
      </c>
      <c r="AZ147" s="266">
        <f>output!AD39</f>
        <v>7.3564544086199956E-3</v>
      </c>
      <c r="BA147" s="270">
        <f>IF(output!AH39&lt;0,"",output!AH39)</f>
        <v>6.1753433346054478E-5</v>
      </c>
      <c r="BB147" s="272">
        <f>output!AL39</f>
        <v>4.3834033978301598E-6</v>
      </c>
      <c r="BC147" s="75"/>
      <c r="BD147" s="75"/>
      <c r="BE147" s="279">
        <f>output!AE45</f>
        <v>6.8119538158776564E-5</v>
      </c>
      <c r="BF147" s="266">
        <f>output!AD45</f>
        <v>1.7910384625126422E-5</v>
      </c>
      <c r="BG147" s="270">
        <f>IF(output!AH45&lt;0,"",output!AH45)</f>
        <v>1.0748544612499744E-4</v>
      </c>
      <c r="BH147" s="272">
        <f>output!AL45</f>
        <v>2.3947107907282841E-6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0.25859055698499467</v>
      </c>
      <c r="AW150" s="221"/>
      <c r="AX150" s="221"/>
      <c r="AY150" s="2"/>
      <c r="AZ150" s="75"/>
      <c r="BA150" s="59"/>
      <c r="BB150" s="273">
        <f>IF(ISERROR(output!J27),0,output!J27)</f>
        <v>9.8691073935280704E-2</v>
      </c>
      <c r="BC150" s="78"/>
      <c r="BD150" s="75"/>
      <c r="BE150" s="2"/>
      <c r="BF150" s="75"/>
      <c r="BG150" s="59"/>
      <c r="BH150" s="273">
        <f>IF(ISERROR(output!L27),0,output!L27)</f>
        <v>9.4855377121968884E-2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1.4470767245936249E-3</v>
      </c>
      <c r="AY151" s="2"/>
      <c r="AZ151" s="75"/>
      <c r="BA151" s="59"/>
      <c r="BB151" s="49"/>
      <c r="BC151" s="75"/>
      <c r="BD151" s="274">
        <f>output!AJ42</f>
        <v>2.9520768732686626E-5</v>
      </c>
      <c r="BE151" s="2"/>
      <c r="BF151" s="75"/>
      <c r="BG151" s="59"/>
      <c r="BH151" s="59"/>
      <c r="BI151" s="75"/>
      <c r="BJ151" s="274">
        <f>output!AG48</f>
        <v>3.0197065177284345E-5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1.1829731801931387E-2</v>
      </c>
      <c r="AW152" s="221"/>
      <c r="AX152" s="221"/>
      <c r="AY152" s="2"/>
      <c r="AZ152" s="75"/>
      <c r="BA152" s="59"/>
      <c r="BB152" s="257">
        <f>output!AG39</f>
        <v>4.8671257273998948E-4</v>
      </c>
      <c r="BC152" s="2"/>
      <c r="BD152" s="75"/>
      <c r="BE152" s="2"/>
      <c r="BF152" s="75"/>
      <c r="BG152" s="59"/>
      <c r="BH152" s="257">
        <f>output!AG45</f>
        <v>5.9667909652871694E-5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2.9626825738612735E-3</v>
      </c>
      <c r="AU153" s="224"/>
      <c r="AV153" s="225"/>
      <c r="AW153" s="221"/>
      <c r="AX153" s="221"/>
      <c r="AY153" s="2"/>
      <c r="AZ153" s="275">
        <f>k.w3A.w2A*M.w3A*Molweight</f>
        <v>2.0867682350602982E-3</v>
      </c>
      <c r="BA153" s="59"/>
      <c r="BB153" s="49"/>
      <c r="BC153" s="2"/>
      <c r="BD153" s="75"/>
      <c r="BE153" s="2"/>
      <c r="BF153" s="275">
        <f>k.w3T.w2T*M.w3T*Molweight</f>
        <v>1.7910384625126422E-5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3.394363221120774E-2</v>
      </c>
      <c r="AU155" s="221"/>
      <c r="AV155" s="223" t="s">
        <v>2166</v>
      </c>
      <c r="AW155" s="221"/>
      <c r="AX155" s="271">
        <f>IF(ISERROR(output!H47),0,output!H47)</f>
        <v>6.3196865885877654E-2</v>
      </c>
      <c r="AY155" s="2"/>
      <c r="AZ155" s="275">
        <f>k.w2A.w3A*M.w2A*Molweight</f>
        <v>6.9358771739161324E-3</v>
      </c>
      <c r="BA155" s="75"/>
      <c r="BB155" s="223" t="s">
        <v>2166</v>
      </c>
      <c r="BC155" s="47"/>
      <c r="BD155" s="271">
        <f>IF(ISERROR(output!J47),0,output!J47)</f>
        <v>1.0170134436436083E-2</v>
      </c>
      <c r="BE155" s="2"/>
      <c r="BF155" s="275">
        <f>k.w2T.w3T*M.w2T*Molweight</f>
        <v>6.3428447130278132E-5</v>
      </c>
      <c r="BG155" s="75"/>
      <c r="BH155" s="223" t="s">
        <v>2166</v>
      </c>
      <c r="BI155" s="47"/>
      <c r="BJ155" s="271">
        <f>IF(ISERROR(output!L47),0,output!L47)</f>
        <v>9.5907393375702185E-2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0.67711233627928691</v>
      </c>
      <c r="AW156" s="221"/>
      <c r="AX156" s="221"/>
      <c r="AY156" s="203"/>
      <c r="AZ156" s="2"/>
      <c r="BA156" s="75"/>
      <c r="BB156" s="273">
        <f>IF(ISERROR(output!J31),0,output!J31)</f>
        <v>0.89078306755474279</v>
      </c>
      <c r="BC156" s="75"/>
      <c r="BD156" s="75"/>
      <c r="BE156" s="203"/>
      <c r="BF156" s="2"/>
      <c r="BG156" s="75"/>
      <c r="BH156" s="273">
        <f>IF(ISERROR(output!L31),0,output!L31)</f>
        <v>0.80353360276649288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3.4226335684683857E-3</v>
      </c>
      <c r="AT157" s="266">
        <f>output!AD34</f>
        <v>3.4399513171717418E-2</v>
      </c>
      <c r="AU157" s="221"/>
      <c r="AV157" s="225"/>
      <c r="AW157" s="226"/>
      <c r="AX157" s="221"/>
      <c r="AY157" s="279">
        <f>output!AE40</f>
        <v>2.542649195569977E-3</v>
      </c>
      <c r="AZ157" s="266">
        <f>output!AD40</f>
        <v>6.9358771739161324E-3</v>
      </c>
      <c r="BA157" s="75"/>
      <c r="BB157" s="2"/>
      <c r="BC157" s="76"/>
      <c r="BD157" s="75"/>
      <c r="BE157" s="279">
        <f>output!AE46</f>
        <v>1.7910384625126422E-5</v>
      </c>
      <c r="BF157" s="266">
        <f>output!AD46</f>
        <v>5.2337944173739019E-4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3.0975830793496233E-2</v>
      </c>
      <c r="AW158" s="226"/>
      <c r="AX158" s="221"/>
      <c r="AY158" s="2"/>
      <c r="AZ158" s="75"/>
      <c r="BA158" s="75"/>
      <c r="BB158" s="274">
        <f>output!AG40</f>
        <v>4.3930550279258698E-3</v>
      </c>
      <c r="BC158" s="2"/>
      <c r="BD158" s="75"/>
      <c r="BE158" s="2"/>
      <c r="BF158" s="75"/>
      <c r="BG158" s="75"/>
      <c r="BH158" s="274">
        <f>output!AG46</f>
        <v>5.0545548252122537E-4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4.8373063616862118E-6</v>
      </c>
      <c r="AU159" s="221"/>
      <c r="AV159" s="221"/>
      <c r="AW159" s="226"/>
      <c r="AX159" s="221"/>
      <c r="AY159" s="2"/>
      <c r="AZ159" s="272">
        <f>k.sdA.w3A*M.sdA*Molweight</f>
        <v>3.6626953785702883E-6</v>
      </c>
      <c r="BA159" s="2"/>
      <c r="BB159" s="75"/>
      <c r="BC159" s="2"/>
      <c r="BD159" s="75"/>
      <c r="BE159" s="2"/>
      <c r="BF159" s="275">
        <f>k.sdT.w3T*M.sdT*Molweight</f>
        <v>2.5433058226360435E-8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5.886116114479347E-6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3.835645798856494E-6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3.9007649264969884E-8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2.0586071173708408E-4</v>
      </c>
      <c r="AW162" s="221"/>
      <c r="AX162" s="221"/>
      <c r="AY162" s="2"/>
      <c r="AZ162" s="75"/>
      <c r="BA162" s="47"/>
      <c r="BB162" s="276">
        <f>IF(ISERROR(output!J35),0,output!J35)</f>
        <v>3.1467610157314996E-4</v>
      </c>
      <c r="BC162" s="75"/>
      <c r="BD162" s="75"/>
      <c r="BE162" s="2"/>
      <c r="BF162" s="75"/>
      <c r="BG162" s="47"/>
      <c r="BH162" s="276">
        <f>IF(ISERROR(output!L35),0,output!L35)</f>
        <v>1.9381275402535522E-4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1.0484860742112266E-6</v>
      </c>
      <c r="AV164" s="269">
        <f>output!AF35</f>
        <v>3.2367858190912411E-10</v>
      </c>
      <c r="AW164" s="221"/>
      <c r="AX164" s="274">
        <f>output!AF36</f>
        <v>1.0222614494510234E-6</v>
      </c>
      <c r="AY164" s="2"/>
      <c r="AZ164" s="2"/>
      <c r="BA164" s="269">
        <f>output!AG41</f>
        <v>1.7277679396129894E-7</v>
      </c>
      <c r="BB164" s="269">
        <f>output!AF41</f>
        <v>1.736263249068128E-10</v>
      </c>
      <c r="BC164" s="75"/>
      <c r="BD164" s="274">
        <f>output!AF42</f>
        <v>2.9102717838517227E-8</v>
      </c>
      <c r="BE164" s="2"/>
      <c r="BF164" s="2"/>
      <c r="BG164" s="269">
        <f>output!AG47</f>
        <v>1.357338541052014E-8</v>
      </c>
      <c r="BH164" s="269">
        <f>output!AF47</f>
        <v>1.2056280893082934E-12</v>
      </c>
      <c r="BI164" s="75"/>
      <c r="BJ164" s="274">
        <f>output!AF48</f>
        <v>1.6089460385185771E-8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471.27389092585952</v>
      </c>
      <c r="BA172" s="128">
        <f>output!I11</f>
        <v>10.713746904441146</v>
      </c>
      <c r="BB172" s="128">
        <f>output!K11</f>
        <v>16.213090533382882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136258.59157090349</v>
      </c>
      <c r="BA173" s="128">
        <f>output!I27</f>
        <v>25758.914197206734</v>
      </c>
      <c r="BB173" s="128">
        <f>output!K27</f>
        <v>279.11991619565708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356789.41393847321</v>
      </c>
      <c r="BA174" s="128">
        <f>output!I31</f>
        <v>232499.28985993625</v>
      </c>
      <c r="BB174" s="128">
        <f>output!K31</f>
        <v>2364.4651328114664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108.47376241471386</v>
      </c>
      <c r="BA175" s="128">
        <f>output!I35</f>
        <v>82.132196733919599</v>
      </c>
      <c r="BB175" s="128">
        <f>output!K35</f>
        <v>0.57031031136639243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33300.194862895354</v>
      </c>
      <c r="BA176" s="128">
        <f>output!I47</f>
        <v>2654.4611369211498</v>
      </c>
      <c r="BB176" s="128">
        <f>output!K47</f>
        <v>282.21556240452657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0.48029750844703073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1.4408925253410922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1.4408925253410922</v>
      </c>
      <c r="G11" s="508">
        <f>2*Scale*(M.tot/Emis.tot)/(3600*24*365)</f>
        <v>2.8817850506821845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9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1.0300000000000001E-5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2.3799999999999998E-8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1.0700000000000001E-7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1.9754002880444225E-3</v>
      </c>
      <c r="M271" s="451">
        <f>((DRYDEPaerosol.R+AerosolWashout.R+GasWashout.R+GASABS.aR.sR)/HEIGHT.aR)*AREAFRAC.s1R</f>
        <v>1.9754002880444225E-3</v>
      </c>
      <c r="N271" s="451">
        <f>((DRYDEPaerosol.R+AerosolWashout.R+GasWashout.R+GASABS.aR.sR)/HEIGHT.aR)*AREAFRAC.s1R</f>
        <v>1.9754002880444225E-3</v>
      </c>
      <c r="O271" s="451">
        <f>((DRYDEPaerosol.R+AerosolWashout.R+GasWashout.R+GASABS.aR.sR)/HEIGHT.aR)*AREAFRAC.s1R</f>
        <v>1.9754002880444225E-3</v>
      </c>
      <c r="P271" s="451">
        <f>((DRYDEPaerosol.R+AerosolWashout.R+GasWashout.R+GASABS.aR.sR)/HEIGHT.aR)*AREAFRAC.s1R</f>
        <v>1.9754002880444225E-3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4.3897784178764934E-3</v>
      </c>
      <c r="M272" s="451">
        <f>((DRYDEPaerosol.R+AerosolWashout.R+GasWashout.R+GASABS.aR.sR)/HEIGHT.aR)*AREAFRAC.s2R</f>
        <v>4.3897784178764934E-3</v>
      </c>
      <c r="N272" s="451">
        <f>((DRYDEPaerosol.R+AerosolWashout.R+GasWashout.R+GASABS.aR.sR)/HEIGHT.aR)*AREAFRAC.s2R</f>
        <v>4.3897784178764934E-3</v>
      </c>
      <c r="O272" s="451">
        <f>((DRYDEPaerosol.R+AerosolWashout.R+GasWashout.R+GASABS.aR.sR)/HEIGHT.aR)*AREAFRAC.s2R</f>
        <v>4.3897784178764934E-3</v>
      </c>
      <c r="P272" s="451">
        <f>((DRYDEPaerosol.R+AerosolWashout.R+GasWashout.R+GASABS.aR.sR)/HEIGHT.aR)*AREAFRAC.s2R</f>
        <v>4.3897784178764934E-3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7.3162973631274897E-4</v>
      </c>
      <c r="M273" s="451">
        <f>((DRYDEPaerosol.R+AerosolWashout.R+GasWashout.R+GASABS.aR.sR)/HEIGHT.aR)*AREAFRAC.s3R</f>
        <v>7.3162973631274897E-4</v>
      </c>
      <c r="N273" s="451">
        <f>((DRYDEPaerosol.R+AerosolWashout.R+GasWashout.R+GASABS.aR.sR)/HEIGHT.aR)*AREAFRAC.s3R</f>
        <v>7.3162973631274897E-4</v>
      </c>
      <c r="O273" s="451">
        <f>((DRYDEPaerosol.R+AerosolWashout.R+GasWashout.R+GASABS.aR.sR)/HEIGHT.aR)*AREAFRAC.s3R</f>
        <v>7.3162973631274897E-4</v>
      </c>
      <c r="P273" s="451">
        <f>((DRYDEPaerosol.R+AerosolWashout.R+GasWashout.R+GASABS.aR.sR)/HEIGHT.aR)*AREAFRAC.s3R</f>
        <v>7.3162973631274897E-4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9.6066332871172879E-4</v>
      </c>
      <c r="M496" s="451">
        <f>((DRYDEPaerosol.C+AerosolWashout.C+GasWashout.C+GASABS.aC.sC)/HEIGHT.aC)*AREAFRAC.s1C</f>
        <v>9.6066332871172879E-4</v>
      </c>
      <c r="N496" s="451">
        <f>((DRYDEPaerosol.C+AerosolWashout.C+GasWashout.C+GASABS.aC.sC)/HEIGHT.aC)*AREAFRAC.s1C</f>
        <v>9.6066332871172879E-4</v>
      </c>
      <c r="O496" s="451">
        <f>((DRYDEPaerosol.C+AerosolWashout.C+GasWashout.C+GASABS.aC.sC)/HEIGHT.aC)*AREAFRAC.s1C</f>
        <v>9.6066332871172879E-4</v>
      </c>
      <c r="P496" s="451">
        <f>((DRYDEPaerosol.C+AerosolWashout.C+GasWashout.C+GASABS.aC.sC)/HEIGHT.aC)*AREAFRAC.s1C</f>
        <v>9.6066332871172879E-4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2.134807397137175E-3</v>
      </c>
      <c r="M497" s="451">
        <f>((DRYDEPaerosol.C+AerosolWashout.C+GasWashout.C+GASABS.aC.sC)/HEIGHT.aC)*AREAFRAC.s2C</f>
        <v>2.134807397137175E-3</v>
      </c>
      <c r="N497" s="451">
        <f>((DRYDEPaerosol.C+AerosolWashout.C+GasWashout.C+GASABS.aC.sC)/HEIGHT.aC)*AREAFRAC.s2C</f>
        <v>2.134807397137175E-3</v>
      </c>
      <c r="O497" s="451">
        <f>((DRYDEPaerosol.C+AerosolWashout.C+GasWashout.C+GASABS.aC.sC)/HEIGHT.aC)*AREAFRAC.s2C</f>
        <v>2.134807397137175E-3</v>
      </c>
      <c r="P497" s="451">
        <f>((DRYDEPaerosol.C+AerosolWashout.C+GasWashout.C+GASABS.aC.sC)/HEIGHT.aC)*AREAFRAC.s2C</f>
        <v>2.134807397137175E-3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3.5580123285619574E-4</v>
      </c>
      <c r="M498" s="451">
        <f>((DRYDEPaerosol.C+AerosolWashout.C+GasWashout.C+GASABS.aC.sC)/HEIGHT.aC)*AREAFRAC.s3C</f>
        <v>3.5580123285619574E-4</v>
      </c>
      <c r="N498" s="451">
        <f>((DRYDEPaerosol.C+AerosolWashout.C+GasWashout.C+GASABS.aC.sC)/HEIGHT.aC)*AREAFRAC.s3C</f>
        <v>3.5580123285619574E-4</v>
      </c>
      <c r="O498" s="451">
        <f>((DRYDEPaerosol.C+AerosolWashout.C+GasWashout.C+GASABS.aC.sC)/HEIGHT.aC)*AREAFRAC.s3C</f>
        <v>3.5580123285619574E-4</v>
      </c>
      <c r="P498" s="451">
        <f>((DRYDEPaerosol.C+AerosolWashout.C+GasWashout.C+GASABS.aC.sC)/HEIGHT.aC)*AREAFRAC.s3C</f>
        <v>3.5580123285619574E-4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3.6741531820737145E-3</v>
      </c>
      <c r="M681" s="452">
        <f>((DRYDEPaerosol.M+AerosolWashout.M+GasWashout.M+GASABS.aM.sM)/HEIGHT.aC)*AREAFRAC.sM</f>
        <v>3.6741531820737145E-3</v>
      </c>
      <c r="N681" s="452">
        <f>((DRYDEPaerosol.M+AerosolWashout.M+GasWashout.M+GASABS.aM.sM)/HEIGHT.aC)*AREAFRAC.sM</f>
        <v>3.6741531820737145E-3</v>
      </c>
      <c r="O681" s="452">
        <f>((DRYDEPaerosol.M+AerosolWashout.M+GasWashout.M+GASABS.aM.sM)/HEIGHT.aC)*AREAFRAC.sM</f>
        <v>3.6741531820737145E-3</v>
      </c>
      <c r="P681" s="452">
        <f>((DRYDEPaerosol.M+AerosolWashout.M+GasWashout.M+GASABS.aM.sM)/HEIGHT.aC)*AREAFRAC.sM</f>
        <v>3.6741531820737145E-3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3.2732803484148164E-2</v>
      </c>
      <c r="M817" s="451">
        <f>((DRYDEPaerosol.A+AerosolWashout.A+GasWashout.A+GASABS.aA.sA)/HEIGHT.aC)*AREAFRAC.sA</f>
        <v>3.2732803484148164E-2</v>
      </c>
      <c r="N817" s="451">
        <f>((DRYDEPaerosol.A+AerosolWashout.A+GasWashout.A+GASABS.aA.sA)/HEIGHT.aC)*AREAFRAC.sA</f>
        <v>3.2732803484148164E-2</v>
      </c>
      <c r="O817" s="451">
        <f>((DRYDEPaerosol.A+AerosolWashout.A+GasWashout.A+GASABS.aA.sA)/HEIGHT.aC)*AREAFRAC.sA</f>
        <v>3.2732803484148164E-2</v>
      </c>
      <c r="P817" s="451">
        <f>((DRYDEPaerosol.A+AerosolWashout.A+GasWashout.A+GASABS.aA.sA)/HEIGHT.aC)*AREAFRAC.sA</f>
        <v>3.2732803484148164E-2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6.7957943825524929E-4</v>
      </c>
      <c r="M953" s="451">
        <f>((DRYDEPaerosol.T+AerosolWashout.T+GasWashout.T+GASABS.aT.sT)/HEIGHT.aT)*AREAFRAC.sT</f>
        <v>6.7957943825524929E-4</v>
      </c>
      <c r="N953" s="451">
        <f>((DRYDEPaerosol.T+AerosolWashout.T+GasWashout.T+GASABS.aT.sT)/HEIGHT.aT)*AREAFRAC.sT</f>
        <v>6.7957943825524929E-4</v>
      </c>
      <c r="O953" s="451">
        <f>((DRYDEPaerosol.T+AerosolWashout.T+GasWashout.T+GASABS.aT.sT)/HEIGHT.aT)*AREAFRAC.sT</f>
        <v>6.7957943825524929E-4</v>
      </c>
      <c r="P953" s="451">
        <f>((DRYDEPaerosol.T+AerosolWashout.T+GasWashout.T+GASABS.aT.sT)/HEIGHT.aT)*AREAFRAC.sT</f>
        <v>6.7957943825524929E-4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0" transitionEvaluation="1" transitionEntry="1" codeName="Sheet2"/>
  <dimension ref="A1:O219"/>
  <sheetViews>
    <sheetView tabSelected="1" topLeftCell="A130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2.374072651935071E-8</v>
      </c>
      <c r="L108" s="664">
        <f>IF(ISBLANK(I108),IF(ISNUMBER(J108)=FALSE,K108,J108),I108)</f>
        <v>2.374072651935071E-8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2.6114799171285784E-7</v>
      </c>
      <c r="L109" s="664">
        <f t="shared" ref="L109:L137" si="4">IF(ISBLANK(I109),IF(ISNUMBER(J109)=FALSE,K109,J109),I109)</f>
        <v>2.6114799171285784E-7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4.1546531074683008E-8</v>
      </c>
      <c r="L110" s="664">
        <f t="shared" si="4"/>
        <v>4.1546531074683008E-8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1.8244019594217839E-6</v>
      </c>
      <c r="L111" s="664">
        <f t="shared" si="4"/>
        <v>1.8244019594217839E-6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4.054226576492852E-6</v>
      </c>
      <c r="L112" s="664">
        <f t="shared" si="4"/>
        <v>4.054226576492852E-6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6.7570442941547551E-7</v>
      </c>
      <c r="L113" s="664">
        <f t="shared" si="4"/>
        <v>6.7570442941547551E-7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4.2270403804875319E-11</v>
      </c>
      <c r="L117" s="664">
        <f t="shared" si="4"/>
        <v>4.2270403804875319E-11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1.9185761529896352E-11</v>
      </c>
      <c r="L118" s="664">
        <f t="shared" si="4"/>
        <v>1.9185761529896352E-11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4.2161483400515841E-11</v>
      </c>
      <c r="L119" s="664">
        <f t="shared" si="4"/>
        <v>4.2161483400515841E-11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5.7643095100117848E-6</v>
      </c>
      <c r="L120" s="664">
        <f t="shared" si="4"/>
        <v>5.7643095100117848E-6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2.5346526134205699E-5</v>
      </c>
      <c r="L121" s="664">
        <f t="shared" si="4"/>
        <v>2.5346526134205699E-5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1.9606143730954318E-5</v>
      </c>
      <c r="L122" s="664">
        <f t="shared" si="4"/>
        <v>1.9606143730954318E-5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7.366842356627169E-3</v>
      </c>
      <c r="L123" s="664">
        <f t="shared" si="4"/>
        <v>7.366842356627169E-3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1.0222970376939818E-3</v>
      </c>
      <c r="L132" s="664">
        <f t="shared" si="5"/>
        <v>1.0222970376939818E-3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2.1135201902437659E-12</v>
      </c>
      <c r="L138" s="664">
        <f t="shared" ref="L138:L145" si="6">IF(ISBLANK(I138),IF(ISNUMBER(J138)=FALSE,K138,J138),I138)</f>
        <v>2.1135201902437659E-12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3.8371523059792708E-12</v>
      </c>
      <c r="L139" s="664">
        <f t="shared" si="6"/>
        <v>3.8371523059792708E-12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2.1080741700257921E-12</v>
      </c>
      <c r="L140" s="664">
        <f t="shared" si="6"/>
        <v>2.1080741700257921E-12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6.0755804044606696E-8</v>
      </c>
      <c r="L149" s="664">
        <f t="shared" si="7"/>
        <v>6.0755804044606696E-8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4.2483903201830168E-8</v>
      </c>
      <c r="L150" s="664">
        <f t="shared" si="7"/>
        <v>4.2483903201830168E-8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2.2595185185185189E-10</v>
      </c>
      <c r="L154" s="664">
        <f t="shared" si="7"/>
        <v>2.2595185185185189E-10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6.3399999999999996E-11</v>
      </c>
      <c r="L159" s="664">
        <f t="shared" si="7"/>
        <v>6.3399999999999996E-11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9.0459815058013851E-6</v>
      </c>
      <c r="L187" s="664">
        <f t="shared" ref="L187:L211" si="9">IF(ISBLANK(I187),IF(ISNUMBER(J187)=FALSE,K187,J187),I187)</f>
        <v>9.0459815058013851E-6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1.2561171773023441E-8</v>
      </c>
      <c r="L191" s="664">
        <f t="shared" si="9"/>
        <v>1.2561171773023441E-8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1.1779136849972535E-8</v>
      </c>
      <c r="L192" s="664">
        <f t="shared" si="9"/>
        <v>1.1779136849972535E-8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4.3486201567445368E-8</v>
      </c>
      <c r="L193" s="664">
        <f t="shared" si="9"/>
        <v>4.3486201567445368E-8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4.3469483354178676E-8</v>
      </c>
      <c r="L194" s="664">
        <f t="shared" si="9"/>
        <v>4.3469483354178676E-8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4.3486225145605207E-8</v>
      </c>
      <c r="L195" s="664">
        <f t="shared" si="9"/>
        <v>4.3486225145605207E-8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9.0456151799195571E-6</v>
      </c>
      <c r="L197" s="664">
        <f t="shared" si="9"/>
        <v>9.0456151799195571E-6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9.6658035166392018E-9</v>
      </c>
      <c r="L207" s="664">
        <f t="shared" si="9"/>
        <v>9.6658035166392018E-9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9.6658035166392018E-9</v>
      </c>
      <c r="L208" s="664">
        <f t="shared" si="9"/>
        <v>9.6658035166392018E-9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6" transitionEvaluation="1" transitionEntry="1" codeName="Sheet3"/>
  <dimension ref="A1:O225"/>
  <sheetViews>
    <sheetView topLeftCell="A136" zoomScaleNormal="100" workbookViewId="0">
      <selection activeCell="K163" sqref="K163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1.1541526550681395E-8</v>
      </c>
      <c r="L114" s="664">
        <f>IF(ISBLANK(I114),IF(ISNUMBER(J114)=FALSE,K114,J114),I114)</f>
        <v>1.1541526550681395E-8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1.2695679205749533E-7</v>
      </c>
      <c r="L115" s="664">
        <f t="shared" ref="L115:L136" si="4">IF(ISBLANK(I115),IF(ISNUMBER(J115)=FALSE,K115,J115),I115)</f>
        <v>1.2695679205749533E-7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4.91800198615723E-6</v>
      </c>
      <c r="L116" s="664">
        <f t="shared" si="4"/>
        <v>4.91800198615723E-6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8.8680928962836139E-7</v>
      </c>
      <c r="L117" s="664">
        <f t="shared" si="4"/>
        <v>8.8680928962836139E-7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1.9706873102852476E-6</v>
      </c>
      <c r="L118" s="664">
        <f t="shared" si="4"/>
        <v>1.9706873102852476E-6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3.2844788504754116E-7</v>
      </c>
      <c r="L119" s="664">
        <f t="shared" si="4"/>
        <v>3.2844788504754116E-7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4.2270403804875319E-11</v>
      </c>
      <c r="L123" s="664">
        <f t="shared" si="4"/>
        <v>4.2270403804875319E-11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1.9171042655211198E-11</v>
      </c>
      <c r="L124" s="664">
        <f t="shared" si="4"/>
        <v>1.9171042655211198E-11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4.2129138080798124E-11</v>
      </c>
      <c r="L125" s="664">
        <f t="shared" si="4"/>
        <v>4.2129138080798124E-11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5.7610849776266043E-6</v>
      </c>
      <c r="L126" s="664">
        <f t="shared" si="4"/>
        <v>5.7610849776266043E-6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1.8970235933272708E-5</v>
      </c>
      <c r="L127" s="664">
        <f t="shared" si="4"/>
        <v>1.8970235933272708E-5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1.323307806240651E-5</v>
      </c>
      <c r="L128" s="664">
        <f t="shared" si="4"/>
        <v>1.323307806240651E-5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7.3604692909586206E-3</v>
      </c>
      <c r="L129" s="664">
        <f t="shared" si="4"/>
        <v>7.3604692909586206E-3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1.0222970376939818E-3</v>
      </c>
      <c r="L138" s="664">
        <f t="shared" si="5"/>
        <v>1.0222970376939818E-3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2.1135201902437659E-12</v>
      </c>
      <c r="L144" s="664">
        <f t="shared" si="5"/>
        <v>2.1135201902437659E-12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3.8342085310422402E-12</v>
      </c>
      <c r="L145" s="664">
        <f t="shared" si="5"/>
        <v>3.8342085310422402E-12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2.1064569040399062E-12</v>
      </c>
      <c r="L146" s="664">
        <f t="shared" si="5"/>
        <v>2.1064569040399062E-12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6.077694390583737E-8</v>
      </c>
      <c r="L155" s="664">
        <f t="shared" si="6"/>
        <v>6.077694390583737E-8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4.3683903201830158E-8</v>
      </c>
      <c r="L156" s="664">
        <f t="shared" si="6"/>
        <v>4.3683903201830158E-8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9.0459815058013851E-6</v>
      </c>
      <c r="L193" s="664">
        <f t="shared" ref="L193:L217" si="11">IF(ISBLANK(I193),IF(ISNUMBER(J193)=FALSE,K193,J193),I193)</f>
        <v>9.0459815058013851E-6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1.254003191179276E-8</v>
      </c>
      <c r="L197" s="664">
        <f t="shared" si="11"/>
        <v>1.254003191179276E-8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1.0579136849972536E-8</v>
      </c>
      <c r="L198" s="664">
        <f t="shared" si="11"/>
        <v>1.0579136849972536E-8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4.3486201567445368E-8</v>
      </c>
      <c r="L199" s="664">
        <f t="shared" si="11"/>
        <v>4.3486201567445368E-8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4.3469483354178676E-8</v>
      </c>
      <c r="L200" s="664">
        <f t="shared" si="11"/>
        <v>4.3469483354178676E-8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4.3486225145605207E-8</v>
      </c>
      <c r="L201" s="664">
        <f t="shared" si="11"/>
        <v>4.3486225145605207E-8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9.0456151799195571E-6</v>
      </c>
      <c r="L203" s="664">
        <f t="shared" si="11"/>
        <v>9.0456151799195571E-6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64">
        <f t="shared" si="11"/>
        <v>9.6658035166392018E-9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64">
        <f t="shared" si="11"/>
        <v>9.6658035166392018E-9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4.7749757215861921E-6</v>
      </c>
      <c r="L76" s="664">
        <f t="shared" ref="L76:L89" si="4">IF(ISBLANK(I76),IF(ISNUMBER(J76)=FALSE,K76,J76),I76)</f>
        <v>4.7749757215861921E-6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3.3993581694431856E-6</v>
      </c>
      <c r="L77" s="664">
        <f t="shared" si="4"/>
        <v>3.3993581694431856E-6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4.2270403804875319E-11</v>
      </c>
      <c r="L79" s="664">
        <f t="shared" si="4"/>
        <v>4.2270403804875319E-11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5.7764193011923899E-6</v>
      </c>
      <c r="L80" s="664">
        <f t="shared" si="4"/>
        <v>5.7764193011923899E-6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1.838451986374086E-5</v>
      </c>
      <c r="L81" s="664">
        <f t="shared" si="4"/>
        <v>1.838451986374086E-5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1.2632027669308876E-5</v>
      </c>
      <c r="L82" s="664">
        <f t="shared" si="4"/>
        <v>1.2632027669308876E-5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7.3598682405655235E-3</v>
      </c>
      <c r="L83" s="664">
        <f t="shared" si="4"/>
        <v>7.3598682405655235E-3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1.0222970376939818E-3</v>
      </c>
      <c r="L93" s="664">
        <f>IF(ISBLANK(I93),IF(ISNUMBER(J93)=FALSE,K93,J93),I93)</f>
        <v>1.0222970376939818E-3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2.1135201902437659E-12</v>
      </c>
      <c r="L95" s="664">
        <f>IF(ISBLANK(I95),IF(ISNUMBER(J95)=FALSE,K95,J95),I95)</f>
        <v>2.1135201902437659E-12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4.4594252600848833E-8</v>
      </c>
      <c r="L104" s="664">
        <f t="shared" si="6"/>
        <v>4.4594252600848833E-8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9.0459815058013851E-6</v>
      </c>
      <c r="L123" s="664">
        <f t="shared" ref="L123:L138" si="7">IF(ISBLANK(I123),IF(ISNUMBER(J123)=FALSE,K123,J123),I123)</f>
        <v>9.0459815058013851E-6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9.668787450953858E-9</v>
      </c>
      <c r="L126" s="664">
        <f t="shared" si="7"/>
        <v>9.668787450953858E-9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4.3486201567445368E-8</v>
      </c>
      <c r="L127" s="664">
        <f t="shared" si="7"/>
        <v>4.3486201567445368E-8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9.0456151799195571E-6</v>
      </c>
      <c r="L129" s="664">
        <f t="shared" si="7"/>
        <v>9.0456151799195571E-6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9.6658035166392018E-9</v>
      </c>
      <c r="L137" s="664">
        <f t="shared" si="7"/>
        <v>9.6658035166392018E-9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5.7639436414589887E-6</v>
      </c>
      <c r="L212" s="664">
        <f t="shared" ref="L212:L225" si="12">IF(ISBLANK(I212),IF(ISNUMBER(J212)=FALSE,K212,J212),I212)</f>
        <v>5.7639436414589887E-6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2.7554103149897485E-6</v>
      </c>
      <c r="L213" s="664">
        <f t="shared" si="12"/>
        <v>2.7554103149897485E-6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1.3393308083542548E-12</v>
      </c>
      <c r="L215" s="664">
        <f t="shared" si="12"/>
        <v>1.3393308083542548E-12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5.8781603074910724E-6</v>
      </c>
      <c r="L216" s="664">
        <f t="shared" si="12"/>
        <v>5.8781603074910724E-6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1.6685678004500911E-5</v>
      </c>
      <c r="L217" s="664">
        <f t="shared" si="12"/>
        <v>1.6685678004500911E-5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1.0843152349883652E-5</v>
      </c>
      <c r="L218" s="664">
        <f t="shared" si="12"/>
        <v>1.0843152349883652E-5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8.1841770227934568E-2</v>
      </c>
      <c r="L219" s="664">
        <f t="shared" si="12"/>
        <v>8.1841770227934568E-2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1.0103654799832984E-3</v>
      </c>
      <c r="L229" s="664">
        <f>IF(ISBLANK(I229),IF(ISNUMBER(J229)=FALSE,K229,J229),I229)</f>
        <v>1.0103654799832984E-3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6.6966540417712738E-14</v>
      </c>
      <c r="L231" s="664">
        <f>IF(ISBLANK(I231),IF(ISNUMBER(J231)=FALSE,K231,J231),I231)</f>
        <v>6.6966540417712738E-14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4.4595122549031241E-8</v>
      </c>
      <c r="L240" s="664">
        <f t="shared" si="14"/>
        <v>4.4595122549031241E-8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7.4743485216883895E-6</v>
      </c>
      <c r="L259" s="664">
        <f t="shared" ref="L259:L274" si="15">IF(ISBLANK(I259),IF(ISNUMBER(J259)=FALSE,K259,J259),I259)</f>
        <v>7.4743485216883895E-6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9.4685168992258617E-9</v>
      </c>
      <c r="L263" s="664">
        <f t="shared" si="15"/>
        <v>9.4685168992258617E-9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7.4739821958065615E-6</v>
      </c>
      <c r="L265" s="664">
        <f t="shared" si="15"/>
        <v>7.4739821958065615E-6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6.6295470258236121E-6</v>
      </c>
      <c r="L348" s="664">
        <f t="shared" ref="L348:L361" si="20">IF(ISBLANK(I348),IF(ISNUMBER(J348)=FALSE,K348,J348),I348)</f>
        <v>6.6295470258236121E-6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2.0156444088287383E-6</v>
      </c>
      <c r="L349" s="664">
        <f t="shared" si="20"/>
        <v>2.0156444088287383E-6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2.5498188135488605E-10</v>
      </c>
      <c r="L351" s="664">
        <f t="shared" si="20"/>
        <v>2.5498188135488605E-10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5.6967465230543798E-6</v>
      </c>
      <c r="L352" s="664">
        <f t="shared" si="20"/>
        <v>5.6967465230543798E-6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1.9101797991432914E-5</v>
      </c>
      <c r="L353" s="664">
        <f t="shared" si="20"/>
        <v>1.9101797991432914E-5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1.3428655079833358E-5</v>
      </c>
      <c r="L354" s="664">
        <f t="shared" si="20"/>
        <v>1.3428655079833358E-5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2.2776241738680465E-3</v>
      </c>
      <c r="L355" s="664">
        <f t="shared" si="20"/>
        <v>2.2776241738680465E-3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1.0220681730414127E-3</v>
      </c>
      <c r="L365" s="664">
        <f>IF(ISBLANK(I365),IF(ISNUMBER(J365)=FALSE,K365,J365),I365)</f>
        <v>1.0220681730414127E-3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1.2749094067744304E-11</v>
      </c>
      <c r="L367" s="664">
        <f>IF(ISBLANK(I367),IF(ISNUMBER(J367)=FALSE,K367,J367),I367)</f>
        <v>1.2749094067744304E-11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4.4595122549031241E-8</v>
      </c>
      <c r="L376" s="664">
        <f t="shared" si="22"/>
        <v>4.4595122549031241E-8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1.0057249127897143E-5</v>
      </c>
      <c r="L395" s="664">
        <f t="shared" ref="L395:L410" si="23">IF(ISBLANK(I395),IF(ISNUMBER(J395)=FALSE,K395,J395),I395)</f>
        <v>1.0057249127897143E-5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2.3802113986132248E-8</v>
      </c>
      <c r="L398" s="664">
        <f t="shared" si="23"/>
        <v>2.3802113986132248E-8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1.0705701124434139E-7</v>
      </c>
      <c r="L399" s="664">
        <f t="shared" si="23"/>
        <v>1.0705701124434139E-7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1.0056882802015316E-5</v>
      </c>
      <c r="L401" s="664">
        <f t="shared" si="23"/>
        <v>1.0056882802015316E-5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2.3799999999999998E-8</v>
      </c>
      <c r="L409" s="664">
        <f t="shared" si="23"/>
        <v>2.3799999999999998E-8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-2.5346892460087525E-5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4.2270403804875319E-11</v>
      </c>
      <c r="K9" s="179">
        <f>k.s2R.aR</f>
        <v>1.9185761529896352E-11</v>
      </c>
      <c r="L9" s="179">
        <f>k.s3R.aR</f>
        <v>4.2161483400515841E-11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2.374072651935071E-8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2.6114799171285784E-7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4.1546531074683008E-8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4.2483903201830168E-8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-7.331697581763014E-8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-5.4263040051802702E-8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1.8244019594217839E-6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-4.8108689986951184E-8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4.054226576492852E-6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-4.5574509091507214E-8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6.7570442941547551E-7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-4.811210395389431E-8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-1.8970602259154538E-5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4.2270403804875319E-11</v>
      </c>
      <c r="T18" s="691">
        <f>k.s2C.aC</f>
        <v>1.9171042655211198E-11</v>
      </c>
      <c r="U18" s="691">
        <f>k.s3C.aC</f>
        <v>4.2129138080798124E-11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1.1541526550681395E-8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1.2695679205749533E-7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4.91800198615723E-6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4.3683903201830158E-8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-7.3316975817630127E-8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-5.4263040051802696E-8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8.8680928962836139E-7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-4.8108689986951184E-8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1.9706873102852476E-6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-4.5574494372632531E-8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3.2844788504754116E-7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-4.8112071608574591E-8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-1.8384886189622687E-5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4.2270403804875319E-11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4.7749757215861921E-6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-5.4263040051802689E-8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3.3993581694431856E-6</v>
      </c>
      <c r="W31" s="376">
        <v>0</v>
      </c>
      <c r="X31" s="376">
        <v>0</v>
      </c>
      <c r="Y31" s="376">
        <v>0</v>
      </c>
      <c r="Z31" s="378">
        <f>-k.sM-SUM(Z9:Z30,Z32:Z41)</f>
        <v>-4.8108689986951184E-8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-1.6686044330382737E-5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1.3393308083542548E-12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5.7639436414589887E-6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-4.6700879209193474E-8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2.7554103149897485E-6</v>
      </c>
      <c r="AB36" s="376">
        <v>0</v>
      </c>
      <c r="AC36" s="376">
        <v>0</v>
      </c>
      <c r="AD36" s="376">
        <v>0</v>
      </c>
      <c r="AE36" s="378">
        <f>-k.sA-SUM(AE9:AE35,AE37:AE41)</f>
        <v>-1.1121190784102833E-8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-1.910216431731474E-5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2.5498188135488605E-10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6.6295470258236121E-6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-6.8397236535163485E-8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2.0156444088287383E-6</v>
      </c>
      <c r="AG41" s="373">
        <v>0</v>
      </c>
      <c r="AH41" s="373">
        <v>0</v>
      </c>
      <c r="AI41" s="373">
        <v>0</v>
      </c>
      <c r="AJ41" s="381">
        <f>-k.sT-SUM(AJ9:AJ40)</f>
        <v>-1.1579738907737564E-7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64262444.266394272</v>
      </c>
      <c r="D45" s="370">
        <f t="array" ref="D45:AJ45">TRANSPOSE(MMULT(MINVERSE(D9:AJ41),-TRANSPOSE(D5:AJ5)))</f>
        <v>56181.082185501655</v>
      </c>
      <c r="E45" s="370">
        <v>97594.390889735601</v>
      </c>
      <c r="F45" s="370">
        <v>9210831.7685784884</v>
      </c>
      <c r="G45" s="370">
        <v>460675.44405442232</v>
      </c>
      <c r="H45" s="370">
        <v>3323310.8863851656</v>
      </c>
      <c r="I45" s="370">
        <v>42017.389011381521</v>
      </c>
      <c r="J45" s="370">
        <v>2130527.2799875941</v>
      </c>
      <c r="K45" s="370">
        <v>36028859.335921392</v>
      </c>
      <c r="L45" s="370">
        <v>789028.18547442928</v>
      </c>
      <c r="M45" s="370">
        <v>27915.070468963924</v>
      </c>
      <c r="N45" s="370">
        <v>8976.3391040563729</v>
      </c>
      <c r="O45" s="370">
        <v>53882.835101446595</v>
      </c>
      <c r="P45" s="370">
        <v>6543912.1885981001</v>
      </c>
      <c r="Q45" s="370">
        <v>19441.177190186601</v>
      </c>
      <c r="R45" s="370">
        <v>29842.930379002908</v>
      </c>
      <c r="S45" s="370">
        <v>514571.14752494998</v>
      </c>
      <c r="T45" s="370">
        <v>1207075.9291174996</v>
      </c>
      <c r="U45" s="370">
        <v>190568.51118525164</v>
      </c>
      <c r="V45" s="370">
        <v>2101.8369945850482</v>
      </c>
      <c r="W45" s="370">
        <v>607700.43515700428</v>
      </c>
      <c r="X45" s="370">
        <v>1591247.051728094</v>
      </c>
      <c r="Y45" s="370">
        <v>483.78272417587129</v>
      </c>
      <c r="Z45" s="370">
        <v>148515.72055523749</v>
      </c>
      <c r="AA45" s="370">
        <v>47.782298209085482</v>
      </c>
      <c r="AB45" s="370">
        <v>114882.32181431957</v>
      </c>
      <c r="AC45" s="370">
        <v>1036924.8499684964</v>
      </c>
      <c r="AD45" s="370">
        <v>366.30183183444655</v>
      </c>
      <c r="AE45" s="370">
        <v>11838.64569137967</v>
      </c>
      <c r="AF45" s="370">
        <v>72.308850831250027</v>
      </c>
      <c r="AG45" s="370">
        <v>1244.8484354457992</v>
      </c>
      <c r="AH45" s="370">
        <v>10545.290932171378</v>
      </c>
      <c r="AI45" s="370">
        <v>2.5435300658567139</v>
      </c>
      <c r="AJ45" s="371">
        <v>1258.6547248440218</v>
      </c>
    </row>
    <row r="46" spans="1:36" ht="12.75" customHeight="1" x14ac:dyDescent="0.2">
      <c r="B46" s="255" t="s">
        <v>2410</v>
      </c>
      <c r="C46" s="531">
        <f>SUM(D46:AJ46)</f>
        <v>67518418.334436014</v>
      </c>
      <c r="D46" s="383">
        <f>D45</f>
        <v>56181.082185501655</v>
      </c>
      <c r="E46" s="383"/>
      <c r="F46" s="383">
        <f t="shared" ref="F46:AJ46" si="0">F45</f>
        <v>9210831.7685784884</v>
      </c>
      <c r="G46" s="383">
        <f t="shared" si="0"/>
        <v>460675.44405442232</v>
      </c>
      <c r="H46" s="383">
        <f t="shared" si="0"/>
        <v>3323310.8863851656</v>
      </c>
      <c r="I46" s="383">
        <f t="shared" si="0"/>
        <v>42017.389011381521</v>
      </c>
      <c r="J46" s="383">
        <f t="shared" si="0"/>
        <v>2130527.2799875941</v>
      </c>
      <c r="K46" s="383">
        <f t="shared" si="0"/>
        <v>36028859.335921392</v>
      </c>
      <c r="L46" s="383">
        <f t="shared" si="0"/>
        <v>789028.18547442928</v>
      </c>
      <c r="M46" s="383">
        <f t="shared" si="0"/>
        <v>27915.070468963924</v>
      </c>
      <c r="N46" s="383"/>
      <c r="O46" s="383">
        <f t="shared" si="0"/>
        <v>53882.835101446595</v>
      </c>
      <c r="P46" s="383">
        <f t="shared" si="0"/>
        <v>6543912.1885981001</v>
      </c>
      <c r="Q46" s="383">
        <f t="shared" si="0"/>
        <v>19441.177190186601</v>
      </c>
      <c r="R46" s="383">
        <f t="shared" si="0"/>
        <v>29842.930379002908</v>
      </c>
      <c r="S46" s="383">
        <f t="shared" si="0"/>
        <v>514571.14752494998</v>
      </c>
      <c r="T46" s="383">
        <f t="shared" si="0"/>
        <v>1207075.9291174996</v>
      </c>
      <c r="U46" s="383">
        <f t="shared" si="0"/>
        <v>190568.51118525164</v>
      </c>
      <c r="V46" s="383">
        <f t="shared" si="0"/>
        <v>2101.8369945850482</v>
      </c>
      <c r="W46" s="383">
        <f>SUM(W45:X45)</f>
        <v>2198947.4868850983</v>
      </c>
      <c r="X46" s="383">
        <f>SUM(W45:X45)</f>
        <v>2198947.4868850983</v>
      </c>
      <c r="Y46" s="383">
        <f t="shared" si="0"/>
        <v>483.78272417587129</v>
      </c>
      <c r="Z46" s="383">
        <f t="shared" si="0"/>
        <v>148515.72055523749</v>
      </c>
      <c r="AA46" s="383">
        <f t="shared" si="0"/>
        <v>47.782298209085482</v>
      </c>
      <c r="AB46" s="383">
        <f>SUM(AB45:AC45)</f>
        <v>1151807.1717828158</v>
      </c>
      <c r="AC46" s="383">
        <f>SUM(AB45:AC45)</f>
        <v>1151807.1717828158</v>
      </c>
      <c r="AD46" s="383">
        <f t="shared" si="0"/>
        <v>366.30183183444655</v>
      </c>
      <c r="AE46" s="383">
        <f t="shared" si="0"/>
        <v>11838.64569137967</v>
      </c>
      <c r="AF46" s="383">
        <f t="shared" si="0"/>
        <v>72.308850831250027</v>
      </c>
      <c r="AG46" s="383">
        <f>SUM(AG45:AH45)</f>
        <v>11790.139367617177</v>
      </c>
      <c r="AH46" s="383">
        <f>SUM(AG45:AH45)</f>
        <v>11790.139367617177</v>
      </c>
      <c r="AI46" s="383">
        <f t="shared" si="0"/>
        <v>2.5435300658567139</v>
      </c>
      <c r="AJ46" s="384">
        <f t="shared" si="0"/>
        <v>1258.6547248440218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-1.0779106321254015</v>
      </c>
      <c r="E48" s="515" t="e">
        <f t="shared" ref="E48:AJ48" si="1">IF(E49&gt;0.0001,LOG(E46/E47),"")</f>
        <v>#DIV/0!</v>
      </c>
      <c r="F48" s="515">
        <f t="shared" si="1"/>
        <v>0.88787199216882196</v>
      </c>
      <c r="G48" s="515">
        <f t="shared" si="1"/>
        <v>1.0537337929743671</v>
      </c>
      <c r="H48" s="515">
        <f t="shared" si="1"/>
        <v>1.3123505515302578</v>
      </c>
      <c r="I48" s="515">
        <f t="shared" si="1"/>
        <v>1.4643435466975379</v>
      </c>
      <c r="J48" s="515">
        <f t="shared" si="1"/>
        <v>2.9723775408968467</v>
      </c>
      <c r="K48" s="515">
        <f t="shared" si="1"/>
        <v>0.24245175159301274</v>
      </c>
      <c r="L48" s="515">
        <f t="shared" si="1"/>
        <v>2.9723467228803933</v>
      </c>
      <c r="M48" s="515">
        <f t="shared" si="1"/>
        <v>-2.1217052637137774</v>
      </c>
      <c r="N48" s="515" t="e">
        <f t="shared" si="1"/>
        <v>#DIV/0!</v>
      </c>
      <c r="O48" s="515">
        <f t="shared" si="1"/>
        <v>1.2131667238559827</v>
      </c>
      <c r="P48" s="515">
        <f t="shared" si="1"/>
        <v>0.5857293595077957</v>
      </c>
      <c r="Q48" s="515">
        <f t="shared" si="1"/>
        <v>1.6379960131219067</v>
      </c>
      <c r="R48" s="515">
        <f t="shared" si="1"/>
        <v>0.99649581230211892</v>
      </c>
      <c r="S48" s="515">
        <f t="shared" si="1"/>
        <v>1.9007941224125318</v>
      </c>
      <c r="T48" s="515">
        <f t="shared" si="1"/>
        <v>1.484186156615831</v>
      </c>
      <c r="U48" s="515">
        <f t="shared" si="1"/>
        <v>1.9007635963683147</v>
      </c>
      <c r="V48" s="515" t="str">
        <f t="shared" si="1"/>
        <v/>
      </c>
      <c r="W48" s="515">
        <f t="shared" si="1"/>
        <v>-0.30748908276356807</v>
      </c>
      <c r="X48" s="515">
        <f t="shared" si="1"/>
        <v>-0.30748908276356807</v>
      </c>
      <c r="Y48" s="515" t="str">
        <f t="shared" si="1"/>
        <v/>
      </c>
      <c r="Z48" s="515">
        <f t="shared" si="1"/>
        <v>0.56434349580822663</v>
      </c>
      <c r="AA48" s="515" t="str">
        <f t="shared" si="1"/>
        <v/>
      </c>
      <c r="AB48" s="515">
        <f t="shared" si="1"/>
        <v>-1.2444688058107352</v>
      </c>
      <c r="AC48" s="515">
        <f t="shared" si="1"/>
        <v>-1.2444688058107352</v>
      </c>
      <c r="AD48" s="515" t="str">
        <f t="shared" si="1"/>
        <v/>
      </c>
      <c r="AE48" s="515">
        <f t="shared" si="1"/>
        <v>-0.5922375724870873</v>
      </c>
      <c r="AF48" s="515" t="str">
        <f t="shared" si="1"/>
        <v/>
      </c>
      <c r="AG48" s="515" t="str">
        <f t="shared" si="1"/>
        <v/>
      </c>
      <c r="AH48" s="515">
        <f t="shared" si="1"/>
        <v>-1.9699582002511535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0.99999999999999967</v>
      </c>
      <c r="D49" s="151">
        <f t="shared" ref="D49:AJ49" si="2">D45/SUM($D45:$AJ45)</f>
        <v>8.7424440241656474E-4</v>
      </c>
      <c r="E49" s="151">
        <f t="shared" si="2"/>
        <v>1.5186846999651414E-3</v>
      </c>
      <c r="F49" s="151">
        <f t="shared" si="2"/>
        <v>0.14333148814563917</v>
      </c>
      <c r="G49" s="151">
        <f t="shared" si="2"/>
        <v>7.1686573598839943E-3</v>
      </c>
      <c r="H49" s="151">
        <f t="shared" si="2"/>
        <v>5.1714666697218588E-2</v>
      </c>
      <c r="I49" s="151">
        <f t="shared" si="2"/>
        <v>6.5384050499545511E-4</v>
      </c>
      <c r="J49" s="151">
        <f t="shared" si="2"/>
        <v>3.3153536319839964E-2</v>
      </c>
      <c r="K49" s="151">
        <f t="shared" si="2"/>
        <v>0.56065186668852718</v>
      </c>
      <c r="L49" s="151">
        <f t="shared" si="2"/>
        <v>1.2278216219158779E-2</v>
      </c>
      <c r="M49" s="151">
        <f t="shared" si="2"/>
        <v>4.3439166977907769E-4</v>
      </c>
      <c r="N49" s="151">
        <f t="shared" si="2"/>
        <v>1.3968250362288981E-4</v>
      </c>
      <c r="O49" s="151">
        <f t="shared" si="2"/>
        <v>8.3848094663315441E-4</v>
      </c>
      <c r="P49" s="151">
        <f t="shared" si="2"/>
        <v>0.1018310502082817</v>
      </c>
      <c r="Q49" s="151">
        <f t="shared" si="2"/>
        <v>3.025278202863701E-4</v>
      </c>
      <c r="R49" s="151">
        <f t="shared" si="2"/>
        <v>4.6439146097978601E-4</v>
      </c>
      <c r="S49" s="151">
        <f t="shared" si="2"/>
        <v>8.0073385536323649E-3</v>
      </c>
      <c r="T49" s="151">
        <f t="shared" si="2"/>
        <v>1.8783535903391307E-2</v>
      </c>
      <c r="U49" s="151">
        <f t="shared" si="2"/>
        <v>2.9654724989181358E-3</v>
      </c>
      <c r="V49" s="151">
        <f t="shared" si="2"/>
        <v>3.2707081384456354E-5</v>
      </c>
      <c r="W49" s="151">
        <f t="shared" si="2"/>
        <v>9.456540940737267E-3</v>
      </c>
      <c r="X49" s="151">
        <f t="shared" si="2"/>
        <v>2.4761695106580762E-2</v>
      </c>
      <c r="Y49" s="151">
        <f t="shared" si="2"/>
        <v>7.5282340984478094E-6</v>
      </c>
      <c r="Z49" s="151">
        <f t="shared" si="2"/>
        <v>2.3110811026667258E-3</v>
      </c>
      <c r="AA49" s="151">
        <f t="shared" si="2"/>
        <v>7.4354934292583391E-7</v>
      </c>
      <c r="AB49" s="151">
        <f t="shared" si="2"/>
        <v>1.7877054495170628E-3</v>
      </c>
      <c r="AC49" s="151">
        <f t="shared" si="2"/>
        <v>1.6135782910310977E-2</v>
      </c>
      <c r="AD49" s="151">
        <f t="shared" si="2"/>
        <v>5.7000918034797238E-6</v>
      </c>
      <c r="AE49" s="151">
        <f t="shared" si="2"/>
        <v>1.8422339558550889E-4</v>
      </c>
      <c r="AF49" s="151">
        <f t="shared" si="2"/>
        <v>1.1252116482140032E-6</v>
      </c>
      <c r="AG49" s="151">
        <f t="shared" si="2"/>
        <v>1.9371320989369628E-5</v>
      </c>
      <c r="AH49" s="151">
        <f t="shared" si="2"/>
        <v>1.6409725855519606E-4</v>
      </c>
      <c r="AI49" s="151">
        <f t="shared" si="2"/>
        <v>3.9580350465860518E-8</v>
      </c>
      <c r="AJ49" s="253">
        <f t="shared" si="2"/>
        <v>1.9586163259311769E-5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2.4472310051618962E-10</v>
      </c>
      <c r="E50" s="179">
        <f t="shared" si="3"/>
        <v>1.7079125150235919E-6</v>
      </c>
      <c r="F50" s="179">
        <f t="shared" si="3"/>
        <v>4.8845625270043866E-4</v>
      </c>
      <c r="G50" s="179">
        <f t="shared" si="3"/>
        <v>4.6067544405442179E-5</v>
      </c>
      <c r="H50" s="179">
        <f t="shared" si="3"/>
        <v>1.7623728485194064E-2</v>
      </c>
      <c r="I50" s="179">
        <f t="shared" si="3"/>
        <v>1.4005796337127161E-3</v>
      </c>
      <c r="J50" s="179">
        <f t="shared" si="3"/>
        <v>6.9045297088260308E-4</v>
      </c>
      <c r="K50" s="179">
        <f t="shared" si="3"/>
        <v>1.3135603730411323E-3</v>
      </c>
      <c r="L50" s="179">
        <f t="shared" si="3"/>
        <v>6.9040397731498385E-4</v>
      </c>
      <c r="M50" s="179">
        <f t="shared" si="3"/>
        <v>3.8774970266297081E-12</v>
      </c>
      <c r="N50" s="179">
        <f t="shared" si="3"/>
        <v>1.0300345516783757E-8</v>
      </c>
      <c r="O50" s="179">
        <f t="shared" si="3"/>
        <v>1.8736524738855726E-7</v>
      </c>
      <c r="P50" s="179">
        <f t="shared" si="3"/>
        <v>8.8111899690555319E-9</v>
      </c>
      <c r="Q50" s="179">
        <f t="shared" si="3"/>
        <v>6.7602251568724451E-6</v>
      </c>
      <c r="R50" s="179">
        <f t="shared" si="3"/>
        <v>2.6788432895014652E-7</v>
      </c>
      <c r="S50" s="179">
        <f t="shared" si="3"/>
        <v>1.0934633057783612E-5</v>
      </c>
      <c r="T50" s="179">
        <f t="shared" si="3"/>
        <v>2.8856648830638129E-6</v>
      </c>
      <c r="U50" s="179">
        <f t="shared" si="3"/>
        <v>1.0933864502401237E-5</v>
      </c>
      <c r="V50" s="179">
        <f t="shared" si="3"/>
        <v>2.7095591359897427E-14</v>
      </c>
      <c r="W50" s="179">
        <f t="shared" si="3"/>
        <v>1.5668201390181362E-10</v>
      </c>
      <c r="X50" s="179">
        <f t="shared" si="3"/>
        <v>1.3675586317221541E-11</v>
      </c>
      <c r="Y50" s="179">
        <f t="shared" si="3"/>
        <v>4.1577531258032626E-10</v>
      </c>
      <c r="Z50" s="179">
        <f t="shared" si="3"/>
        <v>7.6582937402905305E-8</v>
      </c>
      <c r="AA50" s="179">
        <f t="shared" si="3"/>
        <v>1.1242893696255408E-15</v>
      </c>
      <c r="AB50" s="179">
        <f t="shared" si="3"/>
        <v>4.5051890907576301E-11</v>
      </c>
      <c r="AC50" s="179">
        <f t="shared" si="3"/>
        <v>1.3554573202202567E-11</v>
      </c>
      <c r="AD50" s="179">
        <f t="shared" si="3"/>
        <v>4.7882592396659678E-10</v>
      </c>
      <c r="AE50" s="179">
        <f t="shared" si="3"/>
        <v>1.3927818460446671E-8</v>
      </c>
      <c r="AF50" s="179">
        <f t="shared" si="3"/>
        <v>5.6712824181372565E-16</v>
      </c>
      <c r="AG50" s="179">
        <f t="shared" si="3"/>
        <v>1.3947881629644811E-13</v>
      </c>
      <c r="AH50" s="179">
        <f t="shared" si="3"/>
        <v>3.9384840082806273E-14</v>
      </c>
      <c r="AI50" s="179">
        <f t="shared" si="3"/>
        <v>9.4996454373733473E-13</v>
      </c>
      <c r="AJ50" s="380">
        <f t="shared" si="3"/>
        <v>6.5812011756550139E-10</v>
      </c>
    </row>
    <row r="51" spans="1:36" ht="12.75" customHeight="1" x14ac:dyDescent="0.2">
      <c r="B51" s="141" t="s">
        <v>703</v>
      </c>
      <c r="C51" s="254"/>
      <c r="D51" s="385">
        <f>D50*8.314*TEMP.R</f>
        <v>5.7986893944210613E-7</v>
      </c>
      <c r="E51" s="385">
        <f>E50*Kaw.R*8.314*TEMP.R</f>
        <v>1.9893930055292709E-10</v>
      </c>
      <c r="F51" s="385">
        <f>F50*Kaw.R*8.314*TEMP.R</f>
        <v>5.6895856437697455E-8</v>
      </c>
      <c r="G51" s="385">
        <f>G50*Kaw.R*8.314*TEMP.R</f>
        <v>5.3659920994741256E-9</v>
      </c>
      <c r="H51" s="385">
        <f>H50*Kaw.R/Ksdw1.R*8.314*TEMP.R</f>
        <v>7.7730715393961292E-8</v>
      </c>
      <c r="I51" s="385">
        <f>I50*Kaw.R/Ksdw2.R*8.314*TEMP.R</f>
        <v>6.2193838770325454E-9</v>
      </c>
      <c r="J51" s="385">
        <f>J50*Kaw.R/Ks1w.R*8.314*TEMP.R</f>
        <v>2.5981016686965054E-9</v>
      </c>
      <c r="K51" s="385">
        <f>K50*Kaw.R/Ks2w.R*8.314*TEMP.R</f>
        <v>4.9465854236399407E-9</v>
      </c>
      <c r="L51" s="385">
        <f>L50*Kaw.R/Ks3w.R*8.314*TEMP.R</f>
        <v>2.5999126653787988E-9</v>
      </c>
      <c r="M51" s="385">
        <f>M50*8.314*TEMP.C</f>
        <v>9.1876904296288269E-9</v>
      </c>
      <c r="N51" s="385">
        <f>N50*Kaw.C*8.314*TEMP.C</f>
        <v>1.1997942017153808E-12</v>
      </c>
      <c r="O51" s="385">
        <f>O50*Kaw.C*8.314*TEMP.C</f>
        <v>2.1824485115908208E-11</v>
      </c>
      <c r="P51" s="385">
        <f>P50*Kaw.C*8.314*TEMP.C</f>
        <v>1.0263359241551444E-12</v>
      </c>
      <c r="Q51" s="385">
        <f>Q50*Kaw.C/Ksdw1.C*8.314*TEMP.C</f>
        <v>2.9816456722503979E-11</v>
      </c>
      <c r="R51" s="385">
        <f>R50*Kaw.C/Ksdw2.C*8.314*TEMP.C</f>
        <v>1.1895614046348229E-12</v>
      </c>
      <c r="S51" s="385">
        <f>S50*Kaw.C/Ks1w.C*8.314*TEMP.C</f>
        <v>4.1145870308438385E-11</v>
      </c>
      <c r="T51" s="385">
        <f>T50*Kaw.C/Ks2w.C*8.314*TEMP.C</f>
        <v>1.0866792376680604E-11</v>
      </c>
      <c r="U51" s="385">
        <f>U50*Kaw.C/Ks3w.C*8.314*TEMP.C</f>
        <v>4.1174578558893936E-11</v>
      </c>
      <c r="V51" s="385">
        <f>V50*8.314*TEMP.M</f>
        <v>6.4202732771363352E-11</v>
      </c>
      <c r="W51" s="385">
        <f>W50*Kaw.M*8.314*TEMP.M</f>
        <v>1.8250472422131204E-14</v>
      </c>
      <c r="X51" s="385">
        <f>X50*Kaw.M*8.314*TEMP.M</f>
        <v>1.5929455125291669E-15</v>
      </c>
      <c r="Y51" s="385">
        <f>Y50*Kaw.M/Ksdw.M*8.314*TEMP.M</f>
        <v>1.8462829340703203E-15</v>
      </c>
      <c r="Z51" s="372">
        <f>Z50*Kaw.M/Kslw.M*8.314*TEMP.M</f>
        <v>2.8817351195668757E-13</v>
      </c>
      <c r="AA51" s="385">
        <f>AA50*8.314*TEMP.A</f>
        <v>2.4583508984145541E-12</v>
      </c>
      <c r="AB51" s="385">
        <f>AB50*Kaw.A*8.314*TEMP.A</f>
        <v>1.5338690594169408E-16</v>
      </c>
      <c r="AC51" s="385">
        <f>AC50*Kaw.A*8.314*TEMP.A</f>
        <v>4.6148874175143977E-17</v>
      </c>
      <c r="AD51" s="385">
        <f>AD50*Kaw.A/Ksdw.A*8.314*TEMP.A</f>
        <v>6.2149481468014004E-17</v>
      </c>
      <c r="AE51" s="372">
        <f>AE50*Kaw.A/Kslw.A*8.314*TEMP.A</f>
        <v>1.5318824274260407E-15</v>
      </c>
      <c r="AF51" s="385">
        <f>AF50*8.314*TEMP.T</f>
        <v>1.405101052326916E-12</v>
      </c>
      <c r="AG51" s="385">
        <f>AG50*Kaw.T*8.314*TEMP.T</f>
        <v>1.0252946663645116E-16</v>
      </c>
      <c r="AH51" s="385">
        <f>AH50*Kaw.T*8.314*TEMP.T</f>
        <v>2.8951397455721615E-17</v>
      </c>
      <c r="AI51" s="385">
        <f>AI50*Kaw.T/Ksdw.T*8.314*TEMP.T</f>
        <v>2.6621494466138916E-17</v>
      </c>
      <c r="AJ51" s="386">
        <f>AJ50*Kaw.T/Kslw.T*8.314*TEMP.T</f>
        <v>1.5628334012178812E-14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-0.90601371044303824</v>
      </c>
      <c r="E55" s="370">
        <f t="shared" ref="E55:AJ55" si="4">E9*E$45</f>
        <v>1.8479248357793882E-7</v>
      </c>
      <c r="F55" s="370">
        <f t="shared" si="4"/>
        <v>5.8048918881194688E-4</v>
      </c>
      <c r="G55" s="370">
        <f t="shared" si="4"/>
        <v>8.461717223481817E-6</v>
      </c>
      <c r="H55" s="389">
        <f t="shared" si="4"/>
        <v>0</v>
      </c>
      <c r="I55" s="389">
        <f t="shared" si="4"/>
        <v>0</v>
      </c>
      <c r="J55" s="370">
        <f t="shared" si="4"/>
        <v>9.0058248442378267E-5</v>
      </c>
      <c r="K55" s="370">
        <f t="shared" si="4"/>
        <v>6.9124110341316767E-4</v>
      </c>
      <c r="L55" s="370">
        <f t="shared" si="4"/>
        <v>3.3266598744419282E-5</v>
      </c>
      <c r="M55" s="370">
        <f t="shared" si="4"/>
        <v>8.3854059291366325E-3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1.3337797077271609E-3</v>
      </c>
      <c r="E56" s="378">
        <f>SUM(D56,F56:AJ56)-SUM(E55,E57:E87)</f>
        <v>8.4767521489691501E-3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8.1318995256179211E-4</v>
      </c>
      <c r="K56" s="376">
        <f t="shared" si="6"/>
        <v>6.26253625710758E-3</v>
      </c>
      <c r="L56" s="376">
        <f t="shared" si="6"/>
        <v>3.0139018029871201E-4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1.4671576784998771E-2</v>
      </c>
      <c r="E57" s="179">
        <f t="shared" ref="E57:E87" si="7">E11*E$45</f>
        <v>2.3395915624251684E-4</v>
      </c>
      <c r="F57" s="378">
        <f>SUM(D57:E57,G57:AJ57)-SUM(F55:F56,F58:F87)</f>
        <v>-0.61538532425266212</v>
      </c>
      <c r="G57" s="376">
        <f t="shared" ref="G57:AJ57" si="8">G11*G$45</f>
        <v>0</v>
      </c>
      <c r="H57" s="179">
        <f t="shared" si="8"/>
        <v>0.20191042499252532</v>
      </c>
      <c r="I57" s="376">
        <f t="shared" si="8"/>
        <v>0</v>
      </c>
      <c r="J57" s="179">
        <f t="shared" si="8"/>
        <v>8.9450894781797144E-3</v>
      </c>
      <c r="K57" s="179">
        <f t="shared" si="8"/>
        <v>6.8887898828183386E-2</v>
      </c>
      <c r="L57" s="179">
        <f t="shared" si="8"/>
        <v>3.3152919832858327E-3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2.3341290768292646E-3</v>
      </c>
      <c r="E58" s="179">
        <f t="shared" si="7"/>
        <v>0</v>
      </c>
      <c r="F58" s="179">
        <f t="shared" ref="F58:F87" si="9">F12*F$45</f>
        <v>0.66911397239569748</v>
      </c>
      <c r="G58" s="378">
        <f>SUM(D58:F58,H58:AJ58)-SUM(G55:G57,G59:G87)</f>
        <v>3.9995033620053744E-2</v>
      </c>
      <c r="H58" s="376">
        <f t="shared" ref="H58:N58" si="10">H12*H$45</f>
        <v>0</v>
      </c>
      <c r="I58" s="179">
        <f t="shared" si="10"/>
        <v>1.7850626875531752E-3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1.086304302631014E-4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0.24365510389156822</v>
      </c>
      <c r="G59" s="376">
        <f t="shared" ref="G59:G87" si="12">G13*G$45</f>
        <v>0</v>
      </c>
      <c r="H59" s="378">
        <f>SUM(D59:G59,I59:AJ59)-SUM(H55:H58,H60:H87)</f>
        <v>4.1744678899042903E-2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2.2799912627967703E-3</v>
      </c>
      <c r="H60" s="376">
        <f t="shared" ref="H60:H87" si="15">H14*H$45</f>
        <v>0</v>
      </c>
      <c r="I60" s="378">
        <f>SUM(D60:H60,J60:AJ60)-SUM(I55:I59,I61:I87)</f>
        <v>4.9492857524359511E-4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0.10249687642166549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9.2648538742481606E-2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0.22777083649258992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0.15192916030388579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3.7961806082098329E-2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3.4311857319769365E-2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0.52923381345538489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0.25251921119538984</v>
      </c>
      <c r="N64" s="179">
        <f>N18*N$45</f>
        <v>1.6996468560887406E-8</v>
      </c>
      <c r="O64" s="179">
        <f>O18*O$45</f>
        <v>3.3958283057159603E-6</v>
      </c>
      <c r="P64" s="179">
        <f t="shared" ref="P64:AJ64" si="25">P18*P$45</f>
        <v>6.0099507353675689E-6</v>
      </c>
      <c r="Q64" s="376">
        <f t="shared" si="25"/>
        <v>0</v>
      </c>
      <c r="R64" s="376">
        <f t="shared" si="25"/>
        <v>0</v>
      </c>
      <c r="S64" s="179">
        <f t="shared" si="25"/>
        <v>2.1751130192217703E-5</v>
      </c>
      <c r="T64" s="179">
        <f t="shared" si="25"/>
        <v>2.3140904125190275E-5</v>
      </c>
      <c r="U64" s="179">
        <f t="shared" si="25"/>
        <v>8.0284871215755882E-6</v>
      </c>
      <c r="V64" s="179">
        <f t="shared" si="25"/>
        <v>2.6954215065145572E-4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3.2218252698168931E-4</v>
      </c>
      <c r="N65" s="378">
        <f>SUM(D65:M65,O65:AJ65)-SUM(N55:N64,N66:N87)</f>
        <v>7.7965753048404342E-4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1.9640400335447364E-4</v>
      </c>
      <c r="T65" s="376">
        <f t="shared" si="27"/>
        <v>2.0981393556479745E-4</v>
      </c>
      <c r="U65" s="376">
        <f t="shared" si="27"/>
        <v>7.2792682191505167E-5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3.5440077967985816E-3</v>
      </c>
      <c r="N66" s="179">
        <f t="shared" ref="N66:N87" si="28">N20*N$45</f>
        <v>2.1518621139861171E-5</v>
      </c>
      <c r="O66" s="378">
        <f>SUM(D66:N66,P66:AJ66)-SUM(O55:O65,O67:O87)</f>
        <v>4.6731762565224641E-3</v>
      </c>
      <c r="P66" s="376">
        <f t="shared" ref="P66:AJ66" si="29">P20*P$45</f>
        <v>0</v>
      </c>
      <c r="Q66" s="179">
        <f t="shared" si="29"/>
        <v>1.1815753355514161E-3</v>
      </c>
      <c r="R66" s="376">
        <f t="shared" si="29"/>
        <v>0</v>
      </c>
      <c r="S66" s="179">
        <f t="shared" si="29"/>
        <v>2.1604440368992099E-3</v>
      </c>
      <c r="T66" s="179">
        <f t="shared" si="29"/>
        <v>2.307953291212772E-3</v>
      </c>
      <c r="U66" s="179">
        <f t="shared" si="29"/>
        <v>8.007195041065566E-4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0.63105830799026907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0.13728637201008362</v>
      </c>
      <c r="N67" s="179">
        <f t="shared" si="28"/>
        <v>0</v>
      </c>
      <c r="O67" s="179">
        <f t="shared" ref="O67:O87" si="30">O21*O$45</f>
        <v>3.9142781829610441E-3</v>
      </c>
      <c r="P67" s="378">
        <f>SUM(D67:O67,Q67:AJ67)-SUM(P55:P66,P68:P87)</f>
        <v>0.56813097239613652</v>
      </c>
      <c r="Q67" s="376">
        <f t="shared" ref="Q67:AJ67" si="31">Q21*Q$45</f>
        <v>0</v>
      </c>
      <c r="R67" s="179">
        <f t="shared" si="31"/>
        <v>1.3036556819353195E-3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3.6877608207021369E-3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1.4253683179191738E-3</v>
      </c>
      <c r="P68" s="376">
        <f t="shared" ref="P68:P87" si="32">P22*P$45</f>
        <v>0</v>
      </c>
      <c r="Q68" s="378">
        <f>SUM(D68:P68,R68:AJ68)-SUM(Q55:Q67,Q69:Q87)</f>
        <v>2.4379298236775772E-4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1.6193681264189939E-3</v>
      </c>
      <c r="Q69" s="376">
        <f t="shared" ref="Q69:Q87" si="34">Q23*Q$45</f>
        <v>0</v>
      </c>
      <c r="R69" s="378">
        <f>SUM(D69:Q69,S69:AJ69)-SUM(R55:R68,R70:R87)</f>
        <v>3.1571244448367437E-4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2.4755343812507546E-2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2.2376744642061644E-2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5.501187513890566E-2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5.2470967008002897E-2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9.1686458564842737E-3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8.2871051830646358E-3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3.8572654636697061E-2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1.9013178581225511E-2</v>
      </c>
      <c r="W73" s="179">
        <f t="shared" ref="W73:AJ73" si="43">W27*W$45</f>
        <v>1.1162282047484045E-6</v>
      </c>
      <c r="X73" s="376">
        <f t="shared" si="43"/>
        <v>0</v>
      </c>
      <c r="Y73" s="376">
        <f t="shared" si="43"/>
        <v>0</v>
      </c>
      <c r="Z73" s="179">
        <f t="shared" si="43"/>
        <v>6.2778194792419104E-6</v>
      </c>
      <c r="AA73" s="179">
        <f t="shared" si="43"/>
        <v>3.3081684846630425E-5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2.8903565357027494E-5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0.20738539378239729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1.0036220619875294E-2</v>
      </c>
      <c r="W74" s="378">
        <f>SUM(D74:V74,X74:AJ74)-SUM(W55:W73,W75:W87)</f>
        <v>5.2759485335524853E-2</v>
      </c>
      <c r="X74" s="376">
        <f t="shared" ref="X74:AJ74" si="45">X28*X$45</f>
        <v>1.3213284157797135E-2</v>
      </c>
      <c r="Y74" s="376">
        <f t="shared" si="45"/>
        <v>0</v>
      </c>
      <c r="Z74" s="179">
        <f t="shared" si="45"/>
        <v>6.8023437890190567E-4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2.0921822444467217E-5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0.15138539029171233</v>
      </c>
      <c r="X75" s="378">
        <f>SUM(D75:W75,Y75:AJ75)-SUM(X55:X74,X76:X87)</f>
        <v>0.13814927657432985</v>
      </c>
      <c r="Y75" s="376">
        <f t="shared" ref="Y75:AJ75" si="47">Y29*Y$45</f>
        <v>2.157392900582558E-5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2.0331859803303853E-3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2.6251521338325517E-5</v>
      </c>
      <c r="Y76" s="378">
        <f>SUM(D76:X76,Z76:AJ76)-SUM(Y55:Y75,Y77:Y87)</f>
        <v>4.6775923324999363E-6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7.1448967583805966E-3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6.4583845599994489E-3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7.9727500616656732E-4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3.5714154998195185E-4</v>
      </c>
      <c r="AB78" s="179">
        <f t="shared" ref="AB78:AJ78" si="53">AB32*AB$45</f>
        <v>6.684094897129757E-9</v>
      </c>
      <c r="AC78" s="376">
        <f t="shared" si="53"/>
        <v>0</v>
      </c>
      <c r="AD78" s="376">
        <f t="shared" si="53"/>
        <v>0</v>
      </c>
      <c r="AE78" s="179">
        <f t="shared" si="53"/>
        <v>1.585586290365515E-8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2.3502302085272042E-2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2.754144739365555E-4</v>
      </c>
      <c r="AB79" s="378">
        <f>SUM(D79:AA79,AC79:AJ79)-SUM(AB55:AB78,AB80:AB87)</f>
        <v>2.1706920557487755E-3</v>
      </c>
      <c r="AC79" s="376">
        <f t="shared" ref="AC79:AJ79" si="55">AC33*AC$45</f>
        <v>9.3067890244416113E-3</v>
      </c>
      <c r="AD79" s="376">
        <f t="shared" si="55"/>
        <v>0</v>
      </c>
      <c r="AE79" s="179">
        <f t="shared" si="55"/>
        <v>1.9549564703550799E-5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3.0933356408510089E-2</v>
      </c>
      <c r="AC80" s="378">
        <f>SUM(D80:AB80,AD80:AJ80)-SUM(AC55:AC79,AC81:AC87)</f>
        <v>1.9592610061216077E-2</v>
      </c>
      <c r="AD80" s="376">
        <f t="shared" ref="AD80:AJ80" si="57">AD34*AD$45</f>
        <v>1.6335275080591777E-5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1.7106617602606787E-5</v>
      </c>
      <c r="AD81" s="378">
        <f>SUM(D81:AC81,AE81:AJ81)-SUM(AD55:AD80,AD82:AD87)</f>
        <v>7.7134252201500986E-7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1.3165983735923033E-4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1.1209441679277587E-4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1.3809208182852845E-3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7.2722812696183407E-4</v>
      </c>
      <c r="AG83" s="179">
        <f>AG37*AG$45</f>
        <v>1.3797739737164333E-8</v>
      </c>
      <c r="AH83" s="376">
        <f>AH37*AH$45</f>
        <v>0</v>
      </c>
      <c r="AI83" s="376">
        <f>AI37*AI$45</f>
        <v>0</v>
      </c>
      <c r="AJ83" s="380">
        <f>AJ37*AJ$45</f>
        <v>3.2093414971694512E-7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4.7937492696903682E-4</v>
      </c>
      <c r="AG84" s="378">
        <f>SUM(D84:AF84,AH84:AJ84)-SUM(AG55:AG83,AG85:AG87)</f>
        <v>2.6611323545121625E-4</v>
      </c>
      <c r="AH84" s="376">
        <f>AH38*AH$45</f>
        <v>7.9878622001277412E-5</v>
      </c>
      <c r="AI84" s="179">
        <f>AI38*AI$45</f>
        <v>0</v>
      </c>
      <c r="AJ84" s="380">
        <f>AJ38*AJ$45</f>
        <v>1.0680183706753564E-5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2.0513379475832314E-3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2.8288487704164716E-4</v>
      </c>
      <c r="AH85" s="378">
        <f>SUM(D85:AG85,AI85:AJ85)-SUM(AH55:AH84,AH86:AH87)</f>
        <v>2.2542836612310462E-3</v>
      </c>
      <c r="AI85" s="376">
        <f>AI39*AI$45</f>
        <v>1.1342903499402566E-7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1.7397042754870165E-7</v>
      </c>
      <c r="AI86" s="378">
        <f>SUM(D86:AH86,AJ86)-SUM(AI55:AI85,AI87)</f>
        <v>6.0541392554675984E-8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1.4574893088684039E-4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1.3474781303036989E-4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3.5136053866630261</v>
      </c>
      <c r="D92" s="179">
        <f>SUM($D$55:$AJ$55)</f>
        <v>-0.89622460286478278</v>
      </c>
      <c r="E92" s="179">
        <f>SUM($D$56:$AJ$56)</f>
        <v>1.7187648246664397E-2</v>
      </c>
      <c r="F92" s="179">
        <f>SUM($D$57:$AJ$57)</f>
        <v>-0.31742108302924654</v>
      </c>
      <c r="G92" s="179">
        <f>SUM($D$58:$AJ$58)</f>
        <v>0.71333682821039679</v>
      </c>
      <c r="H92" s="179">
        <f>SUM($D$59:$AJ$59)</f>
        <v>0.28539978279061112</v>
      </c>
      <c r="I92" s="179">
        <f>SUM($D$60:$AJ$60)</f>
        <v>2.7749198380403652E-3</v>
      </c>
      <c r="J92" s="179">
        <f>SUM($D$61:$AJ$61)</f>
        <v>0.1951454151641471</v>
      </c>
      <c r="K92" s="179">
        <f>SUM($D$62:$AJ$62)</f>
        <v>0.3796999967964757</v>
      </c>
      <c r="L92" s="179">
        <f>SUM($D$63:$AJ$63)</f>
        <v>7.2273663401867694E-2</v>
      </c>
      <c r="M92" s="179">
        <f>SUM($D$64:$AJ$64)</f>
        <v>0.78208491009837466</v>
      </c>
      <c r="N92" s="179">
        <f>SUM($D$65:$AJ$65)</f>
        <v>1.580850678576509E-3</v>
      </c>
      <c r="O92" s="179">
        <f>SUM($D$66:$AJ$66)</f>
        <v>1.4689394842230863E-2</v>
      </c>
      <c r="P92" s="179">
        <f>SUM($D$67:$AJ$67)</f>
        <v>1.3453813470820879</v>
      </c>
      <c r="Q92" s="179">
        <f>SUM($D$68:$AJ$68)</f>
        <v>1.6691613002869316E-3</v>
      </c>
      <c r="R92" s="179">
        <f>SUM($D$69:$AJ$69)</f>
        <v>1.9350805709026683E-3</v>
      </c>
      <c r="S92" s="179">
        <f>SUM($D$70:$AJ$70)</f>
        <v>4.713208845456919E-2</v>
      </c>
      <c r="T92" s="179">
        <f>SUM($D$71:$AJ$71)</f>
        <v>0.10748284214690856</v>
      </c>
      <c r="U92" s="179">
        <f>SUM($D$72:$AJ$72)</f>
        <v>1.7455751039548911E-2</v>
      </c>
      <c r="V92" s="179">
        <f>SUM($D$73:$AJ$73)</f>
        <v>5.7655212515810218E-2</v>
      </c>
      <c r="W92" s="179">
        <f>SUM($D$74:$AJ$74)</f>
        <v>0.28409554009694099</v>
      </c>
      <c r="X92" s="179">
        <f>SUM($D$75:$AJ$75)</f>
        <v>0.29158942677537836</v>
      </c>
      <c r="Y92" s="179">
        <f>SUM($D$76:$AJ$76)</f>
        <v>3.0929113670825453E-5</v>
      </c>
      <c r="Z92" s="179">
        <f>SUM($D$77:$AJ$77)</f>
        <v>1.3603281318380046E-2</v>
      </c>
      <c r="AA92" s="179">
        <f>SUM($D$78:$AJ$78)</f>
        <v>1.1544390961063201E-3</v>
      </c>
      <c r="AB92" s="179">
        <f>SUM($D$79:$AJ$79)</f>
        <v>3.5274747204102529E-2</v>
      </c>
      <c r="AC92" s="179">
        <f>SUM($D$80:$AJ$80)</f>
        <v>5.0542301744806756E-2</v>
      </c>
      <c r="AD92" s="179">
        <f>SUM($D$81:$AJ$81)</f>
        <v>1.7877960124621797E-5</v>
      </c>
      <c r="AE92" s="179">
        <f>SUM($D$82:$AJ$82)</f>
        <v>2.4375425415200619E-4</v>
      </c>
      <c r="AF92" s="179">
        <f>SUM($D$83:$AJ$83)</f>
        <v>2.1084836771365729E-3</v>
      </c>
      <c r="AG92" s="179">
        <f>SUM($D$84:$AJ$84)</f>
        <v>8.3604696812828415E-4</v>
      </c>
      <c r="AH92" s="179">
        <f>SUM($D$85:$AJ$85)</f>
        <v>4.5886199148909177E-3</v>
      </c>
      <c r="AI92" s="179">
        <f>SUM($D$86:$AJ$86)</f>
        <v>2.3451182010337763E-7</v>
      </c>
      <c r="AJ92" s="380">
        <f>SUM($D$87:$AJ$87)</f>
        <v>2.8049674391721026E-4</v>
      </c>
    </row>
    <row r="93" spans="2:36" ht="12.75" customHeight="1" x14ac:dyDescent="0.2">
      <c r="B93" s="146" t="s">
        <v>1212</v>
      </c>
      <c r="C93" s="150">
        <f>SUM(D93:AJ93)</f>
        <v>3.5136053866630257</v>
      </c>
      <c r="D93" s="179">
        <f t="shared" ref="D93:AJ93" si="61">SUM(D55:D87)</f>
        <v>9.7891075782555736E-3</v>
      </c>
      <c r="E93" s="179">
        <f t="shared" si="61"/>
        <v>8.7108960976952435E-3</v>
      </c>
      <c r="F93" s="179">
        <f t="shared" si="61"/>
        <v>0.29796424122341547</v>
      </c>
      <c r="G93" s="179">
        <f t="shared" si="61"/>
        <v>0.67334179459034305</v>
      </c>
      <c r="H93" s="179">
        <f t="shared" si="61"/>
        <v>0.24365510389156822</v>
      </c>
      <c r="I93" s="179">
        <f t="shared" si="61"/>
        <v>2.2799912627967703E-3</v>
      </c>
      <c r="J93" s="179">
        <f t="shared" si="61"/>
        <v>0.10249687642166549</v>
      </c>
      <c r="K93" s="179">
        <f t="shared" si="61"/>
        <v>0.22777083649258992</v>
      </c>
      <c r="L93" s="179">
        <f t="shared" si="61"/>
        <v>3.7961806082098329E-2</v>
      </c>
      <c r="M93" s="179">
        <f t="shared" si="61"/>
        <v>0.52956569890298488</v>
      </c>
      <c r="N93" s="179">
        <f t="shared" si="61"/>
        <v>8.0119314809246555E-4</v>
      </c>
      <c r="O93" s="179">
        <f t="shared" si="61"/>
        <v>1.0016218585708399E-2</v>
      </c>
      <c r="P93" s="179">
        <f t="shared" si="61"/>
        <v>0.77725037468595126</v>
      </c>
      <c r="Q93" s="179">
        <f t="shared" si="61"/>
        <v>1.4253683179191738E-3</v>
      </c>
      <c r="R93" s="179">
        <f t="shared" si="61"/>
        <v>1.6193681264189939E-3</v>
      </c>
      <c r="S93" s="179">
        <f t="shared" si="61"/>
        <v>2.4755343812507546E-2</v>
      </c>
      <c r="T93" s="179">
        <f t="shared" si="61"/>
        <v>5.501187513890566E-2</v>
      </c>
      <c r="U93" s="179">
        <f t="shared" si="61"/>
        <v>9.1686458564842737E-3</v>
      </c>
      <c r="V93" s="179">
        <f t="shared" si="61"/>
        <v>3.8642033934584714E-2</v>
      </c>
      <c r="W93" s="179">
        <f t="shared" si="61"/>
        <v>0.23133605476141611</v>
      </c>
      <c r="X93" s="179">
        <f t="shared" si="61"/>
        <v>0.15344015020104854</v>
      </c>
      <c r="Y93" s="179">
        <f t="shared" si="61"/>
        <v>2.6251521338325517E-5</v>
      </c>
      <c r="Z93" s="179">
        <f t="shared" si="61"/>
        <v>7.1448967583805966E-3</v>
      </c>
      <c r="AA93" s="179">
        <f t="shared" si="61"/>
        <v>7.9729754612436815E-4</v>
      </c>
      <c r="AB93" s="179">
        <f t="shared" si="61"/>
        <v>3.310405514835376E-2</v>
      </c>
      <c r="AC93" s="179">
        <f t="shared" si="61"/>
        <v>3.0949691683590682E-2</v>
      </c>
      <c r="AD93" s="179">
        <f t="shared" si="61"/>
        <v>1.7106617602606787E-5</v>
      </c>
      <c r="AE93" s="179">
        <f t="shared" si="61"/>
        <v>1.3165983735923033E-4</v>
      </c>
      <c r="AF93" s="179">
        <f t="shared" si="61"/>
        <v>1.3812555501747387E-3</v>
      </c>
      <c r="AG93" s="179">
        <f t="shared" si="61"/>
        <v>5.6993373267706779E-4</v>
      </c>
      <c r="AH93" s="179">
        <f t="shared" si="61"/>
        <v>2.3343362536598724E-3</v>
      </c>
      <c r="AI93" s="179">
        <f t="shared" si="61"/>
        <v>1.7397042754870165E-7</v>
      </c>
      <c r="AJ93" s="380">
        <f t="shared" si="61"/>
        <v>1.4574893088684039E-4</v>
      </c>
    </row>
    <row r="94" spans="2:36" ht="12.75" customHeight="1" x14ac:dyDescent="0.2">
      <c r="B94" s="152" t="s">
        <v>1211</v>
      </c>
      <c r="C94" s="150">
        <f>SUM(D94:AJ94)</f>
        <v>4.2426802226069817</v>
      </c>
      <c r="D94" s="179">
        <f>k.aR*D45</f>
        <v>0.50821303042595567</v>
      </c>
      <c r="E94" s="179">
        <f>k.w0R*E45</f>
        <v>8.4767521489691518E-3</v>
      </c>
      <c r="F94" s="179">
        <f>k.w1R*F45</f>
        <v>0.79884141661633201</v>
      </c>
      <c r="G94" s="179">
        <f>k.w2R*G45</f>
        <v>3.9995033620053785E-2</v>
      </c>
      <c r="H94" s="179">
        <f>k.sd1R*H45</f>
        <v>4.1744678899042854E-2</v>
      </c>
      <c r="I94" s="179">
        <f>k.sd2R*I45</f>
        <v>4.9492857524359511E-4</v>
      </c>
      <c r="J94" s="179">
        <f>k.s1R*J45</f>
        <v>9.2648538742481634E-2</v>
      </c>
      <c r="K94" s="179">
        <f>k.s2R*K45</f>
        <v>1.5661559011728798</v>
      </c>
      <c r="L94" s="179">
        <f>k.s3R*L45</f>
        <v>3.4311857319769379E-2</v>
      </c>
      <c r="M94" s="179">
        <f>k.aC*M45</f>
        <v>0.25251921119539006</v>
      </c>
      <c r="N94" s="179">
        <f>k.w0C*N45</f>
        <v>7.7965753048404342E-4</v>
      </c>
      <c r="O94" s="179">
        <f>k.w1C*O45</f>
        <v>4.673176256522465E-3</v>
      </c>
      <c r="P94" s="179">
        <f>k.w2C*P45</f>
        <v>0.56813097239613619</v>
      </c>
      <c r="Q94" s="179">
        <f>k.sd1C*Q45</f>
        <v>2.4379298236775748E-4</v>
      </c>
      <c r="R94" s="179">
        <f>k.sd2C*R45</f>
        <v>3.1571244448367453E-4</v>
      </c>
      <c r="S94" s="179">
        <f>k.s1C*S45</f>
        <v>2.237674464206164E-2</v>
      </c>
      <c r="T94" s="179">
        <f>k.s2C*T45</f>
        <v>5.2470967008002911E-2</v>
      </c>
      <c r="U94" s="179">
        <f>k.s3C*U45</f>
        <v>8.2871051830646376E-3</v>
      </c>
      <c r="V94" s="179">
        <f>k.aM*V45</f>
        <v>1.9013178581225511E-2</v>
      </c>
      <c r="W94" s="179">
        <f>k.w2M*W45</f>
        <v>5.2759485335524874E-2</v>
      </c>
      <c r="X94" s="179">
        <f>k.w3M*X45</f>
        <v>0.13814927657432982</v>
      </c>
      <c r="Y94" s="179">
        <f>k.sdM*Y45</f>
        <v>4.6775923324999363E-6</v>
      </c>
      <c r="Z94" s="179">
        <f>k.sM*Z45</f>
        <v>6.4583845599994472E-3</v>
      </c>
      <c r="AA94" s="179">
        <f>k.aA*AA45</f>
        <v>3.5714154998195185E-4</v>
      </c>
      <c r="AB94" s="179">
        <f>k.w2A*AB45</f>
        <v>2.1706920557487712E-3</v>
      </c>
      <c r="AC94" s="179">
        <f>k.w3A*AC45</f>
        <v>1.9592610061216081E-2</v>
      </c>
      <c r="AD94" s="179">
        <f>k.sdA*AD45</f>
        <v>7.7134252201501092E-7</v>
      </c>
      <c r="AE94" s="179">
        <f>k.sA*AE45</f>
        <v>1.1209441679277584E-4</v>
      </c>
      <c r="AF94" s="179">
        <f>k.aT*AF45</f>
        <v>7.2722812696183396E-4</v>
      </c>
      <c r="AG94" s="179">
        <f>k.w2T*AG45</f>
        <v>2.661132354512162E-4</v>
      </c>
      <c r="AH94" s="179">
        <f>k.w3T*AH45</f>
        <v>2.2542836612310471E-3</v>
      </c>
      <c r="AI94" s="179">
        <f>k.sdT*AI45</f>
        <v>6.054139255467597E-8</v>
      </c>
      <c r="AJ94" s="374">
        <f>k.sT*AJ45</f>
        <v>1.3474781303036986E-4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17176213159.716074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962162254.58630133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2138140453.0148363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356356742.16913933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39650393762.213326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63089936.541865975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140199862.97955677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23366643.829926129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39094107618.834053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7.4743485216883895E-6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9.0459815058013851E-6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9.0459815058013851E-6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9.0459815058013851E-6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1.0057249127897143E-5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4.3486201567445368E-8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4.3486201567445368E-8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4.3469483354178676E-8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4.3469483354178676E-8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4.3486225145605207E-8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4.3486225145605207E-8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9.4685168992258617E-9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4.3486201567445368E-8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1.0705701124434139E-7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7.4739821958065615E-6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9.0456151799195571E-6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9.0456151799195571E-6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9.0456151799195571E-6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1.0056882802015316E-5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1.9891961693890194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0.13043357366868477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8.025419396564871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0.52623474154660921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0.73484092648427068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4.818425130427953E-2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1.1384311871011166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81.974127555516702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487.65284809121971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Valerie Rijk, de</cp:lastModifiedBy>
  <cp:lastPrinted>2014-04-07T07:45:23Z</cp:lastPrinted>
  <dcterms:created xsi:type="dcterms:W3CDTF">2000-08-28T11:36:35Z</dcterms:created>
  <dcterms:modified xsi:type="dcterms:W3CDTF">2024-08-05T09:42:53Z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