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5EC5422D-D573-4DAA-9274-81094A048E5E}" xr6:coauthVersionLast="47" xr6:coauthVersionMax="47" xr10:uidLastSave="{00000000-0000-0000-0000-000000000000}"/>
  <bookViews>
    <workbookView xWindow="-120" yWindow="-120" windowWidth="29040" windowHeight="15840" tabRatio="704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4" i="3" l="1"/>
  <c r="I75" i="3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B881" i="22"/>
  <c r="L203" i="8"/>
  <c r="K60" i="7" l="1"/>
  <c r="L60" i="7" s="1"/>
  <c r="K58" i="7" s="1"/>
  <c r="L58" i="7" s="1"/>
  <c r="P12" i="11" s="1"/>
  <c r="F12" i="11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5" i="22" l="1"/>
  <c r="B880" i="22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I6" i="2" s="1"/>
  <c r="R6" i="2"/>
  <c r="K6" i="2"/>
  <c r="E6" i="2"/>
  <c r="BQ12" i="23" s="1"/>
  <c r="G6" i="2"/>
  <c r="D6" i="2"/>
  <c r="BP12" i="23" s="1"/>
  <c r="Z6" i="2"/>
  <c r="J6" i="2"/>
  <c r="U6" i="2"/>
  <c r="F6" i="2"/>
  <c r="O6" i="2"/>
  <c r="S6" i="2"/>
  <c r="P6" i="2"/>
  <c r="M6" i="2"/>
  <c r="I17" i="18"/>
  <c r="BN12" i="23"/>
  <c r="J35" i="3" l="1"/>
  <c r="L35" i="3" s="1"/>
  <c r="J17" i="3"/>
  <c r="C5" i="23"/>
  <c r="P17" i="3"/>
  <c r="BO12" i="23"/>
  <c r="J15" i="3"/>
  <c r="L15" i="3" s="1"/>
  <c r="J37" i="3"/>
  <c r="L37" i="3" s="1"/>
  <c r="J20" i="3"/>
  <c r="L20" i="3" s="1"/>
  <c r="I44" i="3" s="1"/>
  <c r="J70" i="3"/>
  <c r="L70" i="3" s="1"/>
  <c r="J22" i="3"/>
  <c r="L22" i="3" s="1"/>
  <c r="AB5" i="23"/>
  <c r="AY3" i="23"/>
  <c r="K6" i="3"/>
  <c r="AY132" i="23"/>
  <c r="J19" i="3"/>
  <c r="J39" i="3"/>
  <c r="L39" i="3" s="1"/>
  <c r="J74" i="3"/>
  <c r="F5" i="20"/>
  <c r="BO5" i="23"/>
  <c r="AY67" i="23"/>
  <c r="J14" i="3"/>
  <c r="L14" i="3" s="1"/>
  <c r="K30" i="3" s="1"/>
  <c r="L30" i="3" s="1"/>
  <c r="J66" i="3"/>
  <c r="L66" i="3" s="1"/>
  <c r="J75" i="3"/>
  <c r="V6" i="2"/>
  <c r="X6" i="2"/>
  <c r="W6" i="2"/>
  <c r="Q6" i="2"/>
  <c r="Y6" i="2"/>
  <c r="N6" i="2"/>
  <c r="L6" i="2"/>
  <c r="H6" i="2"/>
  <c r="B6" i="2"/>
  <c r="T6" i="2"/>
  <c r="C6" i="2"/>
  <c r="B333" i="22"/>
  <c r="J60" i="3"/>
  <c r="I54" i="3"/>
  <c r="I46" i="3"/>
  <c r="I63" i="3"/>
  <c r="I50" i="3"/>
  <c r="K96" i="8"/>
  <c r="L96" i="8" s="1"/>
  <c r="B332" i="22"/>
  <c r="J42" i="3"/>
  <c r="I53" i="3"/>
  <c r="I60" i="3"/>
  <c r="I52" i="3"/>
  <c r="J54" i="3"/>
  <c r="I62" i="3"/>
  <c r="K24" i="3"/>
  <c r="L24" i="3" s="1"/>
  <c r="B336" i="22"/>
  <c r="K28" i="3"/>
  <c r="L28" i="3" s="1"/>
  <c r="B330" i="22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B339" i="22" l="1"/>
  <c r="B338" i="22"/>
  <c r="K31" i="3"/>
  <c r="L31" i="3" s="1"/>
  <c r="K26" i="3"/>
  <c r="L26" i="3" s="1"/>
  <c r="K91" i="7" s="1"/>
  <c r="L91" i="7" s="1"/>
  <c r="B334" i="22"/>
  <c r="B331" i="22"/>
  <c r="B337" i="22"/>
  <c r="K32" i="3"/>
  <c r="L32" i="3" s="1"/>
  <c r="K18" i="3"/>
  <c r="L18" i="3" s="1"/>
  <c r="K25" i="3"/>
  <c r="L25" i="3" s="1"/>
  <c r="K79" i="7" s="1"/>
  <c r="L79" i="7" s="1"/>
  <c r="B335" i="22"/>
  <c r="K33" i="3"/>
  <c r="L33" i="3" s="1"/>
  <c r="B328" i="22"/>
  <c r="K29" i="3"/>
  <c r="L29" i="3" s="1"/>
  <c r="K99" i="7" s="1"/>
  <c r="L99" i="7" s="1"/>
  <c r="K27" i="3"/>
  <c r="L27" i="3" s="1"/>
  <c r="B329" i="22"/>
  <c r="K34" i="3"/>
  <c r="L34" i="3" s="1"/>
  <c r="I55" i="3"/>
  <c r="J56" i="3"/>
  <c r="J43" i="3"/>
  <c r="I42" i="3"/>
  <c r="K17" i="3" s="1"/>
  <c r="L17" i="3" s="1"/>
  <c r="K75" i="3" s="1"/>
  <c r="J58" i="3"/>
  <c r="I49" i="3"/>
  <c r="J57" i="3"/>
  <c r="I57" i="3"/>
  <c r="I43" i="3"/>
  <c r="J46" i="3"/>
  <c r="J44" i="3"/>
  <c r="J61" i="3"/>
  <c r="I61" i="3"/>
  <c r="J49" i="3"/>
  <c r="I48" i="3"/>
  <c r="K37" i="3"/>
  <c r="K143" i="7"/>
  <c r="L143" i="7" s="1"/>
  <c r="K232" i="8"/>
  <c r="L232" i="8" s="1"/>
  <c r="K369" i="8"/>
  <c r="L369" i="8" s="1"/>
  <c r="L89" i="3"/>
  <c r="AC23" i="23" s="1"/>
  <c r="AS92" i="23" s="1"/>
  <c r="B209" i="22"/>
  <c r="B208" i="22"/>
  <c r="B693" i="22"/>
  <c r="K233" i="8"/>
  <c r="L233" i="8" s="1"/>
  <c r="B698" i="22"/>
  <c r="B702" i="22"/>
  <c r="B699" i="22"/>
  <c r="K142" i="7"/>
  <c r="L142" i="7" s="1"/>
  <c r="B696" i="22"/>
  <c r="K156" i="3"/>
  <c r="L156" i="3" s="1"/>
  <c r="B695" i="22"/>
  <c r="K155" i="3"/>
  <c r="L155" i="3" s="1"/>
  <c r="K97" i="8"/>
  <c r="L97" i="8" s="1"/>
  <c r="L81" i="3"/>
  <c r="B700" i="22"/>
  <c r="B694" i="22"/>
  <c r="B701" i="22"/>
  <c r="B697" i="22"/>
  <c r="K368" i="8"/>
  <c r="L368" i="8" s="1"/>
  <c r="B401" i="22"/>
  <c r="K36" i="3"/>
  <c r="L36" i="3" s="1"/>
  <c r="L447" i="18" s="1"/>
  <c r="J52" i="3"/>
  <c r="J51" i="3"/>
  <c r="I51" i="3"/>
  <c r="I47" i="3"/>
  <c r="J50" i="3"/>
  <c r="J48" i="3"/>
  <c r="I59" i="3"/>
  <c r="I64" i="3"/>
  <c r="J64" i="3"/>
  <c r="J53" i="3"/>
  <c r="J62" i="3"/>
  <c r="J55" i="3"/>
  <c r="J59" i="3"/>
  <c r="K21" i="3"/>
  <c r="L21" i="3" s="1"/>
  <c r="K23" i="3" s="1"/>
  <c r="L23" i="3" s="1"/>
  <c r="J63" i="3"/>
  <c r="J47" i="3"/>
  <c r="I56" i="3"/>
  <c r="I58" i="3"/>
  <c r="P788" i="18"/>
  <c r="L75" i="3"/>
  <c r="K211" i="6" s="1"/>
  <c r="L211" i="6" s="1"/>
  <c r="L652" i="18"/>
  <c r="K109" i="7"/>
  <c r="L109" i="7" s="1"/>
  <c r="L924" i="18"/>
  <c r="L922" i="18"/>
  <c r="M220" i="18"/>
  <c r="B722" i="22"/>
  <c r="P650" i="18"/>
  <c r="M922" i="18"/>
  <c r="L445" i="18"/>
  <c r="N788" i="18"/>
  <c r="O788" i="18"/>
  <c r="M650" i="18"/>
  <c r="O922" i="18"/>
  <c r="M924" i="18"/>
  <c r="L650" i="18"/>
  <c r="L788" i="18"/>
  <c r="L220" i="18"/>
  <c r="O447" i="18"/>
  <c r="B725" i="22"/>
  <c r="O650" i="18"/>
  <c r="O222" i="18"/>
  <c r="B724" i="22"/>
  <c r="B723" i="22"/>
  <c r="N786" i="18"/>
  <c r="B721" i="22"/>
  <c r="M447" i="18"/>
  <c r="O786" i="18"/>
  <c r="P786" i="18"/>
  <c r="N922" i="18"/>
  <c r="P220" i="18"/>
  <c r="K98" i="6"/>
  <c r="L98" i="6" s="1"/>
  <c r="K104" i="7"/>
  <c r="L104" i="7" s="1"/>
  <c r="M222" i="18"/>
  <c r="M652" i="18"/>
  <c r="M445" i="18"/>
  <c r="P222" i="18"/>
  <c r="B627" i="22"/>
  <c r="B624" i="22"/>
  <c r="K88" i="6"/>
  <c r="L88" i="6" s="1"/>
  <c r="K338" i="8"/>
  <c r="L338" i="8" s="1"/>
  <c r="P447" i="18"/>
  <c r="K85" i="6"/>
  <c r="L85" i="6" s="1"/>
  <c r="B622" i="22"/>
  <c r="K93" i="6"/>
  <c r="L93" i="6" s="1"/>
  <c r="K207" i="8"/>
  <c r="L207" i="8" s="1"/>
  <c r="K343" i="8"/>
  <c r="L343" i="8" s="1"/>
  <c r="B621" i="22"/>
  <c r="B630" i="22"/>
  <c r="N220" i="18"/>
  <c r="P922" i="18"/>
  <c r="N222" i="18"/>
  <c r="N652" i="18"/>
  <c r="N447" i="18"/>
  <c r="K79" i="6"/>
  <c r="L79" i="6" s="1"/>
  <c r="K85" i="7"/>
  <c r="L85" i="7" s="1"/>
  <c r="K55" i="8"/>
  <c r="L55" i="8" s="1"/>
  <c r="B642" i="22"/>
  <c r="B635" i="22"/>
  <c r="K327" i="8"/>
  <c r="L327" i="8" s="1"/>
  <c r="B641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73" i="6"/>
  <c r="L73" i="6" s="1"/>
  <c r="K73" i="7"/>
  <c r="L73" i="7" s="1"/>
  <c r="B632" i="22"/>
  <c r="B631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6" i="7"/>
  <c r="L216" i="7" s="1"/>
  <c r="K210" i="6"/>
  <c r="L210" i="6" s="1"/>
  <c r="K217" i="7"/>
  <c r="L217" i="7" s="1"/>
  <c r="K274" i="8"/>
  <c r="L274" i="8" s="1"/>
  <c r="B558" i="22"/>
  <c r="B561" i="22"/>
  <c r="B570" i="22"/>
  <c r="B557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76" i="6" l="1"/>
  <c r="L76" i="6" s="1"/>
  <c r="K334" i="8"/>
  <c r="L334" i="8" s="1"/>
  <c r="K88" i="7"/>
  <c r="L88" i="7" s="1"/>
  <c r="K197" i="8"/>
  <c r="L197" i="8" s="1"/>
  <c r="B605" i="22"/>
  <c r="K62" i="8"/>
  <c r="L62" i="8" s="1"/>
  <c r="B608" i="22"/>
  <c r="K61" i="8"/>
  <c r="L61" i="8" s="1"/>
  <c r="K82" i="7"/>
  <c r="L82" i="7" s="1"/>
  <c r="B603" i="22"/>
  <c r="B610" i="22"/>
  <c r="B606" i="22"/>
  <c r="K198" i="8"/>
  <c r="L198" i="8" s="1"/>
  <c r="K76" i="7"/>
  <c r="L76" i="7" s="1"/>
  <c r="B604" i="22"/>
  <c r="K333" i="8"/>
  <c r="L333" i="8" s="1"/>
  <c r="B560" i="22"/>
  <c r="B569" i="22"/>
  <c r="K410" i="8"/>
  <c r="L410" i="8" s="1"/>
  <c r="K215" i="7"/>
  <c r="L215" i="7" s="1"/>
  <c r="B634" i="22"/>
  <c r="K67" i="6"/>
  <c r="L67" i="6" s="1"/>
  <c r="B637" i="22"/>
  <c r="K56" i="8"/>
  <c r="L56" i="8" s="1"/>
  <c r="K192" i="8"/>
  <c r="L192" i="8" s="1"/>
  <c r="B640" i="22"/>
  <c r="B616" i="22"/>
  <c r="K71" i="8"/>
  <c r="L71" i="8" s="1"/>
  <c r="B623" i="22"/>
  <c r="B628" i="22"/>
  <c r="B626" i="22"/>
  <c r="K202" i="8"/>
  <c r="L202" i="8" s="1"/>
  <c r="B618" i="22"/>
  <c r="K103" i="6"/>
  <c r="L103" i="6" s="1"/>
  <c r="B559" i="22"/>
  <c r="B555" i="22"/>
  <c r="B556" i="22"/>
  <c r="K138" i="8"/>
  <c r="L138" i="8" s="1"/>
  <c r="B633" i="22"/>
  <c r="K328" i="8"/>
  <c r="L328" i="8" s="1"/>
  <c r="B638" i="22"/>
  <c r="K191" i="8"/>
  <c r="L191" i="8" s="1"/>
  <c r="B639" i="22"/>
  <c r="L786" i="18"/>
  <c r="B615" i="22"/>
  <c r="B629" i="22"/>
  <c r="B625" i="22"/>
  <c r="K66" i="8"/>
  <c r="L66" i="8" s="1"/>
  <c r="K94" i="7"/>
  <c r="L94" i="7" s="1"/>
  <c r="N650" i="18"/>
  <c r="B617" i="22"/>
  <c r="M788" i="18"/>
  <c r="O924" i="18"/>
  <c r="O445" i="18"/>
  <c r="P924" i="18"/>
  <c r="N924" i="18"/>
  <c r="M786" i="18"/>
  <c r="O652" i="18"/>
  <c r="L222" i="18"/>
  <c r="P652" i="18"/>
  <c r="N445" i="18"/>
  <c r="P445" i="18"/>
  <c r="K74" i="3"/>
  <c r="L74" i="3" s="1"/>
  <c r="B471" i="22" s="1"/>
  <c r="B619" i="22"/>
  <c r="B620" i="22"/>
  <c r="K82" i="6"/>
  <c r="L82" i="6" s="1"/>
  <c r="K70" i="6"/>
  <c r="L70" i="6" s="1"/>
  <c r="I8" i="16"/>
  <c r="AC13" i="23"/>
  <c r="AS28" i="23" s="1"/>
  <c r="K78" i="6"/>
  <c r="L78" i="6" s="1"/>
  <c r="O220" i="18"/>
  <c r="K213" i="7"/>
  <c r="L213" i="7" s="1"/>
  <c r="K197" i="7" s="1"/>
  <c r="L197" i="7" s="1"/>
  <c r="B568" i="22"/>
  <c r="K409" i="8"/>
  <c r="L409" i="8" s="1"/>
  <c r="K398" i="8" s="1"/>
  <c r="L398" i="8" s="1"/>
  <c r="B467" i="22"/>
  <c r="B461" i="22"/>
  <c r="K208" i="6"/>
  <c r="L208" i="6" s="1"/>
  <c r="K192" i="6" s="1"/>
  <c r="L192" i="6" s="1"/>
  <c r="B469" i="22"/>
  <c r="K273" i="8"/>
  <c r="L273" i="8" s="1"/>
  <c r="K262" i="8" s="1"/>
  <c r="L262" i="8" s="1"/>
  <c r="K207" i="6"/>
  <c r="L207" i="6" s="1"/>
  <c r="K191" i="6" s="1"/>
  <c r="L191" i="6" s="1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B563" i="22" l="1"/>
  <c r="B566" i="22"/>
  <c r="K137" i="8"/>
  <c r="L137" i="8" s="1"/>
  <c r="K126" i="8" s="1"/>
  <c r="L126" i="8" s="1"/>
  <c r="B567" i="22"/>
  <c r="K214" i="7"/>
  <c r="L214" i="7" s="1"/>
  <c r="K198" i="7" s="1"/>
  <c r="L198" i="7" s="1"/>
  <c r="B459" i="22"/>
  <c r="B463" i="22"/>
  <c r="B465" i="22"/>
  <c r="B562" i="22"/>
  <c r="K170" i="7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U48" i="11" l="1"/>
  <c r="S48" i="11"/>
  <c r="AE48" i="11"/>
  <c r="H48" i="11"/>
  <c r="L48" i="11"/>
  <c r="AF48" i="11"/>
  <c r="V48" i="11"/>
  <c r="AB48" i="1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J93" i="11"/>
  <c r="J95" i="11" s="1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AG93" i="11" l="1"/>
  <c r="L27" i="23"/>
  <c r="BH150" i="23" s="1"/>
  <c r="L33" i="23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T95" i="11" s="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<sst xmlns="http://schemas.openxmlformats.org/spreadsheetml/2006/main" count="14981" uniqueCount="4056">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</sst>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54" zoomScaleNormal="100" workbookViewId="0">
      <selection activeCell="I72" sqref="I72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>
        <f>5.94*10^-8</f>
        <v>5.9400000000000003E-8</v>
      </c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6.5846009179950364E-9</v>
      </c>
      <c r="L74" s="346">
        <f t="shared" si="4"/>
        <v>5.9400000000000003E-8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>
        <f>2.67*10^-7</f>
        <v>2.67E-7</v>
      </c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6.5846009179950349E-8</v>
      </c>
      <c r="L75" s="346">
        <f t="shared" si="4"/>
        <v>2.67E-7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1.0912074112371089E-2</v>
      </c>
      <c r="AY8" s="75"/>
      <c r="AZ8" s="295">
        <f>output!AF12</f>
        <v>2.9807915712711503E-5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6.8678802550968129E-2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0.76651646720638045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81369.941877858437</v>
      </c>
      <c r="D11" s="117">
        <f>C11/$C$51</f>
        <v>5.3618807380229415E-2</v>
      </c>
      <c r="E11" s="517">
        <f>M.aC*Molweight</f>
        <v>228632.17703901048</v>
      </c>
      <c r="F11" s="117">
        <f>E11/$E$51</f>
        <v>0.12470783314115436</v>
      </c>
      <c r="G11" s="517">
        <f>M.aM*Molweight</f>
        <v>120094.27481422362</v>
      </c>
      <c r="H11" s="117">
        <f>G11/$G$51</f>
        <v>0.10781005658569916</v>
      </c>
      <c r="I11" s="517">
        <f>M.aA*Molweight</f>
        <v>13946.537407608495</v>
      </c>
      <c r="J11" s="117">
        <f>I11/$I$51</f>
        <v>1.2826689047056871E-2</v>
      </c>
      <c r="K11" s="517">
        <f>M.aT*Molweight</f>
        <v>36320.151789206851</v>
      </c>
      <c r="L11" s="118">
        <f>K11/$K$51</f>
        <v>0.24944392449976396</v>
      </c>
      <c r="M11" s="320">
        <f>C.aR*(Molweight*1000)</f>
        <v>3.5444501406045403E-7</v>
      </c>
      <c r="N11" s="320">
        <f>C.aC*(Molweight*1000)</f>
        <v>3.1757777134980792E-8</v>
      </c>
      <c r="O11" s="320">
        <f>C.aM*(Molweight*1000)</f>
        <v>1.5481816160876192E-9</v>
      </c>
      <c r="P11" s="320">
        <f>C.aA*(Molweight*1000)</f>
        <v>3.2815382135549395E-10</v>
      </c>
      <c r="Q11" s="321">
        <f>C.aT*(Molweight*1000)</f>
        <v>2.8486393560162236E-10</v>
      </c>
      <c r="R11" s="119" t="s">
        <v>1493</v>
      </c>
      <c r="S11" s="323">
        <f>F.aR</f>
        <v>6.7982347123693149E-6</v>
      </c>
      <c r="T11" s="323">
        <f>F.aC</f>
        <v>6.091123145828527E-7</v>
      </c>
      <c r="U11" s="323">
        <f>F.aM</f>
        <v>2.9694033167423128E-8</v>
      </c>
      <c r="V11" s="323">
        <f>F.aA</f>
        <v>5.8081207625638555E-9</v>
      </c>
      <c r="W11" s="324">
        <f>F.aT</f>
        <v>5.712893885837646E-9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5.3618807380229415E-2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81369.937008863868</v>
      </c>
      <c r="D12" s="122">
        <f>C12/$C$51</f>
        <v>5.3618804171800413E-2</v>
      </c>
      <c r="E12" s="318">
        <f>FRgas.aC*E11</f>
        <v>228632.1633581745</v>
      </c>
      <c r="F12" s="122">
        <f>E12/$E$51</f>
        <v>0.12470782567891771</v>
      </c>
      <c r="G12" s="318">
        <f>FRgas.aM*G11</f>
        <v>120094.26762805194</v>
      </c>
      <c r="H12" s="122">
        <f>G12/$G$51</f>
        <v>0.1078100501345875</v>
      </c>
      <c r="I12" s="318">
        <f>FRgas.aA*I11</f>
        <v>13946.535223959156</v>
      </c>
      <c r="J12" s="122">
        <f>I12/$I$51</f>
        <v>1.2826687038745399E-2</v>
      </c>
      <c r="K12" s="318">
        <f>FRgas.aT*K11</f>
        <v>36320.150244248776</v>
      </c>
      <c r="L12" s="123">
        <f>K12/$K$51</f>
        <v>0.24944391388911433</v>
      </c>
      <c r="M12" s="320">
        <f>FRgas.aR*M11</f>
        <v>3.5444499285126043E-7</v>
      </c>
      <c r="N12" s="320">
        <f>FRgas.aC*N11</f>
        <v>3.1757775234666736E-8</v>
      </c>
      <c r="O12" s="320">
        <f>FRgas.aM*O11</f>
        <v>1.5481815234479085E-9</v>
      </c>
      <c r="P12" s="320">
        <f>FRgas.aA*P11</f>
        <v>3.2815376997550945E-10</v>
      </c>
      <c r="Q12" s="320">
        <f>FRgas.aT*Q11</f>
        <v>2.8486392348430412E-10</v>
      </c>
      <c r="R12" s="120" t="s">
        <v>1493</v>
      </c>
      <c r="S12" s="325">
        <f>S11*FRgas.aR</f>
        <v>6.7982343055782184E-6</v>
      </c>
      <c r="T12" s="325">
        <f>T11*FRgas.aC</f>
        <v>6.0911227813493985E-7</v>
      </c>
      <c r="U12" s="325">
        <f>U11*FRgas.aM</f>
        <v>2.9694031390598872E-8</v>
      </c>
      <c r="V12" s="325">
        <f>V11*FRgas.aA</f>
        <v>5.8081198531697387E-9</v>
      </c>
      <c r="W12" s="326">
        <f>W11*FRgas.aT</f>
        <v>5.712893642827055E-9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6.8678802550968129E-2</v>
      </c>
      <c r="AE12" s="325">
        <f>k.aR.aC*M.aR*Molweight</f>
        <v>0.76651646720638045</v>
      </c>
      <c r="AF12" s="325">
        <f>kesc.aR*M.aR*Molweight</f>
        <v>2.9807915712711503E-5</v>
      </c>
      <c r="AG12" s="326">
        <f>KDEG.aR*M.aR*Molweight</f>
        <v>1.0912074112371089E-2</v>
      </c>
      <c r="AH12" s="325">
        <f>SUM(AH13:AH15)</f>
        <v>8.8532479347748806E-3</v>
      </c>
      <c r="AI12" s="325">
        <f>SUM(AI13:AI15)</f>
        <v>0.29316720756283554</v>
      </c>
      <c r="AJ12" s="325">
        <f>SUM(AJ18:AJ20)</f>
        <v>3.7593330334703087E-3</v>
      </c>
      <c r="AK12" s="325">
        <f>SUM(AK18:AK20)</f>
        <v>0.11112700025125979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658652.59736003261</v>
      </c>
      <c r="BS12" s="425"/>
      <c r="BT12" s="425">
        <f>engine!F45</f>
        <v>3863748.7371612745</v>
      </c>
      <c r="BU12" s="425">
        <f>engine!G45</f>
        <v>163976.75920306789</v>
      </c>
      <c r="BV12" s="425">
        <f>engine!H45</f>
        <v>39234.565650482939</v>
      </c>
      <c r="BW12" s="425">
        <f>engine!I45</f>
        <v>504.78236659496309</v>
      </c>
      <c r="BX12" s="425">
        <f>engine!J45</f>
        <v>12846.783797571376</v>
      </c>
      <c r="BY12" s="425">
        <f>engine!K45</f>
        <v>7199760.7059829421</v>
      </c>
      <c r="BZ12" s="425">
        <f>engine!L45</f>
        <v>4758.0680731745824</v>
      </c>
      <c r="CA12" s="425">
        <f>engine!M45</f>
        <v>1850673.280225113</v>
      </c>
      <c r="CB12" s="425">
        <f>engine!N45</f>
        <v>35438.780212258229</v>
      </c>
      <c r="CC12" s="425">
        <f>engine!O45</f>
        <v>103650.28062140505</v>
      </c>
      <c r="CD12" s="425">
        <f>engine!P45</f>
        <v>12751520.40612134</v>
      </c>
      <c r="CE12" s="425">
        <f>engine!Q45</f>
        <v>1052.5202378246033</v>
      </c>
      <c r="CF12" s="425">
        <f>engine!R45</f>
        <v>1962.6996775545085</v>
      </c>
      <c r="CG12" s="425">
        <f>engine!S45</f>
        <v>17572.49402824929</v>
      </c>
      <c r="CH12" s="425">
        <f>engine!T45</f>
        <v>71693.668402539726</v>
      </c>
      <c r="CI12" s="425">
        <f>engine!U45</f>
        <v>6508.3311215738086</v>
      </c>
      <c r="CJ12" s="425">
        <f>engine!V45</f>
        <v>972108.42491681734</v>
      </c>
      <c r="CK12" s="425">
        <f>engine!W45</f>
        <v>3787591.8396914806</v>
      </c>
      <c r="CL12" s="611"/>
      <c r="CM12" s="425">
        <f>engine!Y45</f>
        <v>43.321102872261065</v>
      </c>
      <c r="CN12" s="425">
        <f>engine!Z45</f>
        <v>35306.694933423423</v>
      </c>
      <c r="CO12" s="425">
        <f>engine!AA45</f>
        <v>112890.86455891609</v>
      </c>
      <c r="CP12" s="425">
        <f>engine!AB45</f>
        <v>1541741.9554292916</v>
      </c>
      <c r="CQ12" s="425"/>
      <c r="CR12" s="425">
        <f>engine!AD45</f>
        <v>74.749033295097519</v>
      </c>
      <c r="CS12" s="425">
        <f>engine!AE45</f>
        <v>14822.441341948321</v>
      </c>
      <c r="CT12" s="425">
        <f>engine!AF45</f>
        <v>293995.07681080501</v>
      </c>
      <c r="CU12" s="425">
        <f>engine!AG45</f>
        <v>614323.57884886593</v>
      </c>
      <c r="CV12" s="425"/>
      <c r="CW12" s="425">
        <f>engine!AI45</f>
        <v>2.6403771497410249</v>
      </c>
      <c r="CX12" s="425">
        <f>engine!AJ45</f>
        <v>2872.7276942030253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4.8689945719999628E-3</v>
      </c>
      <c r="D13" s="122">
        <f>C13/$C$51</f>
        <v>3.2084290103504204E-9</v>
      </c>
      <c r="E13" s="318">
        <f>(1-FRgas.aC)*E11</f>
        <v>1.3680835985583905E-2</v>
      </c>
      <c r="F13" s="122">
        <f>E13/$E$51</f>
        <v>7.4622366519765591E-9</v>
      </c>
      <c r="G13" s="318">
        <f>(1-FRgas.aM)*G11</f>
        <v>7.1861716833527657E-3</v>
      </c>
      <c r="H13" s="122">
        <f>G13/$G$51</f>
        <v>6.4511116538675534E-9</v>
      </c>
      <c r="I13" s="318">
        <f>(1-FRgas.aA)*I11</f>
        <v>2.1836493405080863E-3</v>
      </c>
      <c r="J13" s="122">
        <f>I13/$I$51</f>
        <v>2.0083114725829941E-9</v>
      </c>
      <c r="K13" s="318">
        <f>(1-FRgas.aT)*K11</f>
        <v>1.5449580762686873E-3</v>
      </c>
      <c r="L13" s="123">
        <f>K13/$K$51</f>
        <v>1.0610649646199697E-8</v>
      </c>
      <c r="M13" s="320">
        <f>(1-FRgas.aR)*M11</f>
        <v>2.1209193588012207E-14</v>
      </c>
      <c r="N13" s="320">
        <f>(1-FRgas.aC)*N11</f>
        <v>1.9003140584899683E-15</v>
      </c>
      <c r="O13" s="320">
        <f>(1-FRgas.aM)*O11</f>
        <v>9.2639710822405493E-17</v>
      </c>
      <c r="P13" s="320">
        <f>(1-FRgas.aA)*P11</f>
        <v>5.13799844825432E-17</v>
      </c>
      <c r="Q13" s="320">
        <f>(1-FRgas.aT)*Q11</f>
        <v>1.2117318245244605E-17</v>
      </c>
      <c r="R13" s="120" t="s">
        <v>1493</v>
      </c>
      <c r="S13" s="325">
        <f>S11*(1-FRgas.aR)</f>
        <v>4.0679109693102675E-13</v>
      </c>
      <c r="T13" s="325">
        <f>T11*(1-FRgas.aC)</f>
        <v>3.6447912890168318E-14</v>
      </c>
      <c r="U13" s="325">
        <f>U11*(1-FRgas.aM)</f>
        <v>1.7768242544648016E-15</v>
      </c>
      <c r="V13" s="325">
        <f>V11*(1-FRgas.aA)</f>
        <v>9.0939411712650377E-16</v>
      </c>
      <c r="W13" s="326">
        <f>W11*(1-FRgas.aT)</f>
        <v>2.4301059089774301E-16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1.0084207699469828E-4</v>
      </c>
      <c r="AF13" s="330"/>
      <c r="AG13" s="326">
        <f>KDEG.w0R*M.w0R*Molweight</f>
        <v>9.137078683333022E-3</v>
      </c>
      <c r="AH13" s="325">
        <f>k.aR.w0R*M.aR*Molweight</f>
        <v>6.4387206490037498E-4</v>
      </c>
      <c r="AI13" s="325">
        <f>k.w0R.aR*M.w0R*Molweight</f>
        <v>7.6335477994691418E-4</v>
      </c>
      <c r="AJ13" s="325"/>
      <c r="AK13" s="325"/>
      <c r="AL13" s="631">
        <f>SUM(AL18:AL20)*AREAFRAC.w0R/(AREAFRAC.w0R+AREAFRAC.w1R)</f>
        <v>9.3574034753742558E-3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1.0084207699469828E-4</v>
      </c>
      <c r="AE14" s="325">
        <f>(WATERflow.w1R.w0R+WATERflow.w1R.w2R)*C.w1R*Molweight</f>
        <v>3.4675099968060681E-2</v>
      </c>
      <c r="AF14" s="330"/>
      <c r="AG14" s="326">
        <f>KDEG.w1R*M.w1R*Molweight</f>
        <v>0.10367897998964308</v>
      </c>
      <c r="AH14" s="325">
        <f>k.aR.w1R*M.aR*Molweight</f>
        <v>7.0825927139041237E-3</v>
      </c>
      <c r="AI14" s="325">
        <f>k.w1R.aR*M.w1R*Molweight</f>
        <v>0.28872774949204527</v>
      </c>
      <c r="AJ14" s="325"/>
      <c r="AK14" s="325"/>
      <c r="AL14" s="631">
        <f>SUM(AL18:AL20)*AREAFRAC.w1R/(AREAFRAC.w0R+AREAFRAC.w1R)</f>
        <v>0.10293143822911682</v>
      </c>
      <c r="AM14" s="325">
        <f>k.w1R.sd1R*M.w1R*Molweight</f>
        <v>4.4527793155499798E-3</v>
      </c>
      <c r="AN14" s="326">
        <f>k.sd1R.w1R*M.sd1R*Molweight</f>
        <v>4.321815907637549E-3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42065.552117788429</v>
      </c>
      <c r="D15" s="122">
        <f>C15/$C$51</f>
        <v>2.7719139086179494E-2</v>
      </c>
      <c r="E15" s="318">
        <f>M.w0C*Molweight</f>
        <v>4378.1069074223824</v>
      </c>
      <c r="F15" s="122">
        <f>E15/$E$51</f>
        <v>2.3880463054498534E-3</v>
      </c>
      <c r="G15" s="318"/>
      <c r="H15" s="122"/>
      <c r="I15" s="318"/>
      <c r="J15" s="122"/>
      <c r="K15" s="318"/>
      <c r="L15" s="123"/>
      <c r="M15" s="320">
        <f>C.w0R*Molweight</f>
        <v>7.3615176300981634E-7</v>
      </c>
      <c r="N15" s="320">
        <f>C.w0C*Molweight</f>
        <v>5.0238759179106119E-9</v>
      </c>
      <c r="O15" s="320"/>
      <c r="P15" s="320"/>
      <c r="Q15" s="320"/>
      <c r="R15" s="120" t="s">
        <v>1489</v>
      </c>
      <c r="S15" s="325">
        <f>F.w0R</f>
        <v>8.1581595333817532E-6</v>
      </c>
      <c r="T15" s="325">
        <f>F.w0C</f>
        <v>5.5675450734039657E-8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3.4701250685246335E-2</v>
      </c>
      <c r="AE15" s="325">
        <f>k.w2R.w2C*M.w2R*Molweight</f>
        <v>2.7750085234783266E-2</v>
      </c>
      <c r="AF15" s="330"/>
      <c r="AG15" s="326">
        <f>KDEG.w2R*M.w2R*Molweight</f>
        <v>4.4001617463940816E-3</v>
      </c>
      <c r="AH15" s="325">
        <f>k.aR.w2R*M.aR*Molweight</f>
        <v>1.1267831559703821E-3</v>
      </c>
      <c r="AI15" s="325">
        <f>k.w2R.aR*M.w2R*Molweight</f>
        <v>3.676103290843316E-3</v>
      </c>
      <c r="AJ15" s="325"/>
      <c r="AK15" s="325"/>
      <c r="AL15" s="631"/>
      <c r="AM15" s="325">
        <f>k.w2R.sd2R*M.w2R*Molweight</f>
        <v>5.608542646521922E-5</v>
      </c>
      <c r="AN15" s="326">
        <f>k.sd2R.w2R*M.sd2R*Molweight</f>
        <v>5.4401857269167522E-5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42065.484916446141</v>
      </c>
      <c r="D16" s="122">
        <f>C16/$C$51</f>
        <v>2.7719094803785472E-2</v>
      </c>
      <c r="E16" s="318">
        <f>FRw.w0C*E15</f>
        <v>4378.099913227702</v>
      </c>
      <c r="F16" s="122">
        <f>E16/$E$51</f>
        <v>2.3880424904537561E-3</v>
      </c>
      <c r="G16" s="318"/>
      <c r="H16" s="122"/>
      <c r="I16" s="318"/>
      <c r="J16" s="122"/>
      <c r="K16" s="318"/>
      <c r="L16" s="123"/>
      <c r="M16" s="320">
        <f>M15*FRw.w0R</f>
        <v>7.3615058697897606E-7</v>
      </c>
      <c r="N16" s="320">
        <f>N15*FRw.w0C</f>
        <v>5.023867892075025E-9</v>
      </c>
      <c r="O16" s="320"/>
      <c r="P16" s="320"/>
      <c r="Q16" s="320"/>
      <c r="R16" s="120" t="s">
        <v>1489</v>
      </c>
      <c r="S16" s="325">
        <f>S15*FRw.w0R</f>
        <v>8.1581465004071785E-6</v>
      </c>
      <c r="T16" s="325">
        <f>T15*FRw.w0C</f>
        <v>5.5675361790359296E-8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1.4033960658910315E-5</v>
      </c>
      <c r="AG16" s="326">
        <f>KDEG.sd1R*M.sd1R*Molweight</f>
        <v>1.169294472535212E-4</v>
      </c>
      <c r="AH16" s="325"/>
      <c r="AI16" s="325"/>
      <c r="AJ16" s="325"/>
      <c r="AK16" s="325"/>
      <c r="AL16" s="631"/>
      <c r="AM16" s="325">
        <f>k.w1R.sd1R*M.w1R*Molweight</f>
        <v>4.4527793155499798E-3</v>
      </c>
      <c r="AN16" s="326">
        <f>k.sd1R.w1R*M.sd1R*Molweight</f>
        <v>4.321815907637549E-3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6.7201342288837507E-2</v>
      </c>
      <c r="D17" s="122">
        <f>C17/$C$51</f>
        <v>4.4282394023173378E-8</v>
      </c>
      <c r="E17" s="318">
        <f>(1-FRw.w0C)*E15</f>
        <v>6.9941946806969307E-3</v>
      </c>
      <c r="F17" s="122">
        <f>E17/$E$51</f>
        <v>3.8149960976327375E-9</v>
      </c>
      <c r="G17" s="318"/>
      <c r="H17" s="122"/>
      <c r="I17" s="318"/>
      <c r="J17" s="122"/>
      <c r="K17" s="318"/>
      <c r="L17" s="123"/>
      <c r="M17" s="320">
        <f>M16*Kp.susp1R</f>
        <v>7.6319797227728905E-7</v>
      </c>
      <c r="N17" s="320">
        <f>N16*Kp.susp1C</f>
        <v>5.2084530747377369E-9</v>
      </c>
      <c r="O17" s="320"/>
      <c r="P17" s="320"/>
      <c r="Q17" s="320"/>
      <c r="R17" s="120" t="s">
        <v>1494</v>
      </c>
      <c r="S17" s="325">
        <f>S15*(1-FRw.w0R)</f>
        <v>1.3032974575362673E-11</v>
      </c>
      <c r="T17" s="325">
        <f>T15*(1-FRw.w0C)</f>
        <v>8.8943680363138276E-14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1.7918340432200064E-7</v>
      </c>
      <c r="AG17" s="326">
        <f>KDEG.sd2R*M.sd2R*Molweight</f>
        <v>1.5043857917297169E-6</v>
      </c>
      <c r="AH17" s="325"/>
      <c r="AI17" s="325"/>
      <c r="AJ17" s="325"/>
      <c r="AK17" s="325"/>
      <c r="AL17" s="631"/>
      <c r="AM17" s="325">
        <f>k.w2R.sd2R*M.w2R*Molweight</f>
        <v>5.608542646521922E-5</v>
      </c>
      <c r="AN17" s="326">
        <f>k.sd2R.w2R*M.sd2R*Molweight</f>
        <v>5.4401857269167522E-5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2.9506108292853006E-6</v>
      </c>
      <c r="AG18" s="326">
        <f>KDEG.s1R*M.s1R*Molweight</f>
        <v>1.7209738816613429E-4</v>
      </c>
      <c r="AH18" s="325"/>
      <c r="AI18" s="325"/>
      <c r="AJ18" s="325">
        <f>k.aR.s1R*M.aR*Molweight</f>
        <v>1.0464122876669931E-3</v>
      </c>
      <c r="AK18" s="325">
        <f>k.s1R.aR*M.s1R*Molweight</f>
        <v>4.3341644298134898E-4</v>
      </c>
      <c r="AL18" s="631">
        <f>(k.s1R.w1R+k.s1R.w0R)*M.s1R*Molweight</f>
        <v>4.3794784569022461E-4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477327.5189889039</v>
      </c>
      <c r="D19" s="122">
        <f>C19/$C$51</f>
        <v>0.31453546244836567</v>
      </c>
      <c r="E19" s="318">
        <f>M.w1C*Molweight</f>
        <v>12804.955667968381</v>
      </c>
      <c r="F19" s="122">
        <f>E19/$E$51</f>
        <v>6.9844861537071024E-3</v>
      </c>
      <c r="G19" s="318"/>
      <c r="H19" s="122"/>
      <c r="I19" s="318"/>
      <c r="J19" s="122"/>
      <c r="K19" s="318"/>
      <c r="L19" s="123"/>
      <c r="M19" s="320">
        <f>C.w1R*Molweight</f>
        <v>2.5312981182816691E-5</v>
      </c>
      <c r="N19" s="320">
        <f>C.w1C*Molweight</f>
        <v>4.4526307533955144E-8</v>
      </c>
      <c r="O19" s="320"/>
      <c r="P19" s="320"/>
      <c r="Q19" s="320"/>
      <c r="R19" s="120" t="s">
        <v>1489</v>
      </c>
      <c r="S19" s="325">
        <f>F.w1R</f>
        <v>2.8052277958363756E-4</v>
      </c>
      <c r="T19" s="325">
        <f>F.w1C</f>
        <v>4.9344814282483777E-7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7.5248654440851449E-4</v>
      </c>
      <c r="AG19" s="326">
        <f>KDEG.s2R*M.s2R*Molweight</f>
        <v>9.6449043779740881E-2</v>
      </c>
      <c r="AH19" s="325"/>
      <c r="AI19" s="325"/>
      <c r="AJ19" s="325">
        <f>k.aR.s2R*M.aR*Molweight</f>
        <v>2.3253606392599846E-3</v>
      </c>
      <c r="AK19" s="325">
        <f>k.s2R.aR*M.s2R*Molweight</f>
        <v>0.11053305919976683</v>
      </c>
      <c r="AL19" s="631">
        <f>(k.s2R.w1R+k.s2R.w0R)*M.s2R*Molweight</f>
        <v>0.11168869095298968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477319.58102345414</v>
      </c>
      <c r="D20" s="122">
        <f>C20/$C$51</f>
        <v>0.31453023171782046</v>
      </c>
      <c r="E20" s="318">
        <f>FRw.w1C*E19</f>
        <v>12804.74272131931</v>
      </c>
      <c r="F20" s="122">
        <f>E20/$E$51</f>
        <v>6.9843700015734689E-3</v>
      </c>
      <c r="G20" s="318"/>
      <c r="H20" s="122"/>
      <c r="I20" s="318"/>
      <c r="J20" s="122"/>
      <c r="K20" s="318"/>
      <c r="L20" s="123"/>
      <c r="M20" s="320">
        <f>M19*FRw.w1R</f>
        <v>2.5312560227472476E-5</v>
      </c>
      <c r="N20" s="320">
        <f>N19*FRw.w1C</f>
        <v>4.452556706063913E-8</v>
      </c>
      <c r="O20" s="320"/>
      <c r="P20" s="320"/>
      <c r="Q20" s="320"/>
      <c r="R20" s="120" t="s">
        <v>1489</v>
      </c>
      <c r="S20" s="325">
        <f>S19*FRw.w1R</f>
        <v>2.8051811448463613E-4</v>
      </c>
      <c r="T20" s="325">
        <f>T19*FRw.w1C</f>
        <v>4.9343993677311612E-7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1.0928188256612222E-6</v>
      </c>
      <c r="AG20" s="326">
        <f>KDEG.s3R*M.s3R*Molweight</f>
        <v>6.3739773394864529E-5</v>
      </c>
      <c r="AH20" s="325"/>
      <c r="AI20" s="325"/>
      <c r="AJ20" s="325">
        <f>k.aR.s3R*M.aR*Molweight</f>
        <v>3.8756010654333075E-4</v>
      </c>
      <c r="AK20" s="325">
        <f>k.s3R.aR*M.s3R*Molweight</f>
        <v>1.605246085116107E-4</v>
      </c>
      <c r="AL20" s="631">
        <f>(k.s3R.w1R+k.s3R.w0R)*M.s3R*Molweight</f>
        <v>1.6220290581119427E-4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4.3341644298134898E-4</v>
      </c>
      <c r="BE20" s="2"/>
      <c r="BF20" s="296">
        <f>IF(output!AK20&lt;0,"",output!AK20)</f>
        <v>1.605246085116107E-4</v>
      </c>
      <c r="BG20" s="75"/>
      <c r="BH20" s="296">
        <f>IF(output!AK19&lt;0,"",output!AK19)</f>
        <v>0.11053305919976683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7.9379654497479857</v>
      </c>
      <c r="D21" s="122">
        <f>C21/$C$51</f>
        <v>5.2307305451912828E-6</v>
      </c>
      <c r="E21" s="318">
        <f>(1-FRw.w1C)*E19</f>
        <v>0.2129466490706364</v>
      </c>
      <c r="F21" s="122">
        <f>E21/$E$51</f>
        <v>1.1615213363313129E-7</v>
      </c>
      <c r="G21" s="318"/>
      <c r="H21" s="122"/>
      <c r="I21" s="318"/>
      <c r="J21" s="122"/>
      <c r="K21" s="318"/>
      <c r="L21" s="123"/>
      <c r="M21" s="320">
        <f>M20*Kp.susp1R</f>
        <v>2.6242585390080618E-5</v>
      </c>
      <c r="N21" s="320">
        <f>N20*Kp.susp1C</f>
        <v>4.6161509745759034E-8</v>
      </c>
      <c r="O21" s="320"/>
      <c r="P21" s="320"/>
      <c r="Q21" s="320"/>
      <c r="R21" s="120" t="s">
        <v>1494</v>
      </c>
      <c r="S21" s="325">
        <f>S19*(1-FRw.w1R)</f>
        <v>4.6650990014551183E-9</v>
      </c>
      <c r="T21" s="325">
        <f>T19*(1-FRw.w1C)</f>
        <v>8.2060517216417335E-12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3.676103290843316E-3</v>
      </c>
      <c r="AV21" s="75"/>
      <c r="AW21" s="75"/>
      <c r="AX21" s="288">
        <f>IF(output!AI14&lt;0,"",output!AI14)</f>
        <v>0.28872774949204527</v>
      </c>
      <c r="AY21" s="75"/>
      <c r="AZ21" s="75"/>
      <c r="BA21" s="296">
        <f>IF(output!AI13&lt;0,"",output!AI13)</f>
        <v>7.6335477994691418E-4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0.78191750410779037</v>
      </c>
      <c r="AE22" s="325">
        <f>(k.aC.aM+k.aC.aR)*M.aC*Molweight</f>
        <v>0.3845995527266437</v>
      </c>
      <c r="AF22" s="325">
        <f>kesc.aC*M.aC*Molweight</f>
        <v>8.3753883868104381E-5</v>
      </c>
      <c r="AG22" s="326">
        <f>KDEG.aC*M.aC*Molweight</f>
        <v>3.066060025048763E-2</v>
      </c>
      <c r="AH22" s="325">
        <f>SUM(AH23:AH25)</f>
        <v>0.38546289607990208</v>
      </c>
      <c r="AI22" s="325">
        <f>SUM(AI23:AI25)</f>
        <v>2.2118420956085655E-2</v>
      </c>
      <c r="AJ22" s="325">
        <f>SUM(AJ28:AJ30)</f>
        <v>5.1422097796450655E-3</v>
      </c>
      <c r="AK22" s="325">
        <f>SUM(AK28:AK30)</f>
        <v>1.913087656670481E-3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1.0464122876669931E-3</v>
      </c>
      <c r="BE22" s="2"/>
      <c r="BF22" s="296">
        <f>IF(output!AJ20&lt;0,"",output!AJ20)</f>
        <v>3.8756010654333075E-4</v>
      </c>
      <c r="BG22" s="75"/>
      <c r="BH22" s="296">
        <f>IF(output!AJ19&lt;0,"",output!AJ19)</f>
        <v>2.3253606392599846E-3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4847.0382404606626</v>
      </c>
      <c r="D23" s="122">
        <f>C23/$C$51</f>
        <v>3.1939608629680694E-3</v>
      </c>
      <c r="E23" s="318">
        <f>M.sd1C*Molweight</f>
        <v>130.0283501808515</v>
      </c>
      <c r="F23" s="122">
        <f>E23/$E$51</f>
        <v>7.0924198019627091E-5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1.977242409235025E-5</v>
      </c>
      <c r="N23" s="320">
        <f>C.sd1C*(Molweight*1000)/(FRACw.sdC*1000+FRACs.sdC*RHOsolid)</f>
        <v>3.4780298277368125E-8</v>
      </c>
      <c r="O23" s="320"/>
      <c r="P23" s="320"/>
      <c r="Q23" s="320"/>
      <c r="R23" s="120" t="s">
        <v>1495</v>
      </c>
      <c r="S23" s="325">
        <f>F.sd1R</f>
        <v>2.6894044295631541E-4</v>
      </c>
      <c r="T23" s="325">
        <f>F.sd1C</f>
        <v>4.7307445870974702E-7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1.0495461764368725E-5</v>
      </c>
      <c r="AF23" s="330"/>
      <c r="AG23" s="326">
        <f>KDEG.w0C*M.w0C*Molweight</f>
        <v>9.5097069414776161E-4</v>
      </c>
      <c r="AH23" s="325">
        <f>k.aC.w0C*M.aC*Molweight</f>
        <v>8.7982398522076918E-4</v>
      </c>
      <c r="AI23" s="325">
        <f>k.w0C.aC*M.w0C*Molweight</f>
        <v>7.9448590750487539E-5</v>
      </c>
      <c r="AJ23" s="325"/>
      <c r="AK23" s="325"/>
      <c r="AL23" s="631">
        <f>SUM(AL28:AL30)*AREAFRAC.w0C/(AREAFRAC.w1C+AREAFRAC.w0C)</f>
        <v>1.6109076144184877E-4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1.1267831559703821E-3</v>
      </c>
      <c r="AV23" s="75"/>
      <c r="AW23" s="75"/>
      <c r="AX23" s="288">
        <f>IF(output!AH14&lt;0,"",output!AH14)</f>
        <v>7.0825927139041237E-3</v>
      </c>
      <c r="AY23" s="291">
        <f>output!AL14</f>
        <v>0.10293143822911682</v>
      </c>
      <c r="AZ23" s="87"/>
      <c r="BA23" s="296">
        <f>IF(output!AH13&lt;0,"",output!AH13)</f>
        <v>6.4387206490037498E-4</v>
      </c>
      <c r="BB23" s="291">
        <f>output!AL13</f>
        <v>9.3574034753742558E-3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3877.6305923685304</v>
      </c>
      <c r="D24" s="122">
        <f>C24/$C$51</f>
        <v>2.555168690374456E-3</v>
      </c>
      <c r="E24" s="318">
        <f>E23*FRACw.sdC</f>
        <v>104.0226801446812</v>
      </c>
      <c r="F24" s="122">
        <f>E24/$E$51</f>
        <v>5.6739358415701672E-5</v>
      </c>
      <c r="G24" s="318"/>
      <c r="H24" s="122"/>
      <c r="I24" s="318"/>
      <c r="J24" s="122"/>
      <c r="K24" s="318"/>
      <c r="L24" s="123"/>
      <c r="M24" s="320">
        <f>M25/Kp.sd1R</f>
        <v>2.4267848700044318E-5</v>
      </c>
      <c r="N24" s="320">
        <f>N25/Kp.sd1C</f>
        <v>4.2687887554674356E-8</v>
      </c>
      <c r="O24" s="320"/>
      <c r="P24" s="320"/>
      <c r="Q24" s="320"/>
      <c r="R24" s="120" t="s">
        <v>1489</v>
      </c>
      <c r="S24" s="325">
        <f>S23*FRACw.sdR</f>
        <v>2.1515235436505233E-4</v>
      </c>
      <c r="T24" s="325">
        <f>T23*FRACw.sdC</f>
        <v>3.7845956696779764E-7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1.0495461764368725E-5</v>
      </c>
      <c r="AE24" s="325">
        <f>(k.w1C.w0C+k.w1C.w1R+k.w1C.w2C)*M.w1C*Molweight</f>
        <v>9.3020641008487626E-4</v>
      </c>
      <c r="AF24" s="330"/>
      <c r="AG24" s="326">
        <f>KDEG.w1C*M.w1C*Molweight</f>
        <v>2.7813287305951924E-3</v>
      </c>
      <c r="AH24" s="325">
        <f>k.aC.w1C*M.aC*Molweight</f>
        <v>9.6780638374284588E-3</v>
      </c>
      <c r="AI24" s="325">
        <f>k.w1C.aC*M.w1C*Molweight</f>
        <v>7.7455120127776778E-3</v>
      </c>
      <c r="AJ24" s="518"/>
      <c r="AK24" s="518"/>
      <c r="AL24" s="631">
        <f>SUM(AL28:AL30)*AREAFRAC.w1C/(AREAFRAC.w1C+AREAFRAC.w0C)</f>
        <v>1.771998375860336E-3</v>
      </c>
      <c r="AM24" s="325">
        <f>k.w1C.sd1C*M.w1C*Molweight</f>
        <v>1.1945182179238556E-4</v>
      </c>
      <c r="AN24" s="326">
        <f>k.sd1C.w1C*M.sd1C*Molweight</f>
        <v>1.1594130019697005E-4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1.0084207699469828E-4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969.40764809213226</v>
      </c>
      <c r="D25" s="122">
        <f>C25/$C$51</f>
        <v>6.3879217259361378E-4</v>
      </c>
      <c r="E25" s="318">
        <f>E23*FRACs.sdC</f>
        <v>26.005670036170294</v>
      </c>
      <c r="F25" s="122">
        <f>E25/$E$51</f>
        <v>1.4184839603925415E-5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1.2579744720039747E-5</v>
      </c>
      <c r="N25" s="320">
        <f>C.sd1C*FRACs.sdC/(FRACw.sdC/(Kp.sd1C*RHOsolid/1000)+FRACs.sdC)*(Molweight*1000)/(FRACs.sdC*RHOsolid)</f>
        <v>2.212815543367816E-8</v>
      </c>
      <c r="O25" s="320"/>
      <c r="P25" s="320"/>
      <c r="Q25" s="320"/>
      <c r="R25" s="120" t="s">
        <v>1494</v>
      </c>
      <c r="S25" s="325">
        <f>S23*(1-FRACw.sdR)</f>
        <v>5.378808859126307E-5</v>
      </c>
      <c r="T25" s="325">
        <f>T23*(1-FRACw.sdC)</f>
        <v>9.4614891741949384E-8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3.15198053414186E-2</v>
      </c>
      <c r="AE25" s="325">
        <f>(k.w2C.w2M+k.w2C.w2R)*M.w2C*Molweight</f>
        <v>4.995025364216172E-2</v>
      </c>
      <c r="AF25" s="330"/>
      <c r="AG25" s="326">
        <f>KDEG.w2C*M.w2C*Molweight</f>
        <v>0.34217502877888856</v>
      </c>
      <c r="AH25" s="325">
        <f>k.aC.w2C*M.aC*Molweight</f>
        <v>0.37490500825725287</v>
      </c>
      <c r="AI25" s="325">
        <f>k.w2C.aC*M.w2C*Molweight</f>
        <v>1.4293460352557491E-2</v>
      </c>
      <c r="AJ25" s="325"/>
      <c r="AK25" s="325"/>
      <c r="AL25" s="631"/>
      <c r="AM25" s="325">
        <f>k.w2C.sd2C*M.w2C*Molweight</f>
        <v>2.1807189736308685E-4</v>
      </c>
      <c r="AN25" s="326">
        <f>k.sd2C.w2C*M.sd2C*Molweight</f>
        <v>2.120010722994426E-4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3.4675099968060681E-2</v>
      </c>
      <c r="AT25" s="75"/>
      <c r="AU25" s="75"/>
      <c r="AV25" s="87"/>
      <c r="AW25" s="75"/>
      <c r="AX25" s="289">
        <f>output!AD14</f>
        <v>1.0084207699469828E-4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3.7373117626477385E-7</v>
      </c>
      <c r="AG26" s="326">
        <f>KDEG.sd1C*M.sd1C*Molweight</f>
        <v>3.1367904191507387E-6</v>
      </c>
      <c r="AH26" s="325"/>
      <c r="AI26" s="325"/>
      <c r="AJ26" s="325"/>
      <c r="AK26" s="325"/>
      <c r="AL26" s="631"/>
      <c r="AM26" s="325">
        <f>k.w1C.sd1C*M.w1C*Molweight</f>
        <v>1.1945182179238556E-4</v>
      </c>
      <c r="AN26" s="326">
        <f>k.sd1C.w1C*M.sd1C*Molweight</f>
        <v>1.1594130019697005E-4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2.7750085234783266E-2</v>
      </c>
      <c r="AT26" s="75"/>
      <c r="AU26" s="285">
        <f>output!AD15</f>
        <v>3.4701250685246335E-2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20257.688831947009</v>
      </c>
      <c r="D27" s="122">
        <f>C27/$C$51</f>
        <v>1.3348825013040291E-2</v>
      </c>
      <c r="E27" s="318">
        <f>M.w2C*Molweight</f>
        <v>1575322.8309722305</v>
      </c>
      <c r="F27" s="122">
        <f>E27/$E$51</f>
        <v>0.85926267812607837</v>
      </c>
      <c r="G27" s="318">
        <f>M.w2M*Molweight</f>
        <v>467919.09587548557</v>
      </c>
      <c r="H27" s="122">
        <f>G27/$G$51</f>
        <v>0.42005652877209898</v>
      </c>
      <c r="I27" s="318">
        <f>M.w2A*Molweight</f>
        <v>190466.80117373471</v>
      </c>
      <c r="J27" s="122">
        <f>I27/$I$51</f>
        <v>0.17517311724344553</v>
      </c>
      <c r="K27" s="318">
        <f>M.w2T*Molweight</f>
        <v>75893.534930988899</v>
      </c>
      <c r="L27" s="123">
        <f>K27/$K$51</f>
        <v>0.52123078414478197</v>
      </c>
      <c r="M27" s="320">
        <f>C.w2R*Molweight</f>
        <v>2.0257688831946986E-6</v>
      </c>
      <c r="N27" s="320">
        <f>C.w2C*Molweight</f>
        <v>2.1211269843246912E-9</v>
      </c>
      <c r="O27" s="320">
        <f>C.w2M*Molweight</f>
        <v>1.2064251075605285E-10</v>
      </c>
      <c r="P27" s="320">
        <f>C.w2A*Molweight</f>
        <v>7.4692863205386149E-11</v>
      </c>
      <c r="Q27" s="320">
        <f>C.w2T*Molweight</f>
        <v>8.5034773031920355E-12</v>
      </c>
      <c r="R27" s="120" t="s">
        <v>1489</v>
      </c>
      <c r="S27" s="325">
        <f>F.w2R</f>
        <v>2.244991665752835E-5</v>
      </c>
      <c r="T27" s="325">
        <f>F.w2C</f>
        <v>2.3506691416360866E-8</v>
      </c>
      <c r="U27" s="325">
        <f>F.w2M</f>
        <v>1.3369809035456714E-9</v>
      </c>
      <c r="V27" s="325">
        <f>F.w2A</f>
        <v>2.0129819984312808E-10</v>
      </c>
      <c r="W27" s="326">
        <f>F.w2T</f>
        <v>1.9699722414136614E-10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2.2145768525744343E-7</v>
      </c>
      <c r="AG27" s="326">
        <f>KDEG.sd2C*M.sd2C*Molweight</f>
        <v>5.8493673783868716E-6</v>
      </c>
      <c r="AH27" s="325"/>
      <c r="AI27" s="325"/>
      <c r="AJ27" s="325"/>
      <c r="AK27" s="325"/>
      <c r="AL27" s="631"/>
      <c r="AM27" s="325">
        <f>k.w2C.sd2C*M.w2C*Molweight</f>
        <v>2.1807189736308685E-4</v>
      </c>
      <c r="AN27" s="326">
        <f>k.sd2C.w2C*M.sd2C*Molweight</f>
        <v>2.120010722994426E-4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9.137078683333022E-3</v>
      </c>
      <c r="BB27" s="264">
        <f>IF(ISERROR(output!D15),0,output!D15)</f>
        <v>2.7719139086179494E-2</v>
      </c>
      <c r="BC27" s="86"/>
      <c r="BD27" s="295">
        <f>output!AG18</f>
        <v>1.7209738816613429E-4</v>
      </c>
      <c r="BE27" s="75"/>
      <c r="BF27" s="295">
        <f>output!AG19</f>
        <v>9.6449043779740881E-2</v>
      </c>
      <c r="BG27" s="75"/>
      <c r="BH27" s="256">
        <f>output!AG20</f>
        <v>6.3739773394864529E-5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20257.561961296869</v>
      </c>
      <c r="D28" s="122">
        <f>C28/$C$51</f>
        <v>1.3348741411494129E-2</v>
      </c>
      <c r="E28" s="318">
        <f>FRw.w2C*E27</f>
        <v>1575312.9649784639</v>
      </c>
      <c r="F28" s="122">
        <f>E28/$E$51</f>
        <v>0.85925729670199213</v>
      </c>
      <c r="G28" s="318">
        <f>FRw.w2M*G27</f>
        <v>467916.1653733736</v>
      </c>
      <c r="H28" s="122">
        <f>G28/$G$51</f>
        <v>0.42005389802555421</v>
      </c>
      <c r="I28" s="318">
        <f>FRw.w2A*I27</f>
        <v>190465.60831076326</v>
      </c>
      <c r="J28" s="122">
        <f>I28/$I$51</f>
        <v>0.17517202016235914</v>
      </c>
      <c r="K28" s="318">
        <f>FRw.w2T*K27</f>
        <v>75893.059621974244</v>
      </c>
      <c r="L28" s="123">
        <f>K28/$K$51</f>
        <v>0.5212275197601326</v>
      </c>
      <c r="M28" s="320">
        <f>M27*FRw.w2R</f>
        <v>2.0257561961296846E-6</v>
      </c>
      <c r="N28" s="320">
        <f>N27*FRw.w2C</f>
        <v>2.121113700047212E-9</v>
      </c>
      <c r="O28" s="320">
        <f>O27*FRw.w2M</f>
        <v>1.2064175519139289E-10</v>
      </c>
      <c r="P28" s="320">
        <f>P27*FRw.w2A</f>
        <v>7.4692395415985584E-11</v>
      </c>
      <c r="Q28" s="320">
        <f>Q27*FRw.w2T</f>
        <v>8.5034240472800286E-12</v>
      </c>
      <c r="R28" s="120" t="s">
        <v>1489</v>
      </c>
      <c r="S28" s="325">
        <f>S27*FRw.w2R</f>
        <v>2.2449776057307587E-5</v>
      </c>
      <c r="T28" s="325">
        <f>T27*FRw.w2C</f>
        <v>2.3506544197729591E-8</v>
      </c>
      <c r="U28" s="325">
        <f>U27*FRw.w2M</f>
        <v>1.3369725302490993E-9</v>
      </c>
      <c r="V28" s="325">
        <f>V27*FRw.w2A</f>
        <v>2.0129693914484717E-10</v>
      </c>
      <c r="W28" s="326">
        <f>W27*FRw.w2T</f>
        <v>1.9699599037940496E-10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4.0359978025866324E-6</v>
      </c>
      <c r="AG28" s="326">
        <f>KDEG.s1C*M.s1C*Molweight</f>
        <v>2.3540369118677014E-4</v>
      </c>
      <c r="AH28" s="325"/>
      <c r="AI28" s="325"/>
      <c r="AJ28" s="325">
        <f>k.aC.s1C*M.aC*Molweight</f>
        <v>1.4313367427878018E-3</v>
      </c>
      <c r="AK28" s="325">
        <f>k.s1C.aC*M.s1C*Molweight</f>
        <v>5.9284938363130327E-4</v>
      </c>
      <c r="AL28" s="631">
        <f>(k.s1C.w1C+k.s1C.w0C)*M.s1C*Molweight</f>
        <v>5.9904767016714141E-4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0.1268706501385472</v>
      </c>
      <c r="D29" s="122">
        <f>C29/$C$51</f>
        <v>8.3601546160552293E-8</v>
      </c>
      <c r="E29" s="318">
        <f>(1-FRw.w2C)*E27</f>
        <v>9.8659937666904334</v>
      </c>
      <c r="F29" s="122">
        <f>E29/$E$51</f>
        <v>5.381424086331329E-6</v>
      </c>
      <c r="G29" s="318">
        <f>(1-FRw.w2M)*G27</f>
        <v>2.9305021119854144</v>
      </c>
      <c r="H29" s="122">
        <f>G29/$G$51</f>
        <v>2.6307465447989841E-6</v>
      </c>
      <c r="I29" s="318">
        <f>(1-FRw.w2A)*I27</f>
        <v>1.1928629714468082</v>
      </c>
      <c r="J29" s="122">
        <f>I29/$I$51</f>
        <v>1.0970810863884646E-6</v>
      </c>
      <c r="K29" s="318">
        <f>(1-FRw.w2T)*K27</f>
        <v>0.47530901466027076</v>
      </c>
      <c r="L29" s="123">
        <f>K29/$K$51</f>
        <v>3.2643846494663265E-6</v>
      </c>
      <c r="M29" s="320">
        <f>M28*Kp.susp2R</f>
        <v>2.1001858160013718E-6</v>
      </c>
      <c r="N29" s="320">
        <f>N28*Kp.susp2C</f>
        <v>2.1990469117045515E-9</v>
      </c>
      <c r="O29" s="320">
        <f>O28*Kp.susp2M</f>
        <v>1.2507433202206184E-10</v>
      </c>
      <c r="P29" s="320">
        <f>P28*Kp.susp2A</f>
        <v>7.7436717071641355E-11</v>
      </c>
      <c r="Q29" s="320">
        <f>Q28*Kp.susp2T</f>
        <v>8.8158538552974077E-12</v>
      </c>
      <c r="R29" s="120" t="s">
        <v>1494</v>
      </c>
      <c r="S29" s="325">
        <f>S27*(1-FRw.w2R)</f>
        <v>1.4060022076186034E-10</v>
      </c>
      <c r="T29" s="325">
        <f>T27*(1-FRw.w2C)</f>
        <v>1.4721863127331264E-13</v>
      </c>
      <c r="U29" s="325">
        <f>U27*(1-FRw.w2M)</f>
        <v>8.3732965721222753E-15</v>
      </c>
      <c r="V29" s="325">
        <f>V27*(1-FRw.w2A)</f>
        <v>1.2606982809184688E-15</v>
      </c>
      <c r="W29" s="326">
        <f>W27*(1-FRw.w2T)</f>
        <v>1.2337619611813379E-15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7.4930991452766258E-6</v>
      </c>
      <c r="AG29" s="326">
        <f>KDEG.s2C*M.s2C*Molweight</f>
        <v>9.604188312454119E-4</v>
      </c>
      <c r="AH29" s="325"/>
      <c r="AI29" s="325"/>
      <c r="AJ29" s="325">
        <f>k.aC.s2C*M.aC*Molweight</f>
        <v>3.1807483173062262E-3</v>
      </c>
      <c r="AK29" s="325">
        <f>k.s2C.aC*M.s2C*Molweight</f>
        <v>1.1006644272498062E-3</v>
      </c>
      <c r="AL29" s="631">
        <f>(k.s2C.w1C+k.s2C.w0C)*M.s2C*Molweight</f>
        <v>1.1121719596657318E-3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1.4948140009580117E-6</v>
      </c>
      <c r="AG30" s="326">
        <f>KDEG.s3C*M.s3C*Molweight</f>
        <v>8.718655229139632E-5</v>
      </c>
      <c r="AH30" s="325"/>
      <c r="AI30" s="325"/>
      <c r="AJ30" s="325">
        <f>k.aC.s3C*M.aC*Molweight</f>
        <v>5.3012471955103766E-4</v>
      </c>
      <c r="AK30" s="325">
        <f>k.s3C.aC*M.s3C*Molweight</f>
        <v>2.1957384578937149E-4</v>
      </c>
      <c r="AL30" s="631">
        <f>(k.s3C.w1C+k.s3C.w0C)*M.s3C*Molweight</f>
        <v>2.2186950746931158E-4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0.31453546244836567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521562.64555921266</v>
      </c>
      <c r="H31" s="122">
        <f>G31/$G$51</f>
        <v>0.46821298032490377</v>
      </c>
      <c r="I31" s="318">
        <f>M.w3A*Molweight</f>
        <v>881052.37530089088</v>
      </c>
      <c r="J31" s="122">
        <f>I31/$I$51</f>
        <v>0.8103075711100991</v>
      </c>
      <c r="K31" s="318">
        <f>M.w3T*Molweight</f>
        <v>33035.565791259964</v>
      </c>
      <c r="L31" s="123">
        <f>K31/$K$51</f>
        <v>0.22688564813462167</v>
      </c>
      <c r="M31" s="320"/>
      <c r="N31" s="320"/>
      <c r="O31" s="320">
        <f>C.w3M*Molweight</f>
        <v>4.4824434844591565E-12</v>
      </c>
      <c r="P31" s="320">
        <f>C.w3A*Molweight</f>
        <v>1.1517024513737135E-11</v>
      </c>
      <c r="Q31" s="320">
        <f>C.w3T*Molweight</f>
        <v>1.2338213180675992E-13</v>
      </c>
      <c r="R31" s="120" t="s">
        <v>1489</v>
      </c>
      <c r="S31" s="325"/>
      <c r="T31" s="325"/>
      <c r="U31" s="325">
        <f>F.w3M</f>
        <v>4.9675204058565525E-11</v>
      </c>
      <c r="V31" s="325">
        <f>F.w3A</f>
        <v>3.1038525003246689E-11</v>
      </c>
      <c r="W31" s="326">
        <f>F.w3T</f>
        <v>2.8583527194753493E-12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0.10367897998964308</v>
      </c>
      <c r="AY31" s="75"/>
      <c r="AZ31" s="75"/>
      <c r="BA31" s="87"/>
      <c r="BB31" s="2"/>
      <c r="BC31" s="86"/>
      <c r="BD31" s="277">
        <f>IF(ISERROR(output!D39),0,output!D39)</f>
        <v>1.045815698075664E-3</v>
      </c>
      <c r="BE31" s="75"/>
      <c r="BF31" s="277">
        <f>IF(ISERROR(output!D43),0,output!D43)</f>
        <v>0.58610955764109041</v>
      </c>
      <c r="BG31" s="75"/>
      <c r="BH31" s="273">
        <f>IF(ISERROR(output!D47),0,output!D47)</f>
        <v>3.8733914743543105E-4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521559.3790961685</v>
      </c>
      <c r="H32" s="122">
        <f>G32/$G$51</f>
        <v>0.4682100479822407</v>
      </c>
      <c r="I32" s="318">
        <f>FRw.w3A*I31</f>
        <v>881046.85741143231</v>
      </c>
      <c r="J32" s="122">
        <f>I32/$I$51</f>
        <v>0.81030249628398177</v>
      </c>
      <c r="K32" s="318">
        <f>FRw.w3T*K31</f>
        <v>33035.358894819583</v>
      </c>
      <c r="L32" s="123">
        <f>K32/$K$51</f>
        <v>0.2268842271862635</v>
      </c>
      <c r="M32" s="320"/>
      <c r="N32" s="320"/>
      <c r="O32" s="320">
        <f>O31*FRw.w3M</f>
        <v>4.4824154116358547E-12</v>
      </c>
      <c r="P32" s="320">
        <f>P31*FRw.w3A</f>
        <v>1.1516952384463166E-11</v>
      </c>
      <c r="Q32" s="320">
        <f>Q31*FRw.w3T</f>
        <v>1.2338135908429353E-13</v>
      </c>
      <c r="R32" s="120" t="s">
        <v>1489</v>
      </c>
      <c r="S32" s="325"/>
      <c r="T32" s="325"/>
      <c r="U32" s="325">
        <f>U31*FRw.w3M</f>
        <v>4.9674892950744343E-11</v>
      </c>
      <c r="V32" s="325">
        <f>V31*FRw.w3A</f>
        <v>3.1038330613951877E-11</v>
      </c>
      <c r="W32" s="326">
        <f>W31*FRw.w3T</f>
        <v>2.8583348180715489E-12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0.34009454916369752</v>
      </c>
      <c r="AE32" s="325">
        <f>(k.aM.aA+k.aM.aC+k.aM.aT)*M.aM*Molweight</f>
        <v>0.13985828483017176</v>
      </c>
      <c r="AF32" s="325">
        <f>kesc.aM*M.aM*Molweight</f>
        <v>4.3993641123832209E-5</v>
      </c>
      <c r="AG32" s="326">
        <f>KDEG.aM*M.aM*Molweight</f>
        <v>1.6105180819858282E-2</v>
      </c>
      <c r="AH32" s="325">
        <f>AH33</f>
        <v>0.19089358955939617</v>
      </c>
      <c r="AI32" s="325">
        <f>AI33</f>
        <v>8.4911903942547495E-3</v>
      </c>
      <c r="AJ32" s="325">
        <f>AJ36</f>
        <v>2.8758450361894158E-3</v>
      </c>
      <c r="AK32" s="325">
        <f>AK36</f>
        <v>1.1911543287873236E-3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4.321815907637549E-3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3.2664630441812417</v>
      </c>
      <c r="H33" s="122">
        <f>G33/$G$51</f>
        <v>2.9323426630706152E-6</v>
      </c>
      <c r="I33" s="318">
        <f>(1-FRw.w3A)*I31</f>
        <v>5.5178894585573479</v>
      </c>
      <c r="J33" s="122">
        <f>I33/$I$51</f>
        <v>5.0748261172222088E-6</v>
      </c>
      <c r="K33" s="318">
        <f>(1-FRw.w3T)*K31</f>
        <v>0.20689644037883426</v>
      </c>
      <c r="L33" s="123">
        <f>K33/$K$51</f>
        <v>1.420948358163645E-6</v>
      </c>
      <c r="M33" s="320"/>
      <c r="N33" s="320"/>
      <c r="O33" s="320">
        <f>O32*Kp.susp3M</f>
        <v>4.6471067381797176E-12</v>
      </c>
      <c r="P33" s="320">
        <f>P32*Kp.susp3A</f>
        <v>1.1940104188067984E-11</v>
      </c>
      <c r="Q33" s="320">
        <f>Q32*Kp.susp3T</f>
        <v>1.2791459347520449E-13</v>
      </c>
      <c r="R33" s="120" t="s">
        <v>1494</v>
      </c>
      <c r="S33" s="325"/>
      <c r="T33" s="325"/>
      <c r="U33" s="325">
        <f>U31*(1-FRw.w3M)</f>
        <v>3.1110782118127132E-16</v>
      </c>
      <c r="V33" s="325">
        <f>V31*(1-FRw.w3A)</f>
        <v>1.9438929480905559E-16</v>
      </c>
      <c r="W33" s="326">
        <f>W31*(1-FRw.w3T)</f>
        <v>1.790140380047825E-17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5.5530539342500927E-2</v>
      </c>
      <c r="AE33" s="325">
        <f>(k.w2M.w2C+k.w2M.w2A+k.w2M.w2T+k.w2M.w3M)*M.w2M*Molweight</f>
        <v>0.137500090129487</v>
      </c>
      <c r="AF33" s="330"/>
      <c r="AG33" s="326">
        <f>KDEG.w2M*M.w2M*Molweight</f>
        <v>0.10163645631833555</v>
      </c>
      <c r="AH33" s="325">
        <f>k.aM.w2M*M.aM*Molweight</f>
        <v>0.19089358955939617</v>
      </c>
      <c r="AI33" s="325">
        <f>k.w2M.aM*M.w2M*Molweight</f>
        <v>8.4911903942547495E-3</v>
      </c>
      <c r="AJ33" s="325"/>
      <c r="AK33" s="325"/>
      <c r="AL33" s="325">
        <f>AL36</f>
        <v>1.2036079401801616E-3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4.4001617463940816E-3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0.11829175349658919</v>
      </c>
      <c r="AE34" s="325">
        <f>(k.w3M.w2M+k.w3M.w3A+k.w3M.w3T)*M.w3M*Molweight</f>
        <v>5.0032813447149398E-3</v>
      </c>
      <c r="AF34" s="330"/>
      <c r="AG34" s="326">
        <f>KDEG.w3M*M.w3M*Molweight</f>
        <v>0.11328834302748883</v>
      </c>
      <c r="AH34" s="325"/>
      <c r="AI34" s="325"/>
      <c r="AJ34" s="325"/>
      <c r="AK34" s="325"/>
      <c r="AL34" s="325"/>
      <c r="AM34" s="325">
        <f>k.w3M.sdM*M.w3M*Molweight</f>
        <v>4.8133268717842736E-6</v>
      </c>
      <c r="AN34" s="326">
        <f>k.sdM.w3M*M.sdM*Molweight</f>
        <v>4.6842024863618092E-6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4.4527793155499798E-3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62.360813569141747</v>
      </c>
      <c r="D35" s="122">
        <f>C35/$C$51</f>
        <v>4.109272261564765E-5</v>
      </c>
      <c r="E35" s="318">
        <f>M.sd2C*Molweight</f>
        <v>242.47191816508399</v>
      </c>
      <c r="F35" s="122">
        <f>E35/$E$51</f>
        <v>1.3225674488848317E-4</v>
      </c>
      <c r="G35" s="318">
        <f>M.sdM*Molweight</f>
        <v>5.3518890488391326</v>
      </c>
      <c r="H35" s="122">
        <f>G35/$G$51</f>
        <v>4.8044543512859766E-6</v>
      </c>
      <c r="I35" s="318">
        <f>M.sdA*Molweight</f>
        <v>9.2344955732763481</v>
      </c>
      <c r="J35" s="122">
        <f>I35/$I$51</f>
        <v>8.4930043754243916E-6</v>
      </c>
      <c r="K35" s="318">
        <f>M.sdT*Molweight</f>
        <v>0.32619219307900627</v>
      </c>
      <c r="L35" s="123">
        <f>K35/$K$51</f>
        <v>2.2402621347797218E-6</v>
      </c>
      <c r="M35" s="320">
        <f>C.sd2R*(Molweight*1000)/(FRACw.sdR*1000+FRACs.sdR*RHOsolid)</f>
        <v>1.5989952197215818E-6</v>
      </c>
      <c r="N35" s="320">
        <f>C.sd2C*(Molweight*1000)/(FRACw.sdC*1000+FRACs.sdC*RHOsolid)</f>
        <v>1.6742639974846811E-9</v>
      </c>
      <c r="O35" s="320">
        <f>C.sdM*(Molweight*1000)/(FRACw.sdM*1000+FRACs.sdM*RHOsolid)</f>
        <v>3.5381162006097764E-12</v>
      </c>
      <c r="P35" s="320">
        <f>C.sdA*(Molweight*1000)/(FRACw.sdA*1000+FRACs.sdA*RHOsolid)</f>
        <v>9.2855661873065328E-12</v>
      </c>
      <c r="Q35" s="320">
        <f>C.sdT*(Molweight*1000)/(FRACw.sdT*1000+FRACs.sdT*RHOsolid)</f>
        <v>9.3713192007184155E-14</v>
      </c>
      <c r="R35" s="120" t="s">
        <v>1495</v>
      </c>
      <c r="S35" s="325">
        <f>F.sd2R</f>
        <v>2.1749203874467219E-5</v>
      </c>
      <c r="T35" s="325">
        <f>F.sd2C</f>
        <v>2.2772994297828619E-8</v>
      </c>
      <c r="U35" s="325">
        <f>F.sdM</f>
        <v>4.8124728347853468E-11</v>
      </c>
      <c r="V35" s="325">
        <f>F.sdA</f>
        <v>3.0714293870075013E-11</v>
      </c>
      <c r="W35" s="326">
        <f>F.sdT</f>
        <v>2.6646222027512307E-12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1.5969685381063593E-11</v>
      </c>
      <c r="AG35" s="326">
        <f>KDEG.sdM*M.sdM*Molweight</f>
        <v>1.2910841573708271E-7</v>
      </c>
      <c r="AH35" s="325"/>
      <c r="AI35" s="325"/>
      <c r="AJ35" s="325"/>
      <c r="AK35" s="325"/>
      <c r="AL35" s="325"/>
      <c r="AM35" s="325">
        <f>k.w3M.sdM*M.w3M*Molweight</f>
        <v>4.8133268717842736E-6</v>
      </c>
      <c r="AN35" s="326">
        <f>k.sdM.w3M*M.sdM*Molweight</f>
        <v>4.6842024863618092E-6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1.169294472535212E-4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49.888650855313401</v>
      </c>
      <c r="D36" s="122">
        <f>C36/$C$51</f>
        <v>3.2874178092518127E-5</v>
      </c>
      <c r="E36" s="318">
        <f>E35*FRACw.sdC</f>
        <v>193.97753453206721</v>
      </c>
      <c r="F36" s="122">
        <f>E36/$E$51</f>
        <v>1.0580539591078654E-4</v>
      </c>
      <c r="G36" s="318">
        <f>G35*FRACw.sdM</f>
        <v>4.2815112390713059</v>
      </c>
      <c r="H36" s="122">
        <f>G36/$G$51</f>
        <v>3.8435634810287812E-6</v>
      </c>
      <c r="I36" s="318">
        <f>I35*FRACw.sdA</f>
        <v>7.3875964586210792</v>
      </c>
      <c r="J36" s="122">
        <f>I36/$I$51</f>
        <v>6.7944035003395138E-6</v>
      </c>
      <c r="K36" s="318">
        <f>K35*FRACw.sdT</f>
        <v>0.26095375446320501</v>
      </c>
      <c r="L36" s="123">
        <f>K36/$K$51</f>
        <v>1.7922097078237774E-6</v>
      </c>
      <c r="M36" s="320">
        <f>M37/Kp.sd2R</f>
        <v>1.9625400448147583E-6</v>
      </c>
      <c r="N36" s="320">
        <f>N37/Kp.sd2C</f>
        <v>2.0549218034732147E-9</v>
      </c>
      <c r="O36" s="320">
        <f>O37/Kp.sdM</f>
        <v>4.3425362635627975E-12</v>
      </c>
      <c r="P36" s="320">
        <f>P37/Kp.sdA</f>
        <v>1.1396716673449482E-11</v>
      </c>
      <c r="Q36" s="320">
        <f>Q37/Kp.sdT</f>
        <v>1.1501966345686562E-13</v>
      </c>
      <c r="R36" s="120" t="s">
        <v>1489</v>
      </c>
      <c r="S36" s="325">
        <f>S35*FRACw.sdR</f>
        <v>1.7399363099573775E-5</v>
      </c>
      <c r="T36" s="325">
        <f>T35*FRACw.sdC</f>
        <v>1.8218395438262895E-8</v>
      </c>
      <c r="U36" s="325">
        <f>U35*FRACw.sdM</f>
        <v>3.8499782678282777E-11</v>
      </c>
      <c r="V36" s="325">
        <f>V35*FRACw.sdA</f>
        <v>2.4571435096060013E-11</v>
      </c>
      <c r="W36" s="326">
        <f>W35*FRACw.sdT</f>
        <v>2.1316977622009845E-12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8.1091359563882151E-6</v>
      </c>
      <c r="AG36" s="326">
        <f>KDEG.sM*M.sM*Molweight</f>
        <v>4.7297363126554153E-4</v>
      </c>
      <c r="AH36" s="325"/>
      <c r="AI36" s="325"/>
      <c r="AJ36" s="325">
        <f>k.aM.sM*M.aM*Molweight</f>
        <v>2.8758450361894158E-3</v>
      </c>
      <c r="AK36" s="325">
        <f>k.sM.aM*M.sM*Molweight</f>
        <v>1.1911543287873236E-3</v>
      </c>
      <c r="AL36" s="325">
        <f>k.sM.w2M*M.sM*Molweight</f>
        <v>1.2036079401801616E-3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12.472162713828347</v>
      </c>
      <c r="D37" s="122">
        <f>C37/$C$51</f>
        <v>8.2185445231295283E-6</v>
      </c>
      <c r="E37" s="318">
        <f>E35*FRACs.sdC</f>
        <v>48.494383633016788</v>
      </c>
      <c r="F37" s="122">
        <f>E37/$E$51</f>
        <v>2.6451348977696629E-5</v>
      </c>
      <c r="G37" s="318">
        <f>G35*FRACs.sdM</f>
        <v>1.0703778097678263</v>
      </c>
      <c r="H37" s="122">
        <f>G37/$G$51</f>
        <v>9.608908702571951E-7</v>
      </c>
      <c r="I37" s="318">
        <f>I35*FRACs.sdA</f>
        <v>1.8468991146552691</v>
      </c>
      <c r="J37" s="122">
        <f>I37/$I$51</f>
        <v>1.6986008750848778E-6</v>
      </c>
      <c r="K37" s="318">
        <f>K35*FRACs.sdT</f>
        <v>6.5238438615801239E-2</v>
      </c>
      <c r="L37" s="123">
        <f>K37/$K$51</f>
        <v>4.4805242695594424E-7</v>
      </c>
      <c r="M37" s="320">
        <f>C.sd2R*FRACs.sdR/(FRACw.sdR/(Kp.sd2R*RHOsolid/1000)+FRACs.sdR)*(Molweight*1000)/(FRACs.sdR*RHOsolid)</f>
        <v>1.0173234995724996E-6</v>
      </c>
      <c r="N37" s="320">
        <f>C.sd2C*FRACs.sdC/(FRACw.sdC/(Kp.sd2C*RHOsolid/1000)+FRACs.sdC)*(Molweight*1000)/(FRACs.sdC*RHOsolid)</f>
        <v>1.0652115079030272E-9</v>
      </c>
      <c r="O37" s="320">
        <f>C.sdM*FRACs.sdM/(FRACw.sdM/(Kp.sdM*RHOsolid/1000)+FRACs.sdM)*(Molweight*1000)/(FRACs.sdM*RHOsolid)</f>
        <v>2.2510440998849423E-12</v>
      </c>
      <c r="P37" s="320">
        <f>C.sdA*FRACs.sdA/(FRACw.sdA/(Kp.sdA*RHOsolid/1000)+FRACs.sdA)*(Molweight*1000)/(FRACs.sdA*RHOsolid)</f>
        <v>5.9077254094778186E-12</v>
      </c>
      <c r="Q37" s="320">
        <f>C.sdT*FRACs.sdT/(FRACw.sdT/(Kp.sdT*RHOsolid/1000)+FRACs.sdT)*(Molweight*1000)/(FRACs.sdT*RHOsolid)</f>
        <v>5.9622837687693814E-14</v>
      </c>
      <c r="R37" s="120" t="s">
        <v>1494</v>
      </c>
      <c r="S37" s="325">
        <f>S35*(1-FRACw.sdR)</f>
        <v>4.3498407748934429E-6</v>
      </c>
      <c r="T37" s="325">
        <f>T35*(1-FRACw.sdC)</f>
        <v>4.554598859565723E-9</v>
      </c>
      <c r="U37" s="325">
        <f>U35*(1-FRACw.sdM)</f>
        <v>9.624945669570691E-12</v>
      </c>
      <c r="V37" s="325">
        <f>V35*(1-FRACw.sdA)</f>
        <v>6.1428587740150016E-12</v>
      </c>
      <c r="W37" s="326">
        <f>W35*(1-FRACw.sdT)</f>
        <v>5.3292444055024603E-13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1.3348825013040291E-2</v>
      </c>
      <c r="AW37" s="75"/>
      <c r="AX37" s="75"/>
      <c r="AY37" s="300">
        <f>IF(ISERROR(output!D23),0,output!D23)</f>
        <v>3.1939608629680694E-3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4.5554514427025058E-2</v>
      </c>
      <c r="AE38" s="325">
        <f>k.aA.aM*M.aA*Molweight</f>
        <v>9.6557715411963799E-3</v>
      </c>
      <c r="AF38" s="325">
        <f>kesc.aA*M.aA*Molweight</f>
        <v>5.1089776142914115E-6</v>
      </c>
      <c r="AG38" s="326">
        <f>KDEG.aA*M.aA*Molweight</f>
        <v>1.5640990847421107E-3</v>
      </c>
      <c r="AH38" s="325">
        <f>AH39</f>
        <v>3.5313386152575309E-2</v>
      </c>
      <c r="AI38" s="325">
        <f>AI39</f>
        <v>1.2088044302570756E-3</v>
      </c>
      <c r="AJ38" s="325">
        <f>AJ42</f>
        <v>3.3395947656444133E-4</v>
      </c>
      <c r="AK38" s="325">
        <f>AK42</f>
        <v>1.0900637541039611E-4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1587.0916703519679</v>
      </c>
      <c r="D39" s="122">
        <f>C39/$C$51</f>
        <v>1.045815698075664E-3</v>
      </c>
      <c r="E39" s="318">
        <f>M.s1C*Molweight</f>
        <v>2170.9059122499175</v>
      </c>
      <c r="F39" s="122">
        <f>E39/$E$51</f>
        <v>1.1841245435187146E-3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3.0255204597381051E-7</v>
      </c>
      <c r="N39" s="320">
        <f>C.s1C*(Molweight*1000)/(FRACw.s1C*1000+(1-FRACa.s1C-FRACw.s1C)*RHOsolid)</f>
        <v>2.7136314405413914E-8</v>
      </c>
      <c r="O39" s="320"/>
      <c r="P39" s="320"/>
      <c r="Q39" s="320"/>
      <c r="R39" s="120" t="s">
        <v>1495</v>
      </c>
      <c r="S39" s="325">
        <f>F.s1R</f>
        <v>1.1151560306597989E-5</v>
      </c>
      <c r="T39" s="325">
        <f>F.s1C</f>
        <v>1.0001989760696304E-6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2.6004151778269358E-2</v>
      </c>
      <c r="AE39" s="325">
        <f>(k.w2A.w2M+k.w2A.w3A)*M.w2A*Molweight</f>
        <v>5.1285327034203264E-2</v>
      </c>
      <c r="AF39" s="330"/>
      <c r="AG39" s="326">
        <f>KDEG.w2A*M.w2A*Molweight</f>
        <v>9.0039286071236652E-3</v>
      </c>
      <c r="AH39" s="325">
        <f>k.aA.w2A*M.aA*Molweight</f>
        <v>3.5313386152575309E-2</v>
      </c>
      <c r="AI39" s="325">
        <f>k.w2A.aA*M.w2A*Molweight</f>
        <v>1.2088044302570756E-3</v>
      </c>
      <c r="AJ39" s="325"/>
      <c r="AK39" s="325"/>
      <c r="AL39" s="325">
        <f>AL42</f>
        <v>1.805221407393308E-4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621.00313496026877</v>
      </c>
      <c r="D40" s="122">
        <f>C40/$C$51</f>
        <v>4.0921065822972926E-4</v>
      </c>
      <c r="E40" s="318">
        <f>E39*FRw.s1C</f>
        <v>849.44014412980016</v>
      </c>
      <c r="F40" s="122">
        <f>E40/$E$51</f>
        <v>4.6332865797565562E-4</v>
      </c>
      <c r="G40" s="318"/>
      <c r="H40" s="122"/>
      <c r="I40" s="318"/>
      <c r="J40" s="122"/>
      <c r="K40" s="318"/>
      <c r="L40" s="123"/>
      <c r="M40" s="320">
        <f>M41/Kp.s1R</f>
        <v>1.0062613689302872E-6</v>
      </c>
      <c r="N40" s="320">
        <f>N41/Kp.s1C</f>
        <v>9.0252983725246919E-8</v>
      </c>
      <c r="O40" s="320"/>
      <c r="P40" s="320"/>
      <c r="Q40" s="320"/>
      <c r="R40" s="120" t="s">
        <v>1489</v>
      </c>
      <c r="S40" s="325">
        <f>S39*FRACw.s1R</f>
        <v>2.2303120613195979E-6</v>
      </c>
      <c r="T40" s="325">
        <f>T39*FRACw.s1C</f>
        <v>2.0003979521392609E-7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5.1285327034203264E-2</v>
      </c>
      <c r="AE40" s="325">
        <f>(k.w3A.w2A+k.w3A.w3M)*M.w3A*Molweight</f>
        <v>9.6353288419220012E-3</v>
      </c>
      <c r="AF40" s="330"/>
      <c r="AG40" s="326">
        <f>KDEG.w3A*M.w3A*Molweight</f>
        <v>4.1649949689184437E-2</v>
      </c>
      <c r="AH40" s="325"/>
      <c r="AI40" s="325"/>
      <c r="AJ40" s="325"/>
      <c r="AK40" s="325"/>
      <c r="AL40" s="325"/>
      <c r="AM40" s="325">
        <f>k.w3A.sdA*M.w3A*Molweight</f>
        <v>8.1309371167450399E-6</v>
      </c>
      <c r="AN40" s="326">
        <f>k.sdA.w3A*M.sdA*Molweight</f>
        <v>8.0824340199272603E-6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5.4401857269167522E-5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965.72971976666872</v>
      </c>
      <c r="D41" s="122">
        <f>C41/$C$51</f>
        <v>6.3636859791861469E-4</v>
      </c>
      <c r="E41" s="318">
        <f>E39*FRs.s1C</f>
        <v>1320.9749615861674</v>
      </c>
      <c r="F41" s="122">
        <f>E41/$E$51</f>
        <v>7.2052817423429606E-4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2.086466138674687E-7</v>
      </c>
      <c r="N41" s="320">
        <f>C.s1C*FRs.s1C*(Molweight*1000)/(FRACs.s1C*RHOsolid)</f>
        <v>1.8713805405972137E-8</v>
      </c>
      <c r="O41" s="320"/>
      <c r="P41" s="320"/>
      <c r="Q41" s="320"/>
      <c r="R41" s="120" t="s">
        <v>1494</v>
      </c>
      <c r="S41" s="325">
        <f>S39*(1-FRACw.s1R)</f>
        <v>8.9212482452783916E-6</v>
      </c>
      <c r="T41" s="325">
        <f>T39*(1-FRACw.s1C)</f>
        <v>8.0015918085570437E-7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1.9521595580238989E-11</v>
      </c>
      <c r="AG41" s="326">
        <f>KDEG.sdA*M.sdA*Molweight</f>
        <v>4.8483575222203893E-8</v>
      </c>
      <c r="AH41" s="325"/>
      <c r="AI41" s="325"/>
      <c r="AJ41" s="325"/>
      <c r="AK41" s="325"/>
      <c r="AL41" s="325"/>
      <c r="AM41" s="325">
        <f>k.w3A.sdA*M.w3A*Molweight</f>
        <v>8.1309371167450399E-6</v>
      </c>
      <c r="AN41" s="326">
        <f>k.sdA.w3A*M.sdA*Molweight</f>
        <v>8.0824340199272603E-6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1.2160503127367356E-6</v>
      </c>
      <c r="AG42" s="326">
        <f>KDEG.sA*M.sA*Molweight</f>
        <v>4.321491010197765E-5</v>
      </c>
      <c r="AH42" s="325"/>
      <c r="AI42" s="325"/>
      <c r="AJ42" s="325">
        <f>k.aA.sA*M.aA*Molweight</f>
        <v>3.3395947656444133E-4</v>
      </c>
      <c r="AK42" s="325">
        <f>k.sA.aA*M.sA*Molweight</f>
        <v>1.0900637541039611E-4</v>
      </c>
      <c r="AL42" s="325">
        <f>k.sA.w2A*M.sA*Molweight</f>
        <v>1.805221407393308E-4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5.608542646521922E-5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889458.43761713279</v>
      </c>
      <c r="D43" s="122">
        <f>C43/$C$51</f>
        <v>0.58610955764109041</v>
      </c>
      <c r="E43" s="318">
        <f>M.s2C*Molweight</f>
        <v>8857.0357944497591</v>
      </c>
      <c r="F43" s="122">
        <f>E43/$E$51</f>
        <v>4.8310861414358535E-3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1.9075514636549592E-5</v>
      </c>
      <c r="N43" s="320">
        <f>C.s2C*(Molweight*1000)/(FRACw.s2C*1000+(1-FRACa.s2C-FRACw.s2C)*RHOsolid)</f>
        <v>1.2455202226624191E-8</v>
      </c>
      <c r="O43" s="320"/>
      <c r="P43" s="320"/>
      <c r="Q43" s="320"/>
      <c r="R43" s="120" t="s">
        <v>1495</v>
      </c>
      <c r="S43" s="325">
        <f>F.s2R</f>
        <v>7.03091433952124E-4</v>
      </c>
      <c r="T43" s="325">
        <f>F.s2C</f>
        <v>4.5907783672068188E-7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4.109272261564765E-5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348030.60749137856</v>
      </c>
      <c r="D44" s="122">
        <f>C44/$C$51</f>
        <v>0.22933512885526952</v>
      </c>
      <c r="E44" s="318">
        <f>E43*FRw.s2C</f>
        <v>3465.6139261249041</v>
      </c>
      <c r="F44" s="122">
        <f>E44/$E$51</f>
        <v>1.8903253637702225E-3</v>
      </c>
      <c r="G44" s="318"/>
      <c r="H44" s="122"/>
      <c r="I44" s="318"/>
      <c r="J44" s="122"/>
      <c r="K44" s="318"/>
      <c r="L44" s="123"/>
      <c r="M44" s="320">
        <f>M45/Kp.s2R</f>
        <v>6.3443476012340949E-5</v>
      </c>
      <c r="N44" s="320">
        <f>N45/Kp.s2C</f>
        <v>4.1424901961996031E-8</v>
      </c>
      <c r="O44" s="320"/>
      <c r="P44" s="320"/>
      <c r="Q44" s="320"/>
      <c r="R44" s="120" t="s">
        <v>1489</v>
      </c>
      <c r="S44" s="325">
        <f>S43*FRACw.s2R</f>
        <v>1.4061828679042481E-4</v>
      </c>
      <c r="T44" s="325">
        <f>T43*FRACw.s2C</f>
        <v>9.1815567344136381E-8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7.8902733501736821E-2</v>
      </c>
      <c r="AE44" s="325">
        <f>k.aT.aM*M.aT*Molweight</f>
        <v>1.4518027446825508E-2</v>
      </c>
      <c r="AF44" s="325">
        <f>kesc.aT*M.aT*Molweight</f>
        <v>1.3305011632313326E-5</v>
      </c>
      <c r="AG44" s="326">
        <f>KDEG.aT*M.aT*Molweight</f>
        <v>5.4134275935296709E-3</v>
      </c>
      <c r="AH44" s="325">
        <f>AH45</f>
        <v>6.0743497656886039E-2</v>
      </c>
      <c r="AI44" s="325">
        <f>AI45</f>
        <v>2.0633310827778617E-3</v>
      </c>
      <c r="AJ44" s="325">
        <f>AJ48</f>
        <v>5.1594655074487092E-4</v>
      </c>
      <c r="AK44" s="325">
        <f>AK48</f>
        <v>2.3813967510373992E-4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1.5043857917297169E-6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541226.73803309561</v>
      </c>
      <c r="D45" s="122">
        <f>C45/$C$51</f>
        <v>0.35664191894332731</v>
      </c>
      <c r="E45" s="318">
        <f>E43*FRs.s2C</f>
        <v>5389.419436522162</v>
      </c>
      <c r="F45" s="122">
        <f>E45/$E$51</f>
        <v>2.9396685476288931E-3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1.3154898767532811E-5</v>
      </c>
      <c r="N45" s="320">
        <f>C.s2C*FRs.s2C*(Molweight*1000)/(FRACs.s2C*RHOsolid)</f>
        <v>8.5893842206727143E-9</v>
      </c>
      <c r="O45" s="320"/>
      <c r="P45" s="320"/>
      <c r="Q45" s="320"/>
      <c r="R45" s="120" t="s">
        <v>1494</v>
      </c>
      <c r="S45" s="325">
        <f>S43*(1-FRACw.s2R)</f>
        <v>5.6247314716169924E-4</v>
      </c>
      <c r="T45" s="325">
        <f>T43*(1-FRACw.s2C)</f>
        <v>3.6726226937654553E-7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2.5023828070858389E-4</v>
      </c>
      <c r="AE45" s="325">
        <f>(k.w2T.w2M+k.w2T.w3T)*M.w2T*Molweight</f>
        <v>1.8521904918859314E-2</v>
      </c>
      <c r="AF45" s="330"/>
      <c r="AG45" s="326">
        <f>KDEG.w2T*M.w2T*Molweight</f>
        <v>4.0590324306357471E-2</v>
      </c>
      <c r="AH45" s="325">
        <f>k.aT.w2T*M.aT*Molweight</f>
        <v>6.0743497656886039E-2</v>
      </c>
      <c r="AI45" s="325">
        <f>k.w2T.aT*M.w2T*Molweight</f>
        <v>2.0633310827778617E-3</v>
      </c>
      <c r="AJ45" s="325"/>
      <c r="AK45" s="325"/>
      <c r="AL45" s="325">
        <f>AL48</f>
        <v>1.8182437040001261E-4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1.7918749846049385E-2</v>
      </c>
      <c r="AE46" s="325">
        <f>(k.w3T.w2T+k.w3T.w3M)*M.w3T*Molweight</f>
        <v>2.5023828070858389E-4</v>
      </c>
      <c r="AF46" s="330"/>
      <c r="AG46" s="326">
        <f>KDEG.w3T*M.w3T*Molweight</f>
        <v>1.7668492188834959E-2</v>
      </c>
      <c r="AH46" s="325"/>
      <c r="AI46" s="325"/>
      <c r="AJ46" s="325"/>
      <c r="AK46" s="325"/>
      <c r="AL46" s="325"/>
      <c r="AM46" s="325">
        <f>k.w3T.sdT*M.w3T*Molweight</f>
        <v>3.0487416593490777E-7</v>
      </c>
      <c r="AN46" s="326">
        <f>k.sdT.w3T*M.sdT*Molweight</f>
        <v>2.854976601002421E-7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587.811729759988</v>
      </c>
      <c r="D47" s="122">
        <f>C47/$C$51</f>
        <v>3.8733914743543105E-4</v>
      </c>
      <c r="E47" s="318">
        <f>M.s3C*Molweight</f>
        <v>804.03922675922843</v>
      </c>
      <c r="F47" s="122">
        <f>E47/$E$51</f>
        <v>4.3856464574767187E-4</v>
      </c>
      <c r="G47" s="318">
        <f>M.sM*Molweight</f>
        <v>4361.7890920751297</v>
      </c>
      <c r="H47" s="122">
        <f>G47/$G$51</f>
        <v>3.9156298629467274E-3</v>
      </c>
      <c r="I47" s="318">
        <f>M.sA*Molweight</f>
        <v>1831.1644033842956</v>
      </c>
      <c r="J47" s="122">
        <f>I47/$I$51</f>
        <v>1.6841295950230689E-3</v>
      </c>
      <c r="K47" s="318">
        <f>M.sT*Molweight</f>
        <v>354.89677934184175</v>
      </c>
      <c r="L47" s="123">
        <f>K47/$K$51</f>
        <v>2.4374029586975189E-3</v>
      </c>
      <c r="M47" s="320">
        <f>C.s3R*(Molweight*1000)/(FRACw.s3R*1000+(1-FRACa.s3R-FRACw.s3R)*RHOsolid)</f>
        <v>3.0255204597381051E-7</v>
      </c>
      <c r="N47" s="320">
        <f>C.s3C*(Molweight*1000)/(FRACw.s3C*1000+(1-FRACa.s3C-FRACw.s3C)*RHOsolid)</f>
        <v>2.7136314405413914E-8</v>
      </c>
      <c r="O47" s="320">
        <f>C.sM*(Molweight*1000)/(FRACw.sM*1000+(1-FRACa.sM-FRACw.sM)*RHOsolid)</f>
        <v>1.3230471881211339E-9</v>
      </c>
      <c r="P47" s="320">
        <f>C.sA*(Molweight*1000)/(FRACw.sA*1000+(1-FRACa.sA-FRACw.sA)*RHOsolid)</f>
        <v>1.2672418016500316E-9</v>
      </c>
      <c r="Q47" s="320">
        <f>C.sT*(Molweight*1000)/(FRACw.sT*1000+(1-FRACa.sT-FRACw.sT)*RHOsolid)</f>
        <v>1.0915702555689093E-10</v>
      </c>
      <c r="R47" s="120" t="s">
        <v>1495</v>
      </c>
      <c r="S47" s="325">
        <f>F.s3R</f>
        <v>1.1151560306597989E-5</v>
      </c>
      <c r="T47" s="325">
        <f>F.s3C</f>
        <v>1.0001989760696304E-6</v>
      </c>
      <c r="U47" s="325">
        <f>F.sM</f>
        <v>4.8765297419554906E-8</v>
      </c>
      <c r="V47" s="325">
        <f>F.sA</f>
        <v>1.1360653075621047E-8</v>
      </c>
      <c r="W47" s="326">
        <f>F.sT</f>
        <v>8.4086804089729857E-9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6.8956577261755418E-13</v>
      </c>
      <c r="AG47" s="326">
        <f>KDEG.sdT*M.sdT*Molweight</f>
        <v>1.937581626889297E-8</v>
      </c>
      <c r="AH47" s="325"/>
      <c r="AI47" s="325"/>
      <c r="AJ47" s="325"/>
      <c r="AK47" s="325"/>
      <c r="AL47" s="325"/>
      <c r="AM47" s="325">
        <f>k.w3T.sdT*M.w3T*Molweight</f>
        <v>3.0487416593490777E-7</v>
      </c>
      <c r="AN47" s="326">
        <f>k.sdT.w3T*M.sdT*Molweight</f>
        <v>2.854976601002421E-7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1.7918340432200064E-7</v>
      </c>
      <c r="AW47" s="75"/>
      <c r="AX47" s="290">
        <f>output!AF16</f>
        <v>1.4033960658910315E-5</v>
      </c>
      <c r="AY47" s="75"/>
      <c r="AZ47" s="75"/>
      <c r="BA47" s="75"/>
      <c r="BB47" s="75"/>
      <c r="BC47" s="2"/>
      <c r="BD47" s="295">
        <f>output!AF18</f>
        <v>2.9506108292853006E-6</v>
      </c>
      <c r="BE47" s="75"/>
      <c r="BF47" s="295">
        <f>output!AF20</f>
        <v>1.0928188256612222E-6</v>
      </c>
      <c r="BG47" s="75"/>
      <c r="BH47" s="299">
        <f>output!AF19</f>
        <v>7.5248654440851449E-4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230.0011610963958</v>
      </c>
      <c r="D48" s="122">
        <f>C48/$C$51</f>
        <v>1.5155950304804786E-4</v>
      </c>
      <c r="E48" s="318">
        <f>E47*FRw.s3C</f>
        <v>314.60746078881476</v>
      </c>
      <c r="F48" s="122">
        <f>E48/$E$51</f>
        <v>1.7160320665765016E-4</v>
      </c>
      <c r="G48" s="318">
        <f>G47*FRw.sM</f>
        <v>1706.6970678596388</v>
      </c>
      <c r="H48" s="122">
        <f>G48/$G$51</f>
        <v>1.53212222435438E-3</v>
      </c>
      <c r="I48" s="318">
        <f>I47*FRw.sA</f>
        <v>716.62414343309706</v>
      </c>
      <c r="J48" s="122">
        <f>I48/$I$51</f>
        <v>6.5908223545259304E-4</v>
      </c>
      <c r="K48" s="318">
        <f>K47*FRw.sT</f>
        <v>138.83396793825531</v>
      </c>
      <c r="L48" s="123">
        <f>K48/$K$51</f>
        <v>9.5350069067398787E-4</v>
      </c>
      <c r="M48" s="320">
        <f>M49/Kp.s3R</f>
        <v>1.0062613689302872E-6</v>
      </c>
      <c r="N48" s="320">
        <f>N49/Kp.s3C</f>
        <v>9.0252983725246919E-8</v>
      </c>
      <c r="O48" s="320">
        <f>O49/Kp.sM</f>
        <v>4.4003380323971829E-9</v>
      </c>
      <c r="P48" s="320">
        <f>P49/Kp.sA</f>
        <v>4.2154361378417479E-9</v>
      </c>
      <c r="Q48" s="320">
        <f>Q49/Kp.sT</f>
        <v>3.6296462206079808E-10</v>
      </c>
      <c r="R48" s="120" t="s">
        <v>1489</v>
      </c>
      <c r="S48" s="325">
        <f>S47*FRACw.s3R</f>
        <v>2.2303120613195979E-6</v>
      </c>
      <c r="T48" s="325">
        <f>T47*FRACw.s3C</f>
        <v>2.0003979521392609E-7</v>
      </c>
      <c r="U48" s="325">
        <f>U47*FRACw.sM</f>
        <v>9.7530594839109819E-9</v>
      </c>
      <c r="V48" s="325">
        <f>V47*FRACw.sA</f>
        <v>2.2721306151242095E-9</v>
      </c>
      <c r="W48" s="326">
        <f>W47*FRACw.sT</f>
        <v>1.6817360817945972E-9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1.2250651568466257E-6</v>
      </c>
      <c r="AG48" s="326">
        <f>KDEG.sT*M.sT*Molweight</f>
        <v>9.4757440084271746E-5</v>
      </c>
      <c r="AH48" s="325"/>
      <c r="AI48" s="325"/>
      <c r="AJ48" s="325">
        <f>k.aT.sT*M.aT*Molweight</f>
        <v>5.1594655074487092E-4</v>
      </c>
      <c r="AK48" s="325">
        <f>k.sT.aT*M.sT*Molweight</f>
        <v>2.3813967510373992E-4</v>
      </c>
      <c r="AL48" s="333">
        <f>k.sT.w2T*M.sT*Molweight</f>
        <v>1.8182437040001261E-4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357.677673987655</v>
      </c>
      <c r="D49" s="122">
        <f>C49/$C$51</f>
        <v>2.3569207330319058E-4</v>
      </c>
      <c r="E49" s="318">
        <f>E47*FRs.s3C</f>
        <v>489.24998577265444</v>
      </c>
      <c r="F49" s="122">
        <f>E49/$E$51</f>
        <v>2.6686228675344286E-4</v>
      </c>
      <c r="G49" s="318">
        <f>G47*FRs.sM</f>
        <v>2654.1058946121666</v>
      </c>
      <c r="H49" s="122">
        <f>G49/$G$51</f>
        <v>2.3826223783374382E-3</v>
      </c>
      <c r="I49" s="318">
        <f>I47*FRs.sA</f>
        <v>1114.4311425415776</v>
      </c>
      <c r="J49" s="122">
        <f>I49/$I$51</f>
        <v>1.0249470038304149E-3</v>
      </c>
      <c r="K49" s="318">
        <f>K47*FRs.sT</f>
        <v>215.90243495257727</v>
      </c>
      <c r="L49" s="123">
        <f>K49/$K$51</f>
        <v>1.4828008152661402E-3</v>
      </c>
      <c r="M49" s="320">
        <f>C.s3R*FRs.s3R*(Molweight*1000)/(FRACs.s3R*RHOsolid)</f>
        <v>2.086466138674687E-7</v>
      </c>
      <c r="N49" s="320">
        <f>C.s3C*FRs.s3C*(Molweight*1000)/(FRACs.s3C*RHOsolid)</f>
        <v>1.8713805405972137E-8</v>
      </c>
      <c r="O49" s="320">
        <f>C.sM*FRs.sM*(Molweight*1000)/(FRACs.sM*RHOsolid)</f>
        <v>9.1240274016274818E-10</v>
      </c>
      <c r="P49" s="320">
        <f>C.sA*FRs.sA*(Molweight*1000)/(FRACs.sA*RHOsolid)</f>
        <v>8.7406364120908056E-10</v>
      </c>
      <c r="Q49" s="320">
        <f>C.sT*FRs.sT*(Molweight*1000)/(FRACs.sT*RHOsolid)</f>
        <v>7.5260108044471341E-11</v>
      </c>
      <c r="R49" s="120" t="s">
        <v>1494</v>
      </c>
      <c r="S49" s="325">
        <f>S47*(1-FRACw.s3R)</f>
        <v>8.9212482452783916E-6</v>
      </c>
      <c r="T49" s="325">
        <f>T47*(1-FRACw.s3C)</f>
        <v>8.0015918085570437E-7</v>
      </c>
      <c r="U49" s="325">
        <f>U47*(1-FRACw.sM)</f>
        <v>3.9012237935643928E-8</v>
      </c>
      <c r="V49" s="325">
        <f>V47*(1-FRACw.sA)</f>
        <v>9.0885224604968379E-9</v>
      </c>
      <c r="W49" s="326">
        <f>W47*(1-FRACw.sT)</f>
        <v>6.7269443271783889E-9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9.7088193549510796E-4</v>
      </c>
      <c r="AG49" s="336">
        <f>SUM(AG11:AG48)</f>
        <v>0.95032287757744249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1517563.4418877722</v>
      </c>
      <c r="D51" s="130">
        <f>C51/SUM($C$51,$E$51,$G$51,$I$51,$K$51)</f>
        <v>0.26634388099150019</v>
      </c>
      <c r="E51" s="317">
        <f>SUM(E11,E15,E19,E23,E27,E31,E35,E39,E43,E47)</f>
        <v>1833342.5517884365</v>
      </c>
      <c r="F51" s="130">
        <f>E51/SUM($C$51,$E$51,$G$51,$I$51,$K$51)</f>
        <v>0.32176550709654195</v>
      </c>
      <c r="G51" s="317">
        <f>SUM(G11,G15,G19,G23,G27,G31,G35,G39,G43,G47)</f>
        <v>1113943.1572300459</v>
      </c>
      <c r="H51" s="130">
        <f>G51/SUM($C$51,$E$51,$G$51,$I$51,$K$51)</f>
        <v>0.19550546323882548</v>
      </c>
      <c r="I51" s="317">
        <f>SUM(I11,I15,I19,I23,I27,I31,I35,I39,I43,I47)</f>
        <v>1087306.1127811917</v>
      </c>
      <c r="J51" s="130">
        <f>I51/SUM($C$51,$E$51,$G$51,$I$51,$K$51)</f>
        <v>0.19083046013791685</v>
      </c>
      <c r="K51" s="317">
        <f>SUM(K11,K15,K19,K23,K27,K31,K35,K39,K43,K47)</f>
        <v>145604.47548299065</v>
      </c>
      <c r="L51" s="130">
        <f>K51/SUM($C$51,$E$51,$G$51,$I$51,$K$51)</f>
        <v>2.5554688535215395E-2</v>
      </c>
      <c r="M51" s="199"/>
      <c r="N51" s="199"/>
      <c r="O51" s="199"/>
      <c r="P51" s="199"/>
      <c r="Q51" s="199"/>
      <c r="R51" s="199"/>
      <c r="S51" s="328">
        <f>SUM(S11,S15,S19,S23,S27,S35,S39,S43,S47)</f>
        <v>1.3340132918830197E-3</v>
      </c>
      <c r="T51" s="328">
        <f>SUM(T11,T15,T19,T23,T27,T35,T39,T43,T47)</f>
        <v>4.1370658414256093E-6</v>
      </c>
      <c r="U51" s="328">
        <f>SUM(U11,U15,U19,U23,U27,U35,U39,U43,U47)</f>
        <v>7.984443621887157E-8</v>
      </c>
      <c r="V51" s="328">
        <f>SUM(V11,V15,V19,V23,V27,V35,V39,V43,V47)</f>
        <v>1.7400786331898104E-8</v>
      </c>
      <c r="W51" s="328">
        <f>SUM(W11,W15,W19,W23,W27,W35,W39,W43,W47)</f>
        <v>1.4321236141154749E-8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3.5444501406045403E-7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7.3615176300981634E-7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2.5312981182816691E-5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2.0257688831946986E-6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1.977242409235025E-5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1.5989952197215818E-6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3.0255204597381051E-7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1.9075514636549592E-5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3.0255204597381051E-7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3.066060025048763E-2</v>
      </c>
      <c r="AY72" s="75"/>
      <c r="AZ72" s="256">
        <f>output!AF22</f>
        <v>8.3753883868104381E-5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0.78191750410779037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0.3845995527266437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0.12470783314115436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5.9284938363130327E-4</v>
      </c>
      <c r="BE84" s="2"/>
      <c r="BF84" s="304">
        <f>IF(output!AK30&lt;0,"",output!AK30)</f>
        <v>2.1957384578937149E-4</v>
      </c>
      <c r="BG84" s="75"/>
      <c r="BH84" s="311">
        <f>IF(output!AK29&lt;0,"",output!AK29)</f>
        <v>1.1006644272498062E-3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1.4293460352557491E-2</v>
      </c>
      <c r="AV85" s="87"/>
      <c r="AW85" s="75"/>
      <c r="AX85" s="304">
        <f>output!AL24</f>
        <v>1.771998375860336E-3</v>
      </c>
      <c r="AY85" s="87"/>
      <c r="AZ85" s="201"/>
      <c r="BA85" s="311">
        <f>IF(output!AI23&lt;0,"",output!AI23)</f>
        <v>7.9448590750487539E-5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1.4313367427878018E-3</v>
      </c>
      <c r="BE86" s="87"/>
      <c r="BF86" s="304">
        <f>IF(output!AJ30&lt;0,"",output!AJ30)</f>
        <v>5.3012471955103766E-4</v>
      </c>
      <c r="BG86" s="75"/>
      <c r="BH86" s="311">
        <f>IF(output!AJ29&lt;0,"",output!AJ29)</f>
        <v>3.1807483173062262E-3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0.37490500825725287</v>
      </c>
      <c r="AV87" s="200"/>
      <c r="AW87" s="84"/>
      <c r="AX87" s="304">
        <f>IF(output!AH24&lt;0,"",output!AH24)</f>
        <v>9.6780638374284588E-3</v>
      </c>
      <c r="AY87" s="291">
        <f>output!AL24</f>
        <v>1.771998375860336E-3</v>
      </c>
      <c r="AZ87" s="75"/>
      <c r="BA87" s="311">
        <f>IF(output!AH23&lt;0,"",output!AH23)</f>
        <v>8.7982398522076918E-4</v>
      </c>
      <c r="BB87" s="291">
        <f>output!AL23</f>
        <v>1.6109076144184877E-4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1.0495461764368725E-5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9.3020641008487626E-4</v>
      </c>
      <c r="AT89" s="83"/>
      <c r="AU89" s="302"/>
      <c r="AV89" s="75"/>
      <c r="AW89" s="81"/>
      <c r="AX89" s="265">
        <f>output!AD24</f>
        <v>1.0495461764368725E-5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4.995025364216172E-2</v>
      </c>
      <c r="AT90" s="81"/>
      <c r="AU90" s="278">
        <f>output!AD25</f>
        <v>3.15198053414186E-2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9.5097069414776161E-4</v>
      </c>
      <c r="BB91" s="309">
        <f>IF(ISERROR(output!F15),0,output!F15)</f>
        <v>2.3880463054498534E-3</v>
      </c>
      <c r="BC91" s="2"/>
      <c r="BD91" s="295">
        <f>output!AG28</f>
        <v>2.3540369118677014E-4</v>
      </c>
      <c r="BE91" s="2"/>
      <c r="BF91" s="312">
        <f>output!AG30</f>
        <v>8.718655229139632E-5</v>
      </c>
      <c r="BG91" s="75"/>
      <c r="BH91" s="295">
        <f>output!AG29</f>
        <v>9.604188312454119E-4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6.9844861537071024E-3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2.7813287305951924E-3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1.1594130019697005E-4</v>
      </c>
      <c r="AZ96" s="75"/>
      <c r="BA96" s="75"/>
      <c r="BB96" s="43"/>
      <c r="BC96" s="2"/>
      <c r="BD96" s="277">
        <f>IF(ISERROR(output!F39),0,output!F39)</f>
        <v>1.1841245435187146E-3</v>
      </c>
      <c r="BE96" s="43"/>
      <c r="BF96" s="277">
        <f>IF(ISERROR(output!F47),0,output!F47)</f>
        <v>4.3856464574767187E-4</v>
      </c>
      <c r="BG96" s="43"/>
      <c r="BH96" s="277">
        <f>IF(ISERROR(output!F43),0,output!F43)</f>
        <v>4.8310861414358535E-3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0.34217502877888856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1.1945182179238556E-4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3.1367904191507387E-6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0.85926267812607837</v>
      </c>
      <c r="AW101" s="56"/>
      <c r="AX101" s="307"/>
      <c r="AY101" s="276">
        <f>IF(ISERROR(output!F23),0,output!F23)</f>
        <v>7.0924198019627091E-5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2.120010722994426E-4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2.1807189736308685E-4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1.3225674488848317E-4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5.8493673783868716E-6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2.2145768525744343E-7</v>
      </c>
      <c r="AW111" s="75"/>
      <c r="AX111" s="290">
        <f>output!AF26</f>
        <v>3.7373117626477385E-7</v>
      </c>
      <c r="AY111" s="75"/>
      <c r="AZ111" s="75"/>
      <c r="BA111" s="75"/>
      <c r="BB111" s="76"/>
      <c r="BC111" s="2"/>
      <c r="BD111" s="295">
        <f>output!AF28</f>
        <v>4.0359978025866324E-6</v>
      </c>
      <c r="BE111" s="76"/>
      <c r="BF111" s="295">
        <f>output!AF30</f>
        <v>1.4948140009580117E-6</v>
      </c>
      <c r="BG111" s="43"/>
      <c r="BH111" s="294">
        <f>output!AF29</f>
        <v>7.4930991452766258E-6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3.1757777134980792E-8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5.0238759179106119E-9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4.4526307533955144E-8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2.1211269843246912E-9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3.4780298277368125E-8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1.6742639974846811E-9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2.7136314405413914E-8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1.2455202226624191E-8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2.7136314405413914E-8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0.13985828483017176</v>
      </c>
      <c r="AT136" s="81">
        <f>output!AD32</f>
        <v>0.34009454916369752</v>
      </c>
      <c r="AU136" s="268">
        <f>output!AF32</f>
        <v>4.3993641123832209E-5</v>
      </c>
      <c r="AV136" s="221"/>
      <c r="AW136" s="221"/>
      <c r="AX136" s="221"/>
      <c r="AY136" s="279">
        <f>output!AE38</f>
        <v>9.6557715411963799E-3</v>
      </c>
      <c r="AZ136" s="266">
        <f>output!AD38</f>
        <v>4.5554514427025058E-2</v>
      </c>
      <c r="BA136" s="268">
        <f>output!AF38</f>
        <v>5.1089776142914115E-6</v>
      </c>
      <c r="BB136" s="75"/>
      <c r="BC136" s="75"/>
      <c r="BD136" s="75"/>
      <c r="BE136" s="279">
        <f>output!AE44</f>
        <v>1.4518027446825508E-2</v>
      </c>
      <c r="BF136" s="266">
        <f>output!AD44</f>
        <v>7.8902733501736821E-2</v>
      </c>
      <c r="BG136" s="268">
        <f>output!AF44</f>
        <v>1.3305011632313326E-5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1.6105180819858282E-2</v>
      </c>
      <c r="AV141" s="223" t="s">
        <v>446</v>
      </c>
      <c r="AW141" s="221"/>
      <c r="AX141" s="221"/>
      <c r="AY141" s="2"/>
      <c r="AZ141" s="202"/>
      <c r="BA141" s="269">
        <f>output!AG38</f>
        <v>1.5640990847421107E-3</v>
      </c>
      <c r="BB141" s="47" t="s">
        <v>446</v>
      </c>
      <c r="BC141" s="75"/>
      <c r="BD141" s="75"/>
      <c r="BE141" s="2"/>
      <c r="BF141" s="202"/>
      <c r="BG141" s="269">
        <f>output!AG44</f>
        <v>5.4134275935296709E-3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0.10781005658569916</v>
      </c>
      <c r="AW142" s="221"/>
      <c r="AX142" s="221"/>
      <c r="AY142" s="203"/>
      <c r="AZ142" s="202"/>
      <c r="BA142" s="75"/>
      <c r="BB142" s="277">
        <f>IF(ISERROR(output!J11),0,output!J11)</f>
        <v>1.2826689047056871E-2</v>
      </c>
      <c r="BC142" s="75"/>
      <c r="BD142" s="75"/>
      <c r="BE142" s="203"/>
      <c r="BF142" s="75"/>
      <c r="BG142" s="75"/>
      <c r="BH142" s="277">
        <f>IF(ISERROR(output!L11),0,output!L11)</f>
        <v>0.24944392449976396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1.1911543287873236E-3</v>
      </c>
      <c r="AY144" s="2"/>
      <c r="AZ144" s="75"/>
      <c r="BA144" s="75"/>
      <c r="BB144" s="75"/>
      <c r="BC144" s="75"/>
      <c r="BD144" s="270">
        <f>k.sA.aA*M.sA*Molweight</f>
        <v>1.0900637541039611E-4</v>
      </c>
      <c r="BE144" s="2"/>
      <c r="BF144" s="75"/>
      <c r="BG144" s="75"/>
      <c r="BH144" s="75"/>
      <c r="BI144" s="75"/>
      <c r="BJ144" s="270">
        <f>k.sT.aT*M.sT*Molweight</f>
        <v>2.3813967510373992E-4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8.4911903942547495E-3</v>
      </c>
      <c r="AV145" s="221"/>
      <c r="AW145" s="221"/>
      <c r="AX145" s="221"/>
      <c r="AY145" s="2"/>
      <c r="AZ145" s="75"/>
      <c r="BA145" s="270">
        <f>k.w2A.aA*M.w2A*Molweight</f>
        <v>1.2088044302570756E-3</v>
      </c>
      <c r="BB145" s="75"/>
      <c r="BC145" s="75"/>
      <c r="BD145" s="221"/>
      <c r="BE145" s="2"/>
      <c r="BF145" s="75"/>
      <c r="BG145" s="270">
        <f>k.w2T.aT*M.w2T*Molweight</f>
        <v>2.0633310827778617E-3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2.8758450361894158E-3</v>
      </c>
      <c r="AY146" s="2"/>
      <c r="AZ146" s="75"/>
      <c r="BA146" s="221"/>
      <c r="BB146" s="75"/>
      <c r="BC146" s="75"/>
      <c r="BD146" s="270">
        <f>IF(output!AJ42&lt;0,"",output!AJ42)</f>
        <v>3.3395947656444133E-4</v>
      </c>
      <c r="BE146" s="2"/>
      <c r="BF146" s="75"/>
      <c r="BG146" s="221"/>
      <c r="BH146" s="75"/>
      <c r="BI146" s="75"/>
      <c r="BJ146" s="270">
        <f>IF(output!AJ48&lt;0,"",output!AJ48)</f>
        <v>5.1594655074487092E-4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0.137500090129487</v>
      </c>
      <c r="AT147" s="81">
        <f>output!AD33</f>
        <v>5.5530539342500927E-2</v>
      </c>
      <c r="AU147" s="270">
        <f>IF(output!AH33&lt;0,"",output!AH33)</f>
        <v>0.19089358955939617</v>
      </c>
      <c r="AV147" s="272">
        <f>output!AL33</f>
        <v>1.2036079401801616E-3</v>
      </c>
      <c r="AW147" s="221"/>
      <c r="AX147" s="221"/>
      <c r="AY147" s="279">
        <f>output!AE39</f>
        <v>5.1285327034203264E-2</v>
      </c>
      <c r="AZ147" s="266">
        <f>output!AD39</f>
        <v>2.6004151778269358E-2</v>
      </c>
      <c r="BA147" s="270">
        <f>IF(output!AH39&lt;0,"",output!AH39)</f>
        <v>3.5313386152575309E-2</v>
      </c>
      <c r="BB147" s="272">
        <f>output!AL39</f>
        <v>1.805221407393308E-4</v>
      </c>
      <c r="BC147" s="75"/>
      <c r="BD147" s="75"/>
      <c r="BE147" s="279">
        <f>output!AE45</f>
        <v>1.8521904918859314E-2</v>
      </c>
      <c r="BF147" s="266">
        <f>output!AD45</f>
        <v>2.5023828070858389E-4</v>
      </c>
      <c r="BG147" s="270">
        <f>IF(output!AH45&lt;0,"",output!AH45)</f>
        <v>6.0743497656886039E-2</v>
      </c>
      <c r="BH147" s="272">
        <f>output!AL45</f>
        <v>1.8182437040001261E-4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0.42005652877209898</v>
      </c>
      <c r="AW150" s="221"/>
      <c r="AX150" s="221"/>
      <c r="AY150" s="2"/>
      <c r="AZ150" s="75"/>
      <c r="BA150" s="59"/>
      <c r="BB150" s="273">
        <f>IF(ISERROR(output!J27),0,output!J27)</f>
        <v>0.17517311724344553</v>
      </c>
      <c r="BC150" s="78"/>
      <c r="BD150" s="75"/>
      <c r="BE150" s="2"/>
      <c r="BF150" s="75"/>
      <c r="BG150" s="59"/>
      <c r="BH150" s="273">
        <f>IF(ISERROR(output!L27),0,output!L27)</f>
        <v>0.52123078414478197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4.7297363126554153E-4</v>
      </c>
      <c r="AY151" s="2"/>
      <c r="AZ151" s="75"/>
      <c r="BA151" s="59"/>
      <c r="BB151" s="49"/>
      <c r="BC151" s="75"/>
      <c r="BD151" s="274">
        <f>output!AJ42</f>
        <v>3.3395947656444133E-4</v>
      </c>
      <c r="BE151" s="2"/>
      <c r="BF151" s="75"/>
      <c r="BG151" s="59"/>
      <c r="BH151" s="59"/>
      <c r="BI151" s="75"/>
      <c r="BJ151" s="274">
        <f>output!AG48</f>
        <v>9.4757440084271746E-5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0.10163645631833555</v>
      </c>
      <c r="AW152" s="221"/>
      <c r="AX152" s="221"/>
      <c r="AY152" s="2"/>
      <c r="AZ152" s="75"/>
      <c r="BA152" s="59"/>
      <c r="BB152" s="257">
        <f>output!AG39</f>
        <v>9.0039286071236652E-3</v>
      </c>
      <c r="BC152" s="2"/>
      <c r="BD152" s="75"/>
      <c r="BE152" s="2"/>
      <c r="BF152" s="75"/>
      <c r="BG152" s="59"/>
      <c r="BH152" s="257">
        <f>output!AG45</f>
        <v>4.0590324306357471E-2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4.3309148220460666E-3</v>
      </c>
      <c r="AU153" s="224"/>
      <c r="AV153" s="225"/>
      <c r="AW153" s="221"/>
      <c r="AX153" s="221"/>
      <c r="AY153" s="2"/>
      <c r="AZ153" s="275">
        <f>k.w3A.w2A*M.w3A*Molweight</f>
        <v>7.9077751648614324E-3</v>
      </c>
      <c r="BA153" s="59"/>
      <c r="BB153" s="49"/>
      <c r="BC153" s="2"/>
      <c r="BD153" s="75"/>
      <c r="BE153" s="2"/>
      <c r="BF153" s="275">
        <f>k.w3T.w2T*M.w3T*Molweight</f>
        <v>2.5023828070858389E-4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0.1165641998195286</v>
      </c>
      <c r="AU155" s="221"/>
      <c r="AV155" s="223" t="s">
        <v>2166</v>
      </c>
      <c r="AW155" s="221"/>
      <c r="AX155" s="271">
        <f>IF(ISERROR(output!H47),0,output!H47)</f>
        <v>3.9156298629467274E-3</v>
      </c>
      <c r="AY155" s="2"/>
      <c r="AZ155" s="275">
        <f>k.w2A.w3A*M.w2A*Molweight</f>
        <v>5.1285327034203264E-2</v>
      </c>
      <c r="BA155" s="75"/>
      <c r="BB155" s="223" t="s">
        <v>2166</v>
      </c>
      <c r="BC155" s="47"/>
      <c r="BD155" s="271">
        <f>IF(ISERROR(output!J47),0,output!J47)</f>
        <v>1.6841295950230689E-3</v>
      </c>
      <c r="BE155" s="2"/>
      <c r="BF155" s="275">
        <f>k.w2T.w3T*M.w2T*Molweight</f>
        <v>1.724638332338051E-2</v>
      </c>
      <c r="BG155" s="75"/>
      <c r="BH155" s="223" t="s">
        <v>2166</v>
      </c>
      <c r="BI155" s="47"/>
      <c r="BJ155" s="271">
        <f>IF(ISERROR(output!L47),0,output!L47)</f>
        <v>2.4374029586975189E-3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0.46821298032490377</v>
      </c>
      <c r="AW156" s="221"/>
      <c r="AX156" s="221"/>
      <c r="AY156" s="203"/>
      <c r="AZ156" s="2"/>
      <c r="BA156" s="75"/>
      <c r="BB156" s="273">
        <f>IF(ISERROR(output!J31),0,output!J31)</f>
        <v>0.8103075711100991</v>
      </c>
      <c r="BC156" s="75"/>
      <c r="BD156" s="75"/>
      <c r="BE156" s="203"/>
      <c r="BF156" s="2"/>
      <c r="BG156" s="75"/>
      <c r="BH156" s="273">
        <f>IF(ISERROR(output!L31),0,output!L31)</f>
        <v>0.22688564813462167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5.0032813447149398E-3</v>
      </c>
      <c r="AT157" s="266">
        <f>output!AD34</f>
        <v>0.11829175349658919</v>
      </c>
      <c r="AU157" s="221"/>
      <c r="AV157" s="225"/>
      <c r="AW157" s="226"/>
      <c r="AX157" s="221"/>
      <c r="AY157" s="279">
        <f>output!AE40</f>
        <v>9.6353288419220012E-3</v>
      </c>
      <c r="AZ157" s="266">
        <f>output!AD40</f>
        <v>5.1285327034203264E-2</v>
      </c>
      <c r="BA157" s="75"/>
      <c r="BB157" s="2"/>
      <c r="BC157" s="76"/>
      <c r="BD157" s="75"/>
      <c r="BE157" s="279">
        <f>output!AE46</f>
        <v>2.5023828070858389E-4</v>
      </c>
      <c r="BF157" s="266">
        <f>output!AD46</f>
        <v>1.7918749846049385E-2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0.11328834302748883</v>
      </c>
      <c r="AW158" s="226"/>
      <c r="AX158" s="221"/>
      <c r="AY158" s="2"/>
      <c r="AZ158" s="75"/>
      <c r="BA158" s="75"/>
      <c r="BB158" s="274">
        <f>output!AG40</f>
        <v>4.1649949689184437E-2</v>
      </c>
      <c r="BC158" s="2"/>
      <c r="BD158" s="75"/>
      <c r="BE158" s="2"/>
      <c r="BF158" s="75"/>
      <c r="BG158" s="75"/>
      <c r="BH158" s="274">
        <f>output!AG46</f>
        <v>1.7668492188834959E-2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4.6842024863618092E-6</v>
      </c>
      <c r="AU159" s="221"/>
      <c r="AV159" s="221"/>
      <c r="AW159" s="226"/>
      <c r="AX159" s="221"/>
      <c r="AY159" s="2"/>
      <c r="AZ159" s="272">
        <f>k.sdA.w3A*M.sdA*Molweight</f>
        <v>8.0824340199272603E-6</v>
      </c>
      <c r="BA159" s="2"/>
      <c r="BB159" s="75"/>
      <c r="BC159" s="2"/>
      <c r="BD159" s="75"/>
      <c r="BE159" s="2"/>
      <c r="BF159" s="275">
        <f>k.sdT.w3T*M.sdT*Molweight</f>
        <v>2.854976601002421E-7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4.8133268717842736E-6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8.1309371167450399E-6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3.0487416593490777E-7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4.8044543512859766E-6</v>
      </c>
      <c r="AW162" s="221"/>
      <c r="AX162" s="221"/>
      <c r="AY162" s="2"/>
      <c r="AZ162" s="75"/>
      <c r="BA162" s="47"/>
      <c r="BB162" s="276">
        <f>IF(ISERROR(output!J35),0,output!J35)</f>
        <v>8.4930043754243916E-6</v>
      </c>
      <c r="BC162" s="75"/>
      <c r="BD162" s="75"/>
      <c r="BE162" s="2"/>
      <c r="BF162" s="75"/>
      <c r="BG162" s="47"/>
      <c r="BH162" s="276">
        <f>IF(ISERROR(output!L35),0,output!L35)</f>
        <v>2.2402621347797218E-6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1.2910841573708271E-7</v>
      </c>
      <c r="AV164" s="269">
        <f>output!AF35</f>
        <v>1.5969685381063593E-11</v>
      </c>
      <c r="AW164" s="221"/>
      <c r="AX164" s="274">
        <f>output!AF36</f>
        <v>8.1091359563882151E-6</v>
      </c>
      <c r="AY164" s="2"/>
      <c r="AZ164" s="2"/>
      <c r="BA164" s="269">
        <f>output!AG41</f>
        <v>4.8483575222203893E-8</v>
      </c>
      <c r="BB164" s="269">
        <f>output!AF41</f>
        <v>1.9521595580238989E-11</v>
      </c>
      <c r="BC164" s="75"/>
      <c r="BD164" s="274">
        <f>output!AF42</f>
        <v>1.2160503127367356E-6</v>
      </c>
      <c r="BE164" s="2"/>
      <c r="BF164" s="2"/>
      <c r="BG164" s="269">
        <f>output!AG47</f>
        <v>1.937581626889297E-8</v>
      </c>
      <c r="BH164" s="269">
        <f>output!AF47</f>
        <v>6.8956577261755418E-13</v>
      </c>
      <c r="BI164" s="75"/>
      <c r="BJ164" s="274">
        <f>output!AF48</f>
        <v>1.2250651568466257E-6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120094.27481422362</v>
      </c>
      <c r="BA172" s="128">
        <f>output!I11</f>
        <v>13946.537407608495</v>
      </c>
      <c r="BB172" s="128">
        <f>output!K11</f>
        <v>36320.151789206851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467919.09587548557</v>
      </c>
      <c r="BA173" s="128">
        <f>output!I27</f>
        <v>190466.80117373471</v>
      </c>
      <c r="BB173" s="128">
        <f>output!K27</f>
        <v>75893.534930988899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521562.64555921266</v>
      </c>
      <c r="BA174" s="128">
        <f>output!I31</f>
        <v>881052.37530089088</v>
      </c>
      <c r="BB174" s="128">
        <f>output!K31</f>
        <v>33035.565791259964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5.3518890488391326</v>
      </c>
      <c r="BA175" s="128">
        <f>output!I35</f>
        <v>9.2344955732763481</v>
      </c>
      <c r="BB175" s="128">
        <f>output!K35</f>
        <v>0.32619219307900627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4361.7890920751297</v>
      </c>
      <c r="BA176" s="128">
        <f>output!I47</f>
        <v>1831.1644033842956</v>
      </c>
      <c r="BB176" s="128">
        <f>output!K47</f>
        <v>354.89677934184175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0.18992532463901457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0.56977597391704371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0.56977597391704371</v>
      </c>
      <c r="G11" s="508">
        <f>2*Scale*(M.tot/Emis.tot)/(3600*24*365)</f>
        <v>1.1395519478340874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5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5.9400000000000003E-8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2.67E-7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1.7467547551382265E-7</v>
      </c>
      <c r="M271" s="451">
        <f>((DRYDEPaerosol.R+AerosolWashout.R+GasWashout.R+GASABS.aR.sR)/HEIGHT.aR)*AREAFRAC.s1R</f>
        <v>1.7467547551382265E-7</v>
      </c>
      <c r="N271" s="451">
        <f>((DRYDEPaerosol.R+AerosolWashout.R+GasWashout.R+GASABS.aR.sR)/HEIGHT.aR)*AREAFRAC.s1R</f>
        <v>1.7467547551382265E-7</v>
      </c>
      <c r="O271" s="451">
        <f>((DRYDEPaerosol.R+AerosolWashout.R+GasWashout.R+GASABS.aR.sR)/HEIGHT.aR)*AREAFRAC.s1R</f>
        <v>1.7467547551382265E-7</v>
      </c>
      <c r="P271" s="451">
        <f>((DRYDEPaerosol.R+AerosolWashout.R+GasWashout.R+GASABS.aR.sR)/HEIGHT.aR)*AREAFRAC.s1R</f>
        <v>1.7467547551382265E-7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3.8816772336405022E-7</v>
      </c>
      <c r="M272" s="451">
        <f>((DRYDEPaerosol.R+AerosolWashout.R+GasWashout.R+GASABS.aR.sR)/HEIGHT.aR)*AREAFRAC.s2R</f>
        <v>3.8816772336405022E-7</v>
      </c>
      <c r="N272" s="451">
        <f>((DRYDEPaerosol.R+AerosolWashout.R+GasWashout.R+GASABS.aR.sR)/HEIGHT.aR)*AREAFRAC.s2R</f>
        <v>3.8816772336405022E-7</v>
      </c>
      <c r="O272" s="451">
        <f>((DRYDEPaerosol.R+AerosolWashout.R+GasWashout.R+GASABS.aR.sR)/HEIGHT.aR)*AREAFRAC.s2R</f>
        <v>3.8816772336405022E-7</v>
      </c>
      <c r="P272" s="451">
        <f>((DRYDEPaerosol.R+AerosolWashout.R+GasWashout.R+GASABS.aR.sR)/HEIGHT.aR)*AREAFRAC.s2R</f>
        <v>3.8816772336405022E-7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6.4694620560675046E-8</v>
      </c>
      <c r="M273" s="451">
        <f>((DRYDEPaerosol.R+AerosolWashout.R+GasWashout.R+GASABS.aR.sR)/HEIGHT.aR)*AREAFRAC.s3R</f>
        <v>6.4694620560675046E-8</v>
      </c>
      <c r="N273" s="451">
        <f>((DRYDEPaerosol.R+AerosolWashout.R+GasWashout.R+GASABS.aR.sR)/HEIGHT.aR)*AREAFRAC.s3R</f>
        <v>6.4694620560675046E-8</v>
      </c>
      <c r="O273" s="451">
        <f>((DRYDEPaerosol.R+AerosolWashout.R+GasWashout.R+GASABS.aR.sR)/HEIGHT.aR)*AREAFRAC.s3R</f>
        <v>6.4694620560675046E-8</v>
      </c>
      <c r="P273" s="451">
        <f>((DRYDEPaerosol.R+AerosolWashout.R+GasWashout.R+GASABS.aR.sR)/HEIGHT.aR)*AREAFRAC.s3R</f>
        <v>6.4694620560675046E-8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8.4946997713325926E-8</v>
      </c>
      <c r="M496" s="451">
        <f>((DRYDEPaerosol.C+AerosolWashout.C+GasWashout.C+GASABS.aC.sC)/HEIGHT.aC)*AREAFRAC.s1C</f>
        <v>8.4946997713325926E-8</v>
      </c>
      <c r="N496" s="451">
        <f>((DRYDEPaerosol.C+AerosolWashout.C+GasWashout.C+GASABS.aC.sC)/HEIGHT.aC)*AREAFRAC.s1C</f>
        <v>8.4946997713325926E-8</v>
      </c>
      <c r="O496" s="451">
        <f>((DRYDEPaerosol.C+AerosolWashout.C+GasWashout.C+GASABS.aC.sC)/HEIGHT.aC)*AREAFRAC.s1C</f>
        <v>8.4946997713325926E-8</v>
      </c>
      <c r="P496" s="451">
        <f>((DRYDEPaerosol.C+AerosolWashout.C+GasWashout.C+GASABS.aC.sC)/HEIGHT.aC)*AREAFRAC.s1C</f>
        <v>8.4946997713325926E-8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1.8877110602961315E-7</v>
      </c>
      <c r="M497" s="451">
        <f>((DRYDEPaerosol.C+AerosolWashout.C+GasWashout.C+GASABS.aC.sC)/HEIGHT.aC)*AREAFRAC.s2C</f>
        <v>1.8877110602961315E-7</v>
      </c>
      <c r="N497" s="451">
        <f>((DRYDEPaerosol.C+AerosolWashout.C+GasWashout.C+GASABS.aC.sC)/HEIGHT.aC)*AREAFRAC.s2C</f>
        <v>1.8877110602961315E-7</v>
      </c>
      <c r="O497" s="451">
        <f>((DRYDEPaerosol.C+AerosolWashout.C+GasWashout.C+GASABS.aC.sC)/HEIGHT.aC)*AREAFRAC.s2C</f>
        <v>1.8877110602961315E-7</v>
      </c>
      <c r="P497" s="451">
        <f>((DRYDEPaerosol.C+AerosolWashout.C+GasWashout.C+GASABS.aC.sC)/HEIGHT.aC)*AREAFRAC.s2C</f>
        <v>1.8877110602961315E-7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3.1461851004935518E-8</v>
      </c>
      <c r="M498" s="451">
        <f>((DRYDEPaerosol.C+AerosolWashout.C+GasWashout.C+GASABS.aC.sC)/HEIGHT.aC)*AREAFRAC.s3C</f>
        <v>3.1461851004935518E-8</v>
      </c>
      <c r="N498" s="451">
        <f>((DRYDEPaerosol.C+AerosolWashout.C+GasWashout.C+GASABS.aC.sC)/HEIGHT.aC)*AREAFRAC.s3C</f>
        <v>3.1461851004935518E-8</v>
      </c>
      <c r="O498" s="451">
        <f>((DRYDEPaerosol.C+AerosolWashout.C+GasWashout.C+GASABS.aC.sC)/HEIGHT.aC)*AREAFRAC.s3C</f>
        <v>3.1461851004935518E-8</v>
      </c>
      <c r="P498" s="451">
        <f>((DRYDEPaerosol.C+AerosolWashout.C+GasWashout.C+GASABS.aC.sC)/HEIGHT.aC)*AREAFRAC.s3C</f>
        <v>3.1461851004935518E-8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3.2488830647316292E-7</v>
      </c>
      <c r="M681" s="452">
        <f>((DRYDEPaerosol.M+AerosolWashout.M+GasWashout.M+GASABS.aM.sM)/HEIGHT.aC)*AREAFRAC.sM</f>
        <v>3.2488830647316292E-7</v>
      </c>
      <c r="N681" s="452">
        <f>((DRYDEPaerosol.M+AerosolWashout.M+GasWashout.M+GASABS.aM.sM)/HEIGHT.aC)*AREAFRAC.sM</f>
        <v>3.2488830647316292E-7</v>
      </c>
      <c r="O681" s="452">
        <f>((DRYDEPaerosol.M+AerosolWashout.M+GasWashout.M+GASABS.aM.sM)/HEIGHT.aC)*AREAFRAC.sM</f>
        <v>3.2488830647316292E-7</v>
      </c>
      <c r="P681" s="452">
        <f>((DRYDEPaerosol.M+AerosolWashout.M+GasWashout.M+GASABS.aM.sM)/HEIGHT.aC)*AREAFRAC.sM</f>
        <v>3.2488830647316292E-7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3.5023277164898921E-7</v>
      </c>
      <c r="M817" s="451">
        <f>((DRYDEPaerosol.A+AerosolWashout.A+GasWashout.A+GASABS.aA.sA)/HEIGHT.aC)*AREAFRAC.sA</f>
        <v>3.5023277164898921E-7</v>
      </c>
      <c r="N817" s="451">
        <f>((DRYDEPaerosol.A+AerosolWashout.A+GasWashout.A+GASABS.aA.sA)/HEIGHT.aC)*AREAFRAC.sA</f>
        <v>3.5023277164898921E-7</v>
      </c>
      <c r="O817" s="451">
        <f>((DRYDEPaerosol.A+AerosolWashout.A+GasWashout.A+GASABS.aA.sA)/HEIGHT.aC)*AREAFRAC.sA</f>
        <v>3.5023277164898921E-7</v>
      </c>
      <c r="P817" s="451">
        <f>((DRYDEPaerosol.A+AerosolWashout.A+GasWashout.A+GASABS.aA.sA)/HEIGHT.aC)*AREAFRAC.sA</f>
        <v>3.5023277164898921E-7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1.8193411144994417E-7</v>
      </c>
      <c r="M953" s="451">
        <f>((DRYDEPaerosol.T+AerosolWashout.T+GasWashout.T+GASABS.aT.sT)/HEIGHT.aT)*AREAFRAC.sT</f>
        <v>1.8193411144994417E-7</v>
      </c>
      <c r="N953" s="451">
        <f>((DRYDEPaerosol.T+AerosolWashout.T+GasWashout.T+GASABS.aT.sT)/HEIGHT.aT)*AREAFRAC.sT</f>
        <v>1.8193411144994417E-7</v>
      </c>
      <c r="O953" s="451">
        <f>((DRYDEPaerosol.T+AerosolWashout.T+GasWashout.T+GASABS.aT.sT)/HEIGHT.aT)*AREAFRAC.sT</f>
        <v>1.8193411144994417E-7</v>
      </c>
      <c r="P953" s="451">
        <f>((DRYDEPaerosol.T+AerosolWashout.T+GasWashout.T+GASABS.aT.sT)/HEIGHT.aT)*AREAFRAC.sT</f>
        <v>1.8193411144994417E-7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6" transitionEvaluation="1" transitionEntry="1" codeName="Sheet2"/>
  <dimension ref="A1:O219"/>
  <sheetViews>
    <sheetView tabSelected="1" topLeftCell="A136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64">
        <f t="shared" ref="L60:L65" si="2">IF(ISBLANK(I60),IF(ISNUMBER(J60)=FALSE,K60,J60),I60)</f>
        <v>0.99999994016224591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64">
        <f t="shared" si="2"/>
        <v>3.4614049917583579E-8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64">
        <f t="shared" si="2"/>
        <v>2.5223704076650728E-8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64">
        <f t="shared" si="2"/>
        <v>5.7780002198139571E-4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64">
        <f t="shared" si="2"/>
        <v>1730.7025994405353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64">
        <f t="shared" si="2"/>
        <v>1261.185279299031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64">
        <f>IF(ISBLANK(I66),IF(ISNUMBER(J66)=FALSE,K66,J66),I66)</f>
        <v>0.99999840246142258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1.0367416473975934</v>
      </c>
      <c r="L67" s="664">
        <f>IF(ISBLANK(I67),IF(ISNUMBER(J67)=FALSE,K67,J67),I67)</f>
        <v>1.0367416473975934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1.0791703060733229</v>
      </c>
      <c r="L70" s="664">
        <f>IF(ISBLANK(I70),IF(ISNUMBER(J70)=FALSE,K70,J70),I70)</f>
        <v>1.0791703060733229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64">
        <f t="shared" ref="L72:L104" si="3">IF(ISBLANK(I72),IF(ISNUMBER(J72)=FALSE,K72,J72),I72)</f>
        <v>0.99998336998154524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3"/>
        <v>1.0367416473975934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 t="shared" si="3"/>
        <v>1.0791703060733229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0.99999373716068052</v>
      </c>
      <c r="L78" s="664">
        <f t="shared" si="3"/>
        <v>0.99999373716068052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1.0367416473975934</v>
      </c>
      <c r="L79" s="664">
        <f t="shared" si="3"/>
        <v>1.0367416473975934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3"/>
        <v>1.0791703060733229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1.0591854118493984</v>
      </c>
      <c r="L84" s="664">
        <f t="shared" si="3"/>
        <v>1.0591854118493984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0.51837082369879672</v>
      </c>
      <c r="L85" s="664">
        <f t="shared" si="3"/>
        <v>0.51837082369879672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1.0591854118493984</v>
      </c>
      <c r="L87" s="664">
        <f t="shared" si="3"/>
        <v>1.0591854118493984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0.51837082369879672</v>
      </c>
      <c r="L88" s="664">
        <f t="shared" si="3"/>
        <v>0.51837082369879672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0.51113805422367431</v>
      </c>
      <c r="L90" s="664">
        <f t="shared" si="3"/>
        <v>0.51113805422367431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64">
        <f t="shared" si="3"/>
        <v>0.39128372138866402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64">
        <f t="shared" si="3"/>
        <v>0.60849019486851674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0.2073483294795187</v>
      </c>
      <c r="L93" s="664">
        <f t="shared" si="3"/>
        <v>0.2073483294795187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0.51113805422367431</v>
      </c>
      <c r="L95" s="664">
        <f t="shared" si="3"/>
        <v>0.51113805422367431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64">
        <f t="shared" si="3"/>
        <v>0.39128372138866402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64">
        <f t="shared" si="3"/>
        <v>0.60849019486851674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0.2073483294795187</v>
      </c>
      <c r="L98" s="664">
        <f t="shared" si="3"/>
        <v>0.2073483294795187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0.51113805422367431</v>
      </c>
      <c r="L100" s="664">
        <f t="shared" si="3"/>
        <v>0.51113805422367431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64">
        <f t="shared" si="3"/>
        <v>0.39128372138866402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64">
        <f t="shared" si="3"/>
        <v>0.60849019486851674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0.2073483294795187</v>
      </c>
      <c r="L103" s="664">
        <f t="shared" si="3"/>
        <v>0.2073483294795187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7.9128981788738238E-9</v>
      </c>
      <c r="L108" s="664">
        <f>IF(ISBLANK(I108),IF(ISNUMBER(J108)=FALSE,K108,J108),I108)</f>
        <v>7.9128981788738238E-9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8.7041879967612062E-8</v>
      </c>
      <c r="L109" s="664">
        <f t="shared" ref="L109:L137" si="4">IF(ISBLANK(I109),IF(ISNUMBER(J109)=FALSE,K109,J109),I109)</f>
        <v>8.7041879967612062E-8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1.3847658360893962E-8</v>
      </c>
      <c r="L110" s="664">
        <f t="shared" si="4"/>
        <v>1.3847658360893962E-8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1.285993652591919E-8</v>
      </c>
      <c r="L111" s="664">
        <f t="shared" si="4"/>
        <v>1.285993652591919E-8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2.8577636724264861E-8</v>
      </c>
      <c r="L112" s="664">
        <f t="shared" si="4"/>
        <v>2.8577636724264861E-8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4.7629394540441438E-9</v>
      </c>
      <c r="L113" s="664">
        <f t="shared" si="4"/>
        <v>4.7629394540441438E-9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1.8146790937378692E-8</v>
      </c>
      <c r="L114" s="664">
        <f>IF(ISBLANK(I114),IF(ISNUMBER(J114)=FALSE,K114,J114),I114)</f>
        <v>1.8146790937378692E-8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6.0488393818910984E-7</v>
      </c>
      <c r="L115" s="664">
        <f t="shared" si="4"/>
        <v>6.0488393818910984E-7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1.814670627700622E-7</v>
      </c>
      <c r="L116" s="664">
        <f t="shared" si="4"/>
        <v>1.814670627700622E-7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2.7308847439494821E-7</v>
      </c>
      <c r="L117" s="664">
        <f t="shared" si="4"/>
        <v>2.7308847439494821E-7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1.2427006650910626E-7</v>
      </c>
      <c r="L118" s="664">
        <f t="shared" si="4"/>
        <v>1.2427006650910626E-7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2.7308847439494821E-7</v>
      </c>
      <c r="L119" s="664">
        <f t="shared" si="4"/>
        <v>2.7308847439494821E-7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3.8332275809608061E-8</v>
      </c>
      <c r="L120" s="664">
        <f t="shared" si="4"/>
        <v>3.8332275809608061E-8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9.7092501733981783E-6</v>
      </c>
      <c r="L121" s="664">
        <f t="shared" si="4"/>
        <v>9.7092501733981783E-6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9.6709179574263234E-6</v>
      </c>
      <c r="L122" s="664">
        <f t="shared" si="4"/>
        <v>9.6709179574263234E-6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1.031118895206282E-5</v>
      </c>
      <c r="L123" s="664">
        <f t="shared" si="4"/>
        <v>1.031118895206282E-5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5.9837753994234299E-11</v>
      </c>
      <c r="L126" s="664">
        <f t="shared" si="4"/>
        <v>5.9837753994234299E-11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1.8662896217714686E-9</v>
      </c>
      <c r="L127" s="664">
        <f t="shared" si="4"/>
        <v>1.8662896217714686E-9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6.4026918818462788E-4</v>
      </c>
      <c r="L128" s="664">
        <f t="shared" si="4"/>
        <v>6.4026918818462788E-4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3.1406746541008156E-3</v>
      </c>
      <c r="L131" s="664">
        <f t="shared" ref="L131:L134" si="5">IF(ISBLANK(I131),IF(ISNUMBER(J131)=FALSE,K131,J131),I131)</f>
        <v>3.1406746541008156E-3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9.5054986343222052E-6</v>
      </c>
      <c r="L132" s="664">
        <f t="shared" si="5"/>
        <v>9.5054986343222052E-6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1.8146790937378693E-6</v>
      </c>
      <c r="L133" s="664">
        <f t="shared" si="5"/>
        <v>1.8146790937378693E-6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1.8146518145673294E-6</v>
      </c>
      <c r="L134" s="664">
        <f t="shared" si="5"/>
        <v>1.8146518145673294E-6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1.8146706277006219E-6</v>
      </c>
      <c r="L135" s="664">
        <f t="shared" si="4"/>
        <v>1.8146706277006219E-6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4.7206657788522203E-3</v>
      </c>
      <c r="L136" s="664">
        <f t="shared" si="4"/>
        <v>4.7206657788522203E-3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5.4218710899516866E-6</v>
      </c>
      <c r="L137" s="664">
        <f t="shared" si="4"/>
        <v>5.4218710899516866E-6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1.3654423719747411E-8</v>
      </c>
      <c r="L138" s="664">
        <f t="shared" ref="L138:L145" si="6">IF(ISBLANK(I138),IF(ISNUMBER(J138)=FALSE,K138,J138),I138)</f>
        <v>1.3654423719747411E-8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2.4854013301821255E-8</v>
      </c>
      <c r="L139" s="664">
        <f t="shared" si="6"/>
        <v>2.4854013301821255E-8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1.3654423719747411E-8</v>
      </c>
      <c r="L140" s="664">
        <f t="shared" si="6"/>
        <v>1.3654423719747411E-8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1.0843569491355745E-8</v>
      </c>
      <c r="L142" s="664">
        <f t="shared" si="6"/>
        <v>1.0843569491355745E-8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9.3285619169455224E-9</v>
      </c>
      <c r="L147" s="664">
        <f t="shared" ref="L147:L167" si="7">IF(ISBLANK(I147),IF(ISNUMBER(J147)=FALSE,K147,J147),I147)</f>
        <v>9.3285619169455224E-9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2.7685994651458337E-9</v>
      </c>
      <c r="L148" s="664">
        <f t="shared" si="7"/>
        <v>2.7685994651458337E-9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8.9164056341895164E-7</v>
      </c>
      <c r="L149" s="664">
        <f t="shared" si="7"/>
        <v>8.9164056341895164E-7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8.7237247488521242E-7</v>
      </c>
      <c r="L150" s="664">
        <f t="shared" si="7"/>
        <v>8.7237247488521242E-7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4.81192663621389E-10</v>
      </c>
      <c r="L151" s="664">
        <f t="shared" si="7"/>
        <v>4.81192663621389E-10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1.812164154942681E-10</v>
      </c>
      <c r="L153" s="664">
        <f t="shared" si="7"/>
        <v>1.812164154942681E-10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2.031518518518519E-10</v>
      </c>
      <c r="L154" s="664">
        <f t="shared" si="7"/>
        <v>2.031518518518519E-10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8.6199999999999997E-11</v>
      </c>
      <c r="L159" s="664">
        <f t="shared" si="7"/>
        <v>8.6199999999999997E-11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2.7504493087215179E-8</v>
      </c>
      <c r="L162" s="664">
        <f t="shared" si="7"/>
        <v>2.7504493087215179E-8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2.5968022394704521E-8</v>
      </c>
      <c r="L163" s="664">
        <f t="shared" si="7"/>
        <v>2.5968022394704521E-8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2.7504778235964069E-8</v>
      </c>
      <c r="L164" s="664">
        <f t="shared" si="7"/>
        <v>2.7504778235964069E-8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2.5968022394704521E-8</v>
      </c>
      <c r="L165" s="664">
        <f t="shared" si="7"/>
        <v>2.5968022394704521E-8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2.529483327158262E-7</v>
      </c>
      <c r="L169" s="664">
        <f t="shared" ref="L169:L183" si="8">IF(ISBLANK(I169),IF(ISNUMBER(J169)=FALSE,K169,J169),I169)</f>
        <v>2.529483327158262E-7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1.1510520976620445E-7</v>
      </c>
      <c r="L170" s="664">
        <f t="shared" si="8"/>
        <v>1.1510520976620445E-7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2.529483327158262E-7</v>
      </c>
      <c r="L171" s="664">
        <f t="shared" si="8"/>
        <v>2.529483327158262E-7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2.2995302974166017E-8</v>
      </c>
      <c r="L172" s="664">
        <f t="shared" si="8"/>
        <v>2.2995302974166017E-8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1.0464109978745858E-8</v>
      </c>
      <c r="L173" s="664">
        <f t="shared" si="8"/>
        <v>1.0464109978745858E-8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2.2995302974166017E-8</v>
      </c>
      <c r="L174" s="664">
        <f t="shared" si="8"/>
        <v>2.2995302974166017E-8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1.3447081041926115E-7</v>
      </c>
      <c r="L187" s="664">
        <f t="shared" ref="L187:L211" si="9">IF(ISBLANK(I187),IF(ISNUMBER(J187)=FALSE,K187,J187),I187)</f>
        <v>1.3447081041926115E-7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2.1721047801175034E-7</v>
      </c>
      <c r="L188" s="664">
        <f>IF(ISBLANK(I188),IF(ISNUMBER(J188)=FALSE,K188,J188),I188)</f>
        <v>2.1721047801175034E-7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2.1720721279439419E-7</v>
      </c>
      <c r="L189" s="664">
        <f t="shared" si="9"/>
        <v>2.1720721279439419E-7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2.1720946465792724E-7</v>
      </c>
      <c r="L190" s="664">
        <f t="shared" si="9"/>
        <v>2.1720946465792724E-7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2.7019264428164435E-8</v>
      </c>
      <c r="L191" s="664">
        <f t="shared" si="9"/>
        <v>2.7019264428164435E-8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2.699722950511353E-8</v>
      </c>
      <c r="L192" s="664">
        <f t="shared" si="9"/>
        <v>2.699722950511353E-8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1.1029482560172427E-7</v>
      </c>
      <c r="L193" s="664">
        <f t="shared" si="9"/>
        <v>1.1029482560172427E-7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1.0928170020462471E-7</v>
      </c>
      <c r="L194" s="664">
        <f t="shared" si="9"/>
        <v>1.0928170020462471E-7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1.1029482560172427E-7</v>
      </c>
      <c r="L195" s="664">
        <f t="shared" si="9"/>
        <v>1.1029482560172427E-7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1.3410448453743301E-7</v>
      </c>
      <c r="L197" s="664">
        <f t="shared" si="9"/>
        <v>1.3410448453743301E-7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2.1721047801175034E-7</v>
      </c>
      <c r="L200" s="664">
        <f>IF(ISBLANK(I200),IF(ISNUMBER(J200)=FALSE,K200,J200),I200)</f>
        <v>2.1721047801175034E-7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2.1720721279439419E-7</v>
      </c>
      <c r="L201" s="664">
        <f t="shared" si="9"/>
        <v>2.1720721279439419E-7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2.1720946465792724E-7</v>
      </c>
      <c r="L202" s="664">
        <f t="shared" si="9"/>
        <v>2.1720946465792724E-7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2.4123896171780196E-8</v>
      </c>
      <c r="L207" s="664">
        <f t="shared" si="9"/>
        <v>2.4123896171780196E-8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2.4123896171780196E-8</v>
      </c>
      <c r="L208" s="664">
        <f t="shared" si="9"/>
        <v>2.4123896171780196E-8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1.0843569491355744E-7</v>
      </c>
      <c r="L209" s="664">
        <f t="shared" si="9"/>
        <v>1.0843569491355744E-7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1.0843569491355744E-7</v>
      </c>
      <c r="L210" s="664">
        <f t="shared" si="9"/>
        <v>1.0843569491355744E-7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1.0843569491355744E-7</v>
      </c>
      <c r="L211" s="664">
        <f t="shared" si="9"/>
        <v>1.0843569491355744E-7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64">
        <f t="shared" ref="L66:L110" si="2">IF(ISBLANK(I66),IF(ISNUMBER(J66)=FALSE,K66,J66),I66)</f>
        <v>0.99999994016224591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64">
        <f t="shared" si="2"/>
        <v>3.4614049917583579E-8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64">
        <f t="shared" si="2"/>
        <v>2.5223704076650728E-8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64">
        <f t="shared" ref="L69:L71" si="3">IF(ISBLANK(I69),IF(ISNUMBER(J69)=FALSE,K69,J69),I69)</f>
        <v>5.7780002198139571E-4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64">
        <f t="shared" si="3"/>
        <v>1730.7025994405353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64">
        <f t="shared" si="3"/>
        <v>1261.185279299031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64">
        <f t="shared" si="2"/>
        <v>0.99999840246142258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1.0367416473975934</v>
      </c>
      <c r="L73" s="664">
        <f t="shared" si="2"/>
        <v>1.0367416473975934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1.0791703060733229</v>
      </c>
      <c r="L76" s="664">
        <f>IF(ISBLANK(I76),IF(ISNUMBER(J76)=FALSE,K76,J76),I76)</f>
        <v>1.0791703060733229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0.99998336998154524</v>
      </c>
      <c r="L78" s="677">
        <f t="shared" si="2"/>
        <v>0.99998336998154524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1.0367416473975934</v>
      </c>
      <c r="L79" s="664">
        <f t="shared" si="2"/>
        <v>1.0367416473975934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1.0791703060733229</v>
      </c>
      <c r="L82" s="664">
        <f t="shared" si="2"/>
        <v>1.0791703060733229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0.99999373716068052</v>
      </c>
      <c r="L84" s="664">
        <f t="shared" si="2"/>
        <v>0.99999373716068052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1.0367416473975934</v>
      </c>
      <c r="L85" s="664">
        <f t="shared" si="2"/>
        <v>1.0367416473975934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1.0791703060733229</v>
      </c>
      <c r="L88" s="664">
        <f t="shared" si="2"/>
        <v>1.0791703060733229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1.0591854118493984</v>
      </c>
      <c r="L90" s="664">
        <f t="shared" si="2"/>
        <v>1.0591854118493984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0.51837082369879672</v>
      </c>
      <c r="L91" s="664">
        <f t="shared" si="2"/>
        <v>0.51837082369879672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1.0591854118493984</v>
      </c>
      <c r="L93" s="664">
        <f t="shared" si="2"/>
        <v>1.0591854118493984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0.51837082369879672</v>
      </c>
      <c r="L94" s="664">
        <f t="shared" si="2"/>
        <v>0.51837082369879672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0.51113805422367431</v>
      </c>
      <c r="L96" s="664">
        <f t="shared" si="2"/>
        <v>0.51113805422367431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0.39128372138866402</v>
      </c>
      <c r="L97" s="664">
        <f t="shared" si="2"/>
        <v>0.39128372138866402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0.60849019486851674</v>
      </c>
      <c r="L98" s="664">
        <f t="shared" si="2"/>
        <v>0.60849019486851674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0.2073483294795187</v>
      </c>
      <c r="L99" s="664">
        <f t="shared" si="2"/>
        <v>0.2073483294795187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0.51113805422367431</v>
      </c>
      <c r="L101" s="664">
        <f t="shared" si="2"/>
        <v>0.51113805422367431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0.39128372138866402</v>
      </c>
      <c r="L102" s="664">
        <f t="shared" si="2"/>
        <v>0.39128372138866402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0.60849019486851674</v>
      </c>
      <c r="L103" s="664">
        <f t="shared" si="2"/>
        <v>0.60849019486851674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0.2073483294795187</v>
      </c>
      <c r="L104" s="664">
        <f t="shared" si="2"/>
        <v>0.2073483294795187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0.51113805422367431</v>
      </c>
      <c r="L106" s="664">
        <f t="shared" si="2"/>
        <v>0.51113805422367431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0.39128372138866402</v>
      </c>
      <c r="L107" s="664">
        <f t="shared" si="2"/>
        <v>0.39128372138866402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0.60849019486851674</v>
      </c>
      <c r="L108" s="664">
        <f t="shared" si="2"/>
        <v>0.60849019486851674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0.2073483294795187</v>
      </c>
      <c r="L109" s="664">
        <f t="shared" si="2"/>
        <v>0.2073483294795187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3.8482071798259994E-9</v>
      </c>
      <c r="L114" s="664">
        <f>IF(ISBLANK(I114),IF(ISNUMBER(J114)=FALSE,K114,J114),I114)</f>
        <v>3.8482071798259994E-9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4.2330278978085983E-8</v>
      </c>
      <c r="L115" s="664">
        <f t="shared" ref="L115:L136" si="4">IF(ISBLANK(I115),IF(ISNUMBER(J115)=FALSE,K115,J115),I115)</f>
        <v>4.2330278978085983E-8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1.6397736010416613E-6</v>
      </c>
      <c r="L116" s="664">
        <f t="shared" si="4"/>
        <v>1.6397736010416613E-6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6.2604343855921001E-9</v>
      </c>
      <c r="L117" s="664">
        <f t="shared" si="4"/>
        <v>6.2604343855921001E-9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1.3912076412426888E-8</v>
      </c>
      <c r="L118" s="664">
        <f t="shared" si="4"/>
        <v>1.3912076412426888E-8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2.3186794020711477E-9</v>
      </c>
      <c r="L119" s="664">
        <f t="shared" si="4"/>
        <v>2.3186794020711477E-9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1.8146790937378692E-8</v>
      </c>
      <c r="L120" s="664">
        <f>IF(ISBLANK(I120),IF(ISNUMBER(J120)=FALSE,K120,J120),I120)</f>
        <v>1.8146790937378692E-8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6.0488393818910984E-7</v>
      </c>
      <c r="L121" s="664">
        <f t="shared" si="4"/>
        <v>6.0488393818910984E-7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9.0733531385031098E-9</v>
      </c>
      <c r="L122" s="664">
        <f t="shared" si="4"/>
        <v>9.0733531385031098E-9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2.7308847439494821E-7</v>
      </c>
      <c r="L123" s="664">
        <f t="shared" si="4"/>
        <v>2.7308847439494821E-7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1.2427006650910626E-7</v>
      </c>
      <c r="L124" s="664">
        <f t="shared" si="4"/>
        <v>1.2427006650910626E-7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2.7308847439494821E-7</v>
      </c>
      <c r="L125" s="664">
        <f t="shared" si="4"/>
        <v>2.7308847439494821E-7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3.8381818871245206E-8</v>
      </c>
      <c r="L126" s="664">
        <f t="shared" si="4"/>
        <v>3.8381818871245206E-8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3.5247237255636914E-6</v>
      </c>
      <c r="L127" s="664">
        <f t="shared" si="4"/>
        <v>3.5247237255636914E-6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3.4863419665302002E-6</v>
      </c>
      <c r="L128" s="664">
        <f t="shared" si="4"/>
        <v>3.4863419665302002E-6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4.1266129611666956E-6</v>
      </c>
      <c r="L129" s="664">
        <f t="shared" si="4"/>
        <v>4.1266129611666956E-6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5.9837753994234299E-11</v>
      </c>
      <c r="L132" s="664">
        <f t="shared" si="4"/>
        <v>5.9837753994234299E-11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1.8662896217714686E-9</v>
      </c>
      <c r="L133" s="664">
        <f t="shared" si="4"/>
        <v>1.8662896217714686E-9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6.4026918818462788E-4</v>
      </c>
      <c r="L134" s="664">
        <f t="shared" si="4"/>
        <v>6.4026918818462788E-4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3.1406746541008156E-3</v>
      </c>
      <c r="L137" s="664">
        <f t="shared" ref="L137:L151" si="5">IF(ISBLANK(I137),IF(ISNUMBER(J137)=FALSE,K137,J137),I137)</f>
        <v>3.1406746541008156E-3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9.5054986343222052E-6</v>
      </c>
      <c r="L138" s="664">
        <f t="shared" si="5"/>
        <v>9.5054986343222052E-6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1.8146790937378693E-6</v>
      </c>
      <c r="L139" s="664">
        <f t="shared" si="5"/>
        <v>1.8146790937378693E-6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1.8146518145673294E-6</v>
      </c>
      <c r="L140" s="664">
        <f t="shared" si="5"/>
        <v>1.8146518145673294E-6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1.8146706277006219E-6</v>
      </c>
      <c r="L141" s="664">
        <f t="shared" si="5"/>
        <v>1.8146706277006219E-6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4.7206657788522203E-3</v>
      </c>
      <c r="L142" s="664">
        <f t="shared" si="5"/>
        <v>4.7206657788522203E-3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5.4218710899516866E-6</v>
      </c>
      <c r="L143" s="664">
        <f t="shared" si="5"/>
        <v>5.4218710899516866E-6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1.3654423719747411E-8</v>
      </c>
      <c r="L144" s="664">
        <f t="shared" si="5"/>
        <v>1.3654423719747411E-8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2.4854013301821255E-8</v>
      </c>
      <c r="L145" s="664">
        <f t="shared" si="5"/>
        <v>2.4854013301821255E-8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1.3654423719747411E-8</v>
      </c>
      <c r="L146" s="664">
        <f t="shared" si="5"/>
        <v>1.3654423719747411E-8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1.0843569491355745E-8</v>
      </c>
      <c r="L148" s="664">
        <f t="shared" si="5"/>
        <v>1.0843569491355745E-8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9.3285619169455224E-9</v>
      </c>
      <c r="L153" s="664">
        <f t="shared" ref="L153:L173" si="6">IF(ISBLANK(I153),IF(ISNUMBER(J153)=FALSE,K153,J153),I153)</f>
        <v>9.3285619169455224E-9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1.3842997325729167E-10</v>
      </c>
      <c r="L154" s="664">
        <f t="shared" si="6"/>
        <v>1.3842997325729167E-10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8.9166170328018226E-7</v>
      </c>
      <c r="L155" s="664">
        <f t="shared" si="6"/>
        <v>8.9166170328018226E-7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8.7433247488521242E-7</v>
      </c>
      <c r="L156" s="664">
        <f t="shared" si="6"/>
        <v>8.7433247488521242E-7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4.81192663621389E-10</v>
      </c>
      <c r="L157" s="664">
        <f t="shared" si="6"/>
        <v>4.81192663621389E-10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1.812164154942681E-10</v>
      </c>
      <c r="L159" s="664">
        <f t="shared" si="6"/>
        <v>1.812164154942681E-10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2.7504493087215175E-8</v>
      </c>
      <c r="L168" s="664">
        <f t="shared" si="6"/>
        <v>2.7504493087215175E-8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2.5968022394704517E-8</v>
      </c>
      <c r="L169" s="664">
        <f t="shared" si="6"/>
        <v>2.5968022394704517E-8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2.7504778235964065E-8</v>
      </c>
      <c r="L170" s="664">
        <f t="shared" si="6"/>
        <v>2.7504778235964065E-8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2.5968022394704517E-8</v>
      </c>
      <c r="L171" s="664">
        <f t="shared" si="6"/>
        <v>2.5968022394704517E-8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2.529483327158262E-7</v>
      </c>
      <c r="L175" s="664">
        <f t="shared" ref="L175:L177" si="7">IF(ISBLANK(I175),IF(ISNUMBER(J175)=FALSE,K175,J175),I175)</f>
        <v>2.529483327158262E-7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1.1510520976620445E-7</v>
      </c>
      <c r="L176" s="664">
        <f t="shared" si="7"/>
        <v>1.1510520976620445E-7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2.529483327158262E-7</v>
      </c>
      <c r="L177" s="664">
        <f t="shared" si="7"/>
        <v>2.529483327158262E-7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2.299530297416602E-8</v>
      </c>
      <c r="L178" s="664">
        <f t="shared" ref="L178:L180" si="8">IF(ISBLANK(I178),IF(ISNUMBER(J178)=FALSE,K178,J178),I178)</f>
        <v>2.299530297416602E-8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1.0464109978745859E-8</v>
      </c>
      <c r="L179" s="664">
        <f t="shared" si="8"/>
        <v>1.0464109978745859E-8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2.299530297416602E-8</v>
      </c>
      <c r="L180" s="664">
        <f t="shared" si="8"/>
        <v>2.299530297416602E-8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1.3447081041926115E-7</v>
      </c>
      <c r="L193" s="664">
        <f t="shared" ref="L193:L217" si="11">IF(ISBLANK(I193),IF(ISNUMBER(J193)=FALSE,K193,J193),I193)</f>
        <v>1.3447081041926115E-7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2.1721047801175034E-7</v>
      </c>
      <c r="L194" s="664">
        <f>IF(ISBLANK(I194),IF(ISNUMBER(J194)=FALSE,K194,J194),I194)</f>
        <v>2.1721047801175034E-7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2.1720721279439419E-7</v>
      </c>
      <c r="L195" s="664">
        <f t="shared" si="11"/>
        <v>2.1720721279439419E-7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2.1720946465792724E-7</v>
      </c>
      <c r="L196" s="664">
        <f t="shared" si="11"/>
        <v>2.1720946465792724E-7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2.6998124566933754E-8</v>
      </c>
      <c r="L197" s="664">
        <f t="shared" si="11"/>
        <v>2.6998124566933754E-8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2.5037229505113528E-8</v>
      </c>
      <c r="L198" s="664">
        <f t="shared" si="11"/>
        <v>2.5037229505113528E-8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1.1029482560172427E-7</v>
      </c>
      <c r="L199" s="664">
        <f t="shared" si="11"/>
        <v>1.1029482560172427E-7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1.0928170020462471E-7</v>
      </c>
      <c r="L200" s="664">
        <f t="shared" si="11"/>
        <v>1.0928170020462471E-7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1.1029482560172427E-7</v>
      </c>
      <c r="L201" s="664">
        <f t="shared" si="11"/>
        <v>1.1029482560172427E-7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1.3410448453743301E-7</v>
      </c>
      <c r="L203" s="664">
        <f t="shared" si="11"/>
        <v>1.3410448453743301E-7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2.1721047801175034E-7</v>
      </c>
      <c r="L206" s="664">
        <f>IF(ISBLANK(I206),IF(ISNUMBER(J206)=FALSE,K206,J206),I206)</f>
        <v>2.1721047801175034E-7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2.1720721279439419E-7</v>
      </c>
      <c r="L207" s="664">
        <f t="shared" si="11"/>
        <v>2.1720721279439419E-7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2.1720946465792724E-7</v>
      </c>
      <c r="L208" s="664">
        <f t="shared" si="11"/>
        <v>2.1720946465792724E-7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2.4123896171780196E-8</v>
      </c>
      <c r="L213" s="664">
        <f t="shared" si="11"/>
        <v>2.4123896171780196E-8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2.4123896171780196E-8</v>
      </c>
      <c r="L214" s="664">
        <f t="shared" si="11"/>
        <v>2.4123896171780196E-8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1.0843569491355744E-7</v>
      </c>
      <c r="L215" s="664">
        <f t="shared" si="11"/>
        <v>1.0843569491355744E-7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1.0843569491355744E-7</v>
      </c>
      <c r="L216" s="664">
        <f t="shared" si="11"/>
        <v>1.0843569491355744E-7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1.0843569491355744E-7</v>
      </c>
      <c r="L217" s="664">
        <f t="shared" si="11"/>
        <v>1.0843569491355744E-7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64">
        <f>IF(ISBLANK(I46),IF(ISNUMBER(J46)=FALSE,K46,J46),I46)</f>
        <v>0.99999994016224591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64">
        <f>IF(ISBLANK(I47),IF(ISNUMBER(J47)=FALSE,K47,J47),I47)</f>
        <v>3.4614049917583579E-8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64">
        <f>IF(ISBLANK(I48),IF(ISNUMBER(J48)=FALSE,K48,J48),I48)</f>
        <v>2.5223704076650728E-8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5.7780002198139571E-4</v>
      </c>
      <c r="L49" s="664">
        <f>IF(ISBLANK(I49),IF(ISNUMBER(J49)=FALSE,K49,J49),I49)</f>
        <v>5.7780002198139571E-4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64">
        <f t="shared" ref="L51:L58" si="2">IF(ISBLANK(I51),IF(ISNUMBER(J51)=FALSE,K51,J51),I51)</f>
        <v>1730.7025994405353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64">
        <f t="shared" si="2"/>
        <v>1261.185279299031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0.99999373716068052</v>
      </c>
      <c r="L53" s="664">
        <f t="shared" si="2"/>
        <v>0.99999373716068052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0.99999373716068052</v>
      </c>
      <c r="L54" s="664">
        <f t="shared" si="2"/>
        <v>0.99999373716068052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1.0367416473975934</v>
      </c>
      <c r="L55" s="664">
        <f t="shared" si="2"/>
        <v>1.0367416473975934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1.0367416473975934</v>
      </c>
      <c r="L56" s="664">
        <f t="shared" si="2"/>
        <v>1.0367416473975934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1.0791703060733229</v>
      </c>
      <c r="L61" s="664">
        <f>IF(ISBLANK(I61),IF(ISNUMBER(J61)=FALSE,K61,J61),I61)</f>
        <v>1.0791703060733229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1.0791703060733229</v>
      </c>
      <c r="L62" s="664">
        <f>IF(ISBLANK(I62),IF(ISNUMBER(J62)=FALSE,K62,J62),I62)</f>
        <v>1.0791703060733229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1.0591854118493984</v>
      </c>
      <c r="L65" s="664">
        <f t="shared" ref="L65:L72" si="3">IF(ISBLANK(I65),IF(ISNUMBER(J65)=FALSE,K65,J65),I65)</f>
        <v>1.0591854118493984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0.51837082369879672</v>
      </c>
      <c r="L66" s="664">
        <f t="shared" si="3"/>
        <v>0.51837082369879672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0.51113805422367431</v>
      </c>
      <c r="L68" s="664">
        <f t="shared" si="3"/>
        <v>0.51113805422367431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0.39128372138866402</v>
      </c>
      <c r="L69" s="664">
        <f t="shared" si="3"/>
        <v>0.39128372138866402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0.60849019486851674</v>
      </c>
      <c r="L70" s="664">
        <f t="shared" si="3"/>
        <v>0.60849019486851674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0.2073483294795187</v>
      </c>
      <c r="L71" s="664">
        <f t="shared" si="3"/>
        <v>0.2073483294795187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1.5895311400538746E-6</v>
      </c>
      <c r="L76" s="664">
        <f t="shared" ref="L76:L89" si="4">IF(ISBLANK(I76),IF(ISNUMBER(J76)=FALSE,K76,J76),I76)</f>
        <v>1.5895311400538746E-6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2.3946562320627867E-8</v>
      </c>
      <c r="L77" s="664">
        <f t="shared" si="4"/>
        <v>2.3946562320627867E-8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1.814670627700622E-8</v>
      </c>
      <c r="L78" s="664">
        <f t="shared" si="4"/>
        <v>1.814670627700622E-8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2.7308847439494821E-7</v>
      </c>
      <c r="L79" s="664">
        <f t="shared" si="4"/>
        <v>2.7308847439494821E-7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3.8387626006933526E-8</v>
      </c>
      <c r="L80" s="664">
        <f t="shared" si="4"/>
        <v>3.8387626006933526E-8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2.9121529797038607E-6</v>
      </c>
      <c r="L81" s="664">
        <f t="shared" si="4"/>
        <v>2.9121529797038607E-6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2.8737654135346812E-6</v>
      </c>
      <c r="L82" s="664">
        <f t="shared" si="4"/>
        <v>2.8737654135346812E-6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3.514036408171177E-6</v>
      </c>
      <c r="L83" s="664">
        <f t="shared" si="4"/>
        <v>3.514036408171177E-6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5.9837753994234299E-11</v>
      </c>
      <c r="L86" s="664">
        <f t="shared" si="4"/>
        <v>5.9837753994234299E-11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1.8662896217714686E-9</v>
      </c>
      <c r="L87" s="664">
        <f t="shared" si="4"/>
        <v>1.8662896217714686E-9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6.4026918818462788E-4</v>
      </c>
      <c r="L88" s="664">
        <f t="shared" si="4"/>
        <v>6.4026918818462788E-4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3.1406746541008156E-3</v>
      </c>
      <c r="L92" s="664">
        <f t="shared" si="5"/>
        <v>3.1406746541008156E-3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9.5054986343222052E-6</v>
      </c>
      <c r="L93" s="664">
        <f>IF(ISBLANK(I93),IF(ISNUMBER(J93)=FALSE,K93,J93),I93)</f>
        <v>9.5054986343222052E-6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1.8146706277006219E-6</v>
      </c>
      <c r="L94" s="664">
        <f>IF(ISBLANK(I94),IF(ISNUMBER(J94)=FALSE,K94,J94),I94)</f>
        <v>1.8146706277006219E-6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1.3654423719747411E-8</v>
      </c>
      <c r="L95" s="664">
        <f>IF(ISBLANK(I95),IF(ISNUMBER(J95)=FALSE,K95,J95),I95)</f>
        <v>1.3654423719747411E-8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4.7206657788522203E-3</v>
      </c>
      <c r="L96" s="664">
        <f t="shared" si="5"/>
        <v>4.7206657788522203E-3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5.4218710899516866E-6</v>
      </c>
      <c r="L97" s="664">
        <f t="shared" si="5"/>
        <v>5.4218710899516866E-6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1.0843569491355745E-8</v>
      </c>
      <c r="L100" s="664">
        <f>IF(ISBLANK(I100),IF(ISNUMBER(J100)=FALSE,K100,J100),I100)</f>
        <v>1.0843569491355745E-8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9.2286648838194441E-12</v>
      </c>
      <c r="L103" s="664">
        <f t="shared" ref="L103:L109" si="6">IF(ISBLANK(I103),IF(ISNUMBER(J103)=FALSE,K103,J103),I103)</f>
        <v>9.2286648838194441E-12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8.7524282428423103E-7</v>
      </c>
      <c r="L104" s="664">
        <f t="shared" si="6"/>
        <v>8.7524282428423103E-7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1.812164154942681E-10</v>
      </c>
      <c r="L105" s="664">
        <f t="shared" si="6"/>
        <v>1.812164154942681E-10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2.7504778235964065E-8</v>
      </c>
      <c r="L111" s="664">
        <f>IF(ISBLANK(I111),IF(ISNUMBER(J111)=FALSE,K111,J111),I111)</f>
        <v>2.7504778235964065E-8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2.5968022394704517E-8</v>
      </c>
      <c r="L112" s="664">
        <f>IF(ISBLANK(I112),IF(ISNUMBER(J112)=FALSE,K112,J112),I112)</f>
        <v>2.5968022394704517E-8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2.7594363568999222E-7</v>
      </c>
      <c r="L116" s="664">
        <f>IF(ISBLANK(I116),IF(ISNUMBER(J116)=FALSE,K116,J116),I116)</f>
        <v>2.7594363568999222E-7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1.3447081041926115E-7</v>
      </c>
      <c r="L123" s="664">
        <f t="shared" ref="L123:L138" si="7">IF(ISBLANK(I123),IF(ISNUMBER(J123)=FALSE,K123,J123),I123)</f>
        <v>1.3447081041926115E-7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2.1720946465792724E-7</v>
      </c>
      <c r="L124" s="664">
        <f t="shared" si="7"/>
        <v>2.1720946465792724E-7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2.1720946465792724E-7</v>
      </c>
      <c r="L125" s="664">
        <f t="shared" si="7"/>
        <v>2.1720946465792724E-7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2.412688010609485E-8</v>
      </c>
      <c r="L126" s="664">
        <f t="shared" si="7"/>
        <v>2.412688010609485E-8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1.1029482560172427E-7</v>
      </c>
      <c r="L127" s="664">
        <f t="shared" si="7"/>
        <v>1.1029482560172427E-7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1.3410448453743301E-7</v>
      </c>
      <c r="L129" s="664">
        <f t="shared" si="7"/>
        <v>1.3410448453743301E-7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2.1720946465792724E-7</v>
      </c>
      <c r="L132" s="664">
        <f t="shared" si="7"/>
        <v>2.1720946465792724E-7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2.1720946465792724E-7</v>
      </c>
      <c r="L133" s="664">
        <f t="shared" si="7"/>
        <v>2.1720946465792724E-7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2.4123896171780196E-8</v>
      </c>
      <c r="L137" s="664">
        <f t="shared" si="7"/>
        <v>2.4123896171780196E-8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1.0843569491355744E-7</v>
      </c>
      <c r="L138" s="664">
        <f t="shared" si="7"/>
        <v>1.0843569491355744E-7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64">
        <f>IF(ISBLANK(I182),IF(ISNUMBER(J182)=FALSE,K182,J182),I182)</f>
        <v>0.99999984342713344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64">
        <f>IF(ISBLANK(I183),IF(ISNUMBER(J183)=FALSE,K183,J183),I183)</f>
        <v>1.3134916485265744E-7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64">
        <f>IF(ISBLANK(I184),IF(ISNUMBER(J184)=FALSE,K184,J184),I184)</f>
        <v>2.5223701636632728E-8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64">
        <f>IF(ISBLANK(I185),IF(ISNUMBER(J185)=FALSE,K185,J185),I185)</f>
        <v>1.5226588529114679E-4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64">
        <f t="shared" ref="L187:L194" si="10">IF(ISBLANK(I187),IF(ISNUMBER(J187)=FALSE,K187,J187),I187)</f>
        <v>6567.4592709187964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64">
        <f t="shared" si="10"/>
        <v>1261.185279299031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0.99999373716068052</v>
      </c>
      <c r="L189" s="664">
        <f t="shared" si="10"/>
        <v>0.99999373716068052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0.99999373716068052</v>
      </c>
      <c r="L190" s="664">
        <f t="shared" si="10"/>
        <v>0.99999373716068052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1.0367416473975934</v>
      </c>
      <c r="L191" s="664">
        <f t="shared" si="10"/>
        <v>1.0367416473975934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1.0367416473975934</v>
      </c>
      <c r="L192" s="664">
        <f t="shared" si="10"/>
        <v>1.0367416473975934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1.0791703060733229</v>
      </c>
      <c r="L197" s="664">
        <f>IF(ISBLANK(I197),IF(ISNUMBER(J197)=FALSE,K197,J197),I197)</f>
        <v>1.0791703060733229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1.0791703060733229</v>
      </c>
      <c r="L198" s="664">
        <f>IF(ISBLANK(I198),IF(ISNUMBER(J198)=FALSE,K198,J198),I198)</f>
        <v>1.0791703060733229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1.0591854118493984</v>
      </c>
      <c r="L201" s="664">
        <f t="shared" ref="L201:L208" si="11">IF(ISBLANK(I201),IF(ISNUMBER(J201)=FALSE,K201,J201),I201)</f>
        <v>1.0591854118493984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0.51837082369879672</v>
      </c>
      <c r="L202" s="664">
        <f t="shared" si="11"/>
        <v>0.51837082369879672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0.51105294739633633</v>
      </c>
      <c r="L204" s="664">
        <f t="shared" si="11"/>
        <v>0.51105294739633633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0.39134888277025087</v>
      </c>
      <c r="L205" s="664">
        <f t="shared" si="11"/>
        <v>0.39134888277025087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0.60859152814565642</v>
      </c>
      <c r="L206" s="664">
        <f t="shared" si="11"/>
        <v>0.60859152814565642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0.2073483294795187</v>
      </c>
      <c r="L207" s="664">
        <f t="shared" si="11"/>
        <v>0.2073483294795187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2.5320540231950468E-6</v>
      </c>
      <c r="L212" s="664">
        <f t="shared" ref="L212:L225" si="12">IF(ISBLANK(I212),IF(ISNUMBER(J212)=FALSE,K212,J212),I212)</f>
        <v>2.5320540231950468E-6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2.3945691091915809E-8</v>
      </c>
      <c r="L213" s="664">
        <f t="shared" si="12"/>
        <v>2.3945691091915809E-8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6.3465361039715372E-9</v>
      </c>
      <c r="L214" s="664">
        <f t="shared" si="12"/>
        <v>6.3465361039715372E-9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5.9528448242514022E-8</v>
      </c>
      <c r="L215" s="664">
        <f t="shared" si="12"/>
        <v>5.9528448242514022E-8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5.2002849778578445E-8</v>
      </c>
      <c r="L216" s="664">
        <f t="shared" si="12"/>
        <v>5.2002849778578445E-8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3.3604912018885748E-6</v>
      </c>
      <c r="L217" s="664">
        <f t="shared" si="12"/>
        <v>3.3604912018885748E-6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3.3084885086828627E-6</v>
      </c>
      <c r="L218" s="664">
        <f t="shared" si="12"/>
        <v>3.3084885086828627E-6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4.1762087467083915E-6</v>
      </c>
      <c r="L219" s="664">
        <f t="shared" si="12"/>
        <v>4.1762087467083915E-6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1.5657286648929017E-10</v>
      </c>
      <c r="L222" s="664">
        <f t="shared" si="12"/>
        <v>1.5657286648929017E-10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6.6653194329847185E-10</v>
      </c>
      <c r="L223" s="664">
        <f t="shared" si="12"/>
        <v>6.6653194329847185E-10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8.6771972806645205E-4</v>
      </c>
      <c r="L224" s="664">
        <f t="shared" si="12"/>
        <v>8.6771972806645205E-4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4.1680871888798328E-3</v>
      </c>
      <c r="L228" s="664">
        <f t="shared" si="13"/>
        <v>4.1680871888798328E-3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7.8613779512110704E-6</v>
      </c>
      <c r="L229" s="664">
        <f>IF(ISBLANK(I229),IF(ISNUMBER(J229)=FALSE,K229,J229),I229)</f>
        <v>7.8613779512110704E-6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6.3465361039715374E-7</v>
      </c>
      <c r="L230" s="664">
        <f t="shared" si="13"/>
        <v>6.3465361039715374E-7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2.9764224121257013E-9</v>
      </c>
      <c r="L231" s="664">
        <f>IF(ISBLANK(I231),IF(ISNUMBER(J231)=FALSE,K231,J231),I231)</f>
        <v>2.9764224121257013E-9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4.7206657788522203E-3</v>
      </c>
      <c r="L232" s="664">
        <f t="shared" si="13"/>
        <v>4.7206657788522203E-3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5.4218710899516866E-6</v>
      </c>
      <c r="L233" s="664">
        <f t="shared" si="13"/>
        <v>5.4218710899516866E-6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2.3599688822101026E-9</v>
      </c>
      <c r="L236" s="664">
        <f>IF(ISBLANK(I236),IF(ISNUMBER(J236)=FALSE,K236,J236),I236)</f>
        <v>2.3599688822101026E-9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9.2286648838194441E-12</v>
      </c>
      <c r="L239" s="664">
        <f t="shared" ref="L239:L245" si="14">IF(ISBLANK(I239),IF(ISNUMBER(J239)=FALSE,K239,J239),I239)</f>
        <v>9.2286648838194441E-12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8.7524369423241345E-7</v>
      </c>
      <c r="L240" s="664">
        <f t="shared" si="14"/>
        <v>8.7524369423241345E-7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1.812164154942681E-10</v>
      </c>
      <c r="L241" s="664">
        <f t="shared" si="14"/>
        <v>1.812164154942681E-10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2.7504778235964065E-8</v>
      </c>
      <c r="L247" s="664">
        <f>IF(ISBLANK(I247),IF(ISNUMBER(J247)=FALSE,K247,J247),I247)</f>
        <v>2.7504778235964065E-8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2.5968022394704517E-8</v>
      </c>
      <c r="L248" s="664">
        <f>IF(ISBLANK(I248),IF(ISNUMBER(J248)=FALSE,K248,J248),I248)</f>
        <v>2.5968022394704517E-8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9.8583251403148694E-8</v>
      </c>
      <c r="L252" s="664">
        <f>IF(ISBLANK(I252),IF(ISNUMBER(J252)=FALSE,K252,J252),I252)</f>
        <v>9.8583251403148694E-8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1.1251596123782846E-7</v>
      </c>
      <c r="L259" s="664">
        <f t="shared" ref="L259:L274" si="15">IF(ISBLANK(I259),IF(ISNUMBER(J259)=FALSE,K259,J259),I259)</f>
        <v>1.1251596123782846E-7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4.727295545280204E-8</v>
      </c>
      <c r="L260" s="664">
        <f t="shared" si="15"/>
        <v>4.727295545280204E-8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4.727295545280204E-8</v>
      </c>
      <c r="L261" s="664">
        <f t="shared" si="15"/>
        <v>4.727295545280204E-8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5.2523818364423664E-9</v>
      </c>
      <c r="L262" s="664">
        <f t="shared" si="15"/>
        <v>5.2523818364423664E-9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2.4263774641205674E-8</v>
      </c>
      <c r="L263" s="664">
        <f t="shared" si="15"/>
        <v>2.4263774641205674E-8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1.1214963535600032E-7</v>
      </c>
      <c r="L265" s="664">
        <f t="shared" si="15"/>
        <v>1.1214963535600032E-7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64">
        <f t="shared" si="15"/>
        <v>4.727295545280204E-8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64">
        <f t="shared" si="15"/>
        <v>4.727295545280204E-8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5.2502678503101158E-9</v>
      </c>
      <c r="L273" s="664">
        <f t="shared" si="15"/>
        <v>5.2502678503101158E-9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2.3599688822101025E-8</v>
      </c>
      <c r="L274" s="664">
        <f t="shared" si="15"/>
        <v>2.3599688822101025E-8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64">
        <f>IF(ISBLANK(I318),IF(ISNUMBER(J318)=FALSE,K318,J318),I318)</f>
        <v>0.9999999574627858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64">
        <f>IF(ISBLANK(I319),IF(ISNUMBER(J319)=FALSE,K319,J319),I319)</f>
        <v>1.7313509702833897E-8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64">
        <f>IF(ISBLANK(I320),IF(ISNUMBER(J320)=FALSE,K320,J320),I320)</f>
        <v>2.5223704513034452E-8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64">
        <f>IF(ISBLANK(I321),IF(ISNUMBER(J321)=FALSE,K321,J321),I321)</f>
        <v>1.1551672360215958E-3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64">
        <f t="shared" ref="L323:L330" si="18">IF(ISBLANK(I323),IF(ISNUMBER(J323)=FALSE,K323,J323),I323)</f>
        <v>865.67552196512008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64">
        <f t="shared" si="18"/>
        <v>1261.185279299031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64">
        <f t="shared" si="18"/>
        <v>0.99999373716068052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64">
        <f t="shared" si="18"/>
        <v>0.99999373716068052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1.0367416473975934</v>
      </c>
      <c r="L327" s="664">
        <f t="shared" si="18"/>
        <v>1.0367416473975934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1.0367416473975934</v>
      </c>
      <c r="L328" s="664">
        <f t="shared" si="18"/>
        <v>1.0367416473975934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1.0791703060733229</v>
      </c>
      <c r="L333" s="664">
        <f>IF(ISBLANK(I333),IF(ISNUMBER(J333)=FALSE,K333,J333),I333)</f>
        <v>1.0791703060733229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1.0791703060733229</v>
      </c>
      <c r="L334" s="664">
        <f>IF(ISBLANK(I334),IF(ISNUMBER(J334)=FALSE,K334,J334),I334)</f>
        <v>1.0791703060733229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1.0591854118493984</v>
      </c>
      <c r="L337" s="664">
        <f t="shared" ref="L337:L344" si="19">IF(ISBLANK(I337),IF(ISNUMBER(J337)=FALSE,K337,J337),I337)</f>
        <v>1.0591854118493984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0.51837082369879672</v>
      </c>
      <c r="L338" s="664">
        <f t="shared" si="19"/>
        <v>0.51837082369879672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0.51125352766648247</v>
      </c>
      <c r="L340" s="664">
        <f t="shared" si="19"/>
        <v>0.51125352766648247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0.39119534473016004</v>
      </c>
      <c r="L341" s="664">
        <f t="shared" si="19"/>
        <v>0.39119534473016004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0.60835275922472343</v>
      </c>
      <c r="L342" s="664">
        <f t="shared" si="19"/>
        <v>0.60835275922472343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0.2073483294795187</v>
      </c>
      <c r="L343" s="664">
        <f t="shared" si="19"/>
        <v>0.2073483294795187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1.6724461398021193E-6</v>
      </c>
      <c r="L348" s="664">
        <f t="shared" ref="L348:L361" si="20">IF(ISBLANK(I348),IF(ISNUMBER(J348)=FALSE,K348,J348),I348)</f>
        <v>1.6724461398021193E-6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1.4205517469731309E-8</v>
      </c>
      <c r="L349" s="664">
        <f t="shared" si="20"/>
        <v>1.4205517469731309E-8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2.7187178521254531E-8</v>
      </c>
      <c r="L350" s="664">
        <f t="shared" si="20"/>
        <v>2.7187178521254531E-8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6.7101109101460826E-7</v>
      </c>
      <c r="L351" s="664">
        <f t="shared" si="20"/>
        <v>6.7101109101460826E-7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3.5666635687570654E-8</v>
      </c>
      <c r="L352" s="664">
        <f t="shared" si="20"/>
        <v>3.5666635687570654E-8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2.2354229056970334E-6</v>
      </c>
      <c r="L353" s="664">
        <f t="shared" si="20"/>
        <v>2.2354229056970334E-6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2.1997563125466768E-6</v>
      </c>
      <c r="L354" s="664">
        <f t="shared" si="20"/>
        <v>2.1997563125466768E-6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2.7945181764271951E-6</v>
      </c>
      <c r="L355" s="664">
        <f t="shared" si="20"/>
        <v>2.7945181764271951E-6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4.2537214215868346E-11</v>
      </c>
      <c r="L358" s="664">
        <f t="shared" si="20"/>
        <v>4.2537214215868346E-11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3.4659665003958211E-9</v>
      </c>
      <c r="L359" s="664">
        <f t="shared" si="20"/>
        <v>3.4659665003958211E-9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5.9475844045123215E-4</v>
      </c>
      <c r="L360" s="664">
        <f t="shared" si="20"/>
        <v>5.9475844045123215E-4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2.3535421354583144E-3</v>
      </c>
      <c r="L364" s="664">
        <f t="shared" si="21"/>
        <v>2.3535421354583144E-3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1.1685089211533699E-5</v>
      </c>
      <c r="L365" s="664">
        <f>IF(ISBLANK(I365),IF(ISNUMBER(J365)=FALSE,K365,J365),I365)</f>
        <v>1.1685089211533699E-5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2.7187178521254531E-6</v>
      </c>
      <c r="L366" s="664">
        <f t="shared" si="21"/>
        <v>2.7187178521254531E-6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3.3550554550730417E-8</v>
      </c>
      <c r="L367" s="664">
        <f>IF(ISBLANK(I367),IF(ISNUMBER(J367)=FALSE,K367,J367),I367)</f>
        <v>3.3550554550730417E-8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4.7206657788522203E-3</v>
      </c>
      <c r="L368" s="664">
        <f t="shared" si="21"/>
        <v>4.7206657788522203E-3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5.4218710899516866E-6</v>
      </c>
      <c r="L369" s="664">
        <f t="shared" si="21"/>
        <v>5.4218710899516866E-6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2.6700000000000001E-8</v>
      </c>
      <c r="L372" s="664">
        <f>IF(ISBLANK(I372),IF(ISNUMBER(J372)=FALSE,K372,J372),I372)</f>
        <v>2.6700000000000001E-8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9.2286648838194441E-12</v>
      </c>
      <c r="L375" s="664">
        <f t="shared" ref="L375:L381" si="22">IF(ISBLANK(I375),IF(ISNUMBER(J375)=FALSE,K375,J375),I375)</f>
        <v>9.2286648838194441E-12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8.7524369423241345E-7</v>
      </c>
      <c r="L376" s="664">
        <f t="shared" si="22"/>
        <v>8.7524369423241345E-7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1.812164154942681E-10</v>
      </c>
      <c r="L377" s="664">
        <f t="shared" si="22"/>
        <v>1.812164154942681E-10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2.7504778235964065E-8</v>
      </c>
      <c r="L383" s="664">
        <f>IF(ISBLANK(I383),IF(ISNUMBER(J383)=FALSE,K383,J383),I383)</f>
        <v>2.7504778235964065E-8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2.5968022394704517E-8</v>
      </c>
      <c r="L384" s="664">
        <f>IF(ISBLANK(I384),IF(ISNUMBER(J384)=FALSE,K384,J384),I384)</f>
        <v>2.5968022394704517E-8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5.1233029146448442E-7</v>
      </c>
      <c r="L388" s="664">
        <f>IF(ISBLANK(I388),IF(ISNUMBER(J388)=FALSE,K388,J388),I388)</f>
        <v>5.1233029146448442E-7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1.4941381954176272E-7</v>
      </c>
      <c r="L395" s="664">
        <f t="shared" ref="L395:L410" si="23">IF(ISBLANK(I395),IF(ISNUMBER(J395)=FALSE,K395,J395),I395)</f>
        <v>1.4941381954176272E-7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5.3483243787849438E-7</v>
      </c>
      <c r="L396" s="664">
        <f t="shared" si="23"/>
        <v>5.3483243787849438E-7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5.3483243787849438E-7</v>
      </c>
      <c r="L397" s="664">
        <f t="shared" si="23"/>
        <v>5.3483243787849438E-7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5.9402113986132252E-8</v>
      </c>
      <c r="L398" s="664">
        <f t="shared" si="23"/>
        <v>5.9402113986132252E-8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2.7045189144606642E-7</v>
      </c>
      <c r="L399" s="664">
        <f t="shared" si="23"/>
        <v>2.7045189144606642E-7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1.4904749365993458E-7</v>
      </c>
      <c r="L401" s="664">
        <f t="shared" si="23"/>
        <v>1.4904749365993458E-7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5.3483243787849438E-7</v>
      </c>
      <c r="L404" s="664">
        <f t="shared" si="23"/>
        <v>5.3483243787849438E-7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5.3483243787849438E-7</v>
      </c>
      <c r="L405" s="664">
        <f t="shared" si="23"/>
        <v>5.3483243787849438E-7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5.9400000000000003E-8</v>
      </c>
      <c r="L409" s="664">
        <f t="shared" si="23"/>
        <v>5.9400000000000003E-8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2.67E-7</v>
      </c>
      <c r="L410" s="664">
        <f t="shared" si="23"/>
        <v>2.67E-7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-9.7096164992800062E-6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2.7308847439494821E-7</v>
      </c>
      <c r="K9" s="179">
        <f>k.s2R.aR</f>
        <v>1.2427006650910626E-7</v>
      </c>
      <c r="L9" s="179">
        <f>k.s3R.aR</f>
        <v>2.7308847439494821E-7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7.9128981788738238E-9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2.2995302974166017E-8</v>
      </c>
      <c r="K10" s="689">
        <f>k.s2R.w0R</f>
        <v>1.0464109978745858E-8</v>
      </c>
      <c r="L10" s="689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8.7041879967612062E-8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1.3847658360893962E-8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8.7237247488521242E-7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-9.1865982784711612E-7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-8.9936970439032594E-7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1.285993652591919E-8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-6.5932693568666469E-7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2.8577636724264861E-8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-3.5912108645868128E-7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4.7629394540441438E-9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-6.5932693568666469E-7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-3.5250900514455198E-6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691">
        <f>k.s1C.aC</f>
        <v>2.7308847439494821E-7</v>
      </c>
      <c r="T18" s="691">
        <f>k.s2C.aC</f>
        <v>1.2427006650910626E-7</v>
      </c>
      <c r="U18" s="691">
        <f>k.s3C.aC</f>
        <v>2.7308847439494821E-7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3.8482071798259994E-9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2.299530297416602E-8</v>
      </c>
      <c r="T19" s="691">
        <f>k.s2C.w0C</f>
        <v>1.0464109978745859E-8</v>
      </c>
      <c r="U19" s="691">
        <f>k.s3C.w0C</f>
        <v>2.299530297416602E-8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4.2330278978085983E-8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691">
        <f>k.s1C.w1C</f>
        <v>2.529483327158262E-7</v>
      </c>
      <c r="T20" s="691">
        <f>k.s2C.w1C</f>
        <v>1.1510520976620445E-7</v>
      </c>
      <c r="U20" s="691">
        <f>k.s3C.w1C</f>
        <v>2.529483327158262E-7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1.6397736010416613E-6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8.7433247488521242E-7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-9.1865982784711601E-7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-8.9936970439032594E-7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6.2604343855921001E-9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-6.5932693568666469E-7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1.3912076412426888E-8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-3.5912108645868128E-7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2.3186794020711477E-9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-6.5932693568666469E-7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-2.9125193055856895E-6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2.7308847439494821E-7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1.5895311400538746E-6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-8.9936970439032594E-7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2.3946562320627867E-8</v>
      </c>
      <c r="W31" s="376">
        <v>0</v>
      </c>
      <c r="X31" s="376">
        <v>0</v>
      </c>
      <c r="Y31" s="376">
        <v>0</v>
      </c>
      <c r="Z31" s="378">
        <f>-k.sM-SUM(Z9:Z30,Z32:Z41)</f>
        <v>-6.5932693568666469E-7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-3.3608575277704032E-6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5.9528448242514022E-8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2.5320540231950468E-6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-8.8049607606885577E-7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2.3945691091915809E-8</v>
      </c>
      <c r="AB36" s="376">
        <v>0</v>
      </c>
      <c r="AC36" s="376">
        <v>0</v>
      </c>
      <c r="AD36" s="376">
        <v>0</v>
      </c>
      <c r="AE36" s="378">
        <f>-k.sA-SUM(AE9:AE35,AE37:AE41)</f>
        <v>-1.823754742868684E-7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-2.2357892315788613E-6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6.7101109101460826E-7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1.6724461398021193E-6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-9.3464580821854568E-7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1.4205517469731309E-8</v>
      </c>
      <c r="AG41" s="373">
        <v>0</v>
      </c>
      <c r="AH41" s="373">
        <v>0</v>
      </c>
      <c r="AI41" s="373">
        <v>0</v>
      </c>
      <c r="AJ41" s="381">
        <f>-k.sT-SUM(AJ9:AJ40)</f>
        <v>-1.453793273925159E-6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46120768.489318743</v>
      </c>
      <c r="D45" s="370">
        <f t="array" ref="D45:AJ45">TRANSPOSE(MMULT(MINVERSE(D9:AJ41),-TRANSPOSE(D5:AJ5)))</f>
        <v>658652.59736003261</v>
      </c>
      <c r="E45" s="370">
        <v>340501.47416050208</v>
      </c>
      <c r="F45" s="370">
        <v>3863748.7371612745</v>
      </c>
      <c r="G45" s="370">
        <v>163976.75920306789</v>
      </c>
      <c r="H45" s="370">
        <v>39234.565650482939</v>
      </c>
      <c r="I45" s="370">
        <v>504.78236659496309</v>
      </c>
      <c r="J45" s="370">
        <v>12846.783797571376</v>
      </c>
      <c r="K45" s="370">
        <v>7199760.7059829421</v>
      </c>
      <c r="L45" s="370">
        <v>4758.0680731745824</v>
      </c>
      <c r="M45" s="370">
        <v>1850673.280225113</v>
      </c>
      <c r="N45" s="370">
        <v>35438.780212258229</v>
      </c>
      <c r="O45" s="370">
        <v>103650.28062140505</v>
      </c>
      <c r="P45" s="370">
        <v>12751520.40612134</v>
      </c>
      <c r="Q45" s="370">
        <v>1052.5202378246033</v>
      </c>
      <c r="R45" s="370">
        <v>1962.6996775545085</v>
      </c>
      <c r="S45" s="370">
        <v>17572.49402824929</v>
      </c>
      <c r="T45" s="370">
        <v>71693.668402539726</v>
      </c>
      <c r="U45" s="370">
        <v>6508.3311215738086</v>
      </c>
      <c r="V45" s="370">
        <v>972108.42491681734</v>
      </c>
      <c r="W45" s="370">
        <v>3787591.8396914806</v>
      </c>
      <c r="X45" s="370">
        <v>4221811.9277902916</v>
      </c>
      <c r="Y45" s="370">
        <v>43.321102872261065</v>
      </c>
      <c r="Z45" s="370">
        <v>35306.694933423423</v>
      </c>
      <c r="AA45" s="370">
        <v>112890.86455891609</v>
      </c>
      <c r="AB45" s="370">
        <v>1541741.9554292916</v>
      </c>
      <c r="AC45" s="370">
        <v>7131717.4623675793</v>
      </c>
      <c r="AD45" s="370">
        <v>74.749033295097519</v>
      </c>
      <c r="AE45" s="370">
        <v>14822.441341948321</v>
      </c>
      <c r="AF45" s="370">
        <v>293995.07681080501</v>
      </c>
      <c r="AG45" s="370">
        <v>614323.57884886593</v>
      </c>
      <c r="AH45" s="370">
        <v>267407.85001829336</v>
      </c>
      <c r="AI45" s="370">
        <v>2.6403771497410249</v>
      </c>
      <c r="AJ45" s="371">
        <v>2872.7276942030253</v>
      </c>
    </row>
    <row r="46" spans="1:36" ht="12.75" customHeight="1" x14ac:dyDescent="0.2">
      <c r="B46" s="255" t="s">
        <v>2410</v>
      </c>
      <c r="C46" s="531">
        <f>SUM(D46:AJ46)</f>
        <v>63309422.849091791</v>
      </c>
      <c r="D46" s="383">
        <f>D45</f>
        <v>658652.59736003261</v>
      </c>
      <c r="E46" s="383"/>
      <c r="F46" s="383">
        <f t="shared" ref="F46:AJ46" si="0">F45</f>
        <v>3863748.7371612745</v>
      </c>
      <c r="G46" s="383">
        <f t="shared" si="0"/>
        <v>163976.75920306789</v>
      </c>
      <c r="H46" s="383">
        <f t="shared" si="0"/>
        <v>39234.565650482939</v>
      </c>
      <c r="I46" s="383">
        <f t="shared" si="0"/>
        <v>504.78236659496309</v>
      </c>
      <c r="J46" s="383">
        <f t="shared" si="0"/>
        <v>12846.783797571376</v>
      </c>
      <c r="K46" s="383">
        <f t="shared" si="0"/>
        <v>7199760.7059829421</v>
      </c>
      <c r="L46" s="383">
        <f t="shared" si="0"/>
        <v>4758.0680731745824</v>
      </c>
      <c r="M46" s="383">
        <f t="shared" si="0"/>
        <v>1850673.280225113</v>
      </c>
      <c r="N46" s="383"/>
      <c r="O46" s="383">
        <f t="shared" si="0"/>
        <v>103650.28062140505</v>
      </c>
      <c r="P46" s="383">
        <f t="shared" si="0"/>
        <v>12751520.40612134</v>
      </c>
      <c r="Q46" s="383">
        <f t="shared" si="0"/>
        <v>1052.5202378246033</v>
      </c>
      <c r="R46" s="383">
        <f t="shared" si="0"/>
        <v>1962.6996775545085</v>
      </c>
      <c r="S46" s="383">
        <f t="shared" si="0"/>
        <v>17572.49402824929</v>
      </c>
      <c r="T46" s="383">
        <f t="shared" si="0"/>
        <v>71693.668402539726</v>
      </c>
      <c r="U46" s="383">
        <f t="shared" si="0"/>
        <v>6508.3311215738086</v>
      </c>
      <c r="V46" s="383">
        <f t="shared" si="0"/>
        <v>972108.42491681734</v>
      </c>
      <c r="W46" s="383">
        <f>SUM(W45:X45)</f>
        <v>8009403.7674817722</v>
      </c>
      <c r="X46" s="383">
        <f>SUM(W45:X45)</f>
        <v>8009403.7674817722</v>
      </c>
      <c r="Y46" s="383">
        <f t="shared" si="0"/>
        <v>43.321102872261065</v>
      </c>
      <c r="Z46" s="383">
        <f t="shared" si="0"/>
        <v>35306.694933423423</v>
      </c>
      <c r="AA46" s="383">
        <f t="shared" si="0"/>
        <v>112890.86455891609</v>
      </c>
      <c r="AB46" s="383">
        <f>SUM(AB45:AC45)</f>
        <v>8673459.4177968707</v>
      </c>
      <c r="AC46" s="383">
        <f>SUM(AB45:AC45)</f>
        <v>8673459.4177968707</v>
      </c>
      <c r="AD46" s="383">
        <f t="shared" si="0"/>
        <v>74.749033295097519</v>
      </c>
      <c r="AE46" s="383">
        <f t="shared" si="0"/>
        <v>14822.441341948321</v>
      </c>
      <c r="AF46" s="383">
        <f t="shared" si="0"/>
        <v>293995.07681080501</v>
      </c>
      <c r="AG46" s="383">
        <f>SUM(AG45:AH45)</f>
        <v>881731.42886715929</v>
      </c>
      <c r="AH46" s="383">
        <f>SUM(AG45:AH45)</f>
        <v>881731.42886715929</v>
      </c>
      <c r="AI46" s="383">
        <f t="shared" si="0"/>
        <v>2.6403771497410249</v>
      </c>
      <c r="AJ46" s="384">
        <f t="shared" si="0"/>
        <v>2872.7276942030253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-8.8443238692603697E-3</v>
      </c>
      <c r="E48" s="515" t="e">
        <f t="shared" ref="E48:AJ48" si="1">IF(E49&gt;0.0001,LOG(E46/E47),"")</f>
        <v>#DIV/0!</v>
      </c>
      <c r="F48" s="515">
        <f t="shared" si="1"/>
        <v>0.51058201809804959</v>
      </c>
      <c r="G48" s="515">
        <f t="shared" si="1"/>
        <v>0.60512102870389228</v>
      </c>
      <c r="H48" s="515">
        <f t="shared" si="1"/>
        <v>-0.61555156959724799</v>
      </c>
      <c r="I48" s="515" t="str">
        <f t="shared" si="1"/>
        <v/>
      </c>
      <c r="J48" s="515">
        <f t="shared" si="1"/>
        <v>0.7526848567819231</v>
      </c>
      <c r="K48" s="515">
        <f t="shared" si="1"/>
        <v>-0.45688069880709081</v>
      </c>
      <c r="L48" s="515">
        <f t="shared" si="1"/>
        <v>0.75268485678192298</v>
      </c>
      <c r="M48" s="515">
        <f t="shared" si="1"/>
        <v>-0.30021423751420045</v>
      </c>
      <c r="N48" s="515" t="e">
        <f t="shared" si="1"/>
        <v>#DIV/0!</v>
      </c>
      <c r="O48" s="515">
        <f t="shared" si="1"/>
        <v>1.4972867675823358</v>
      </c>
      <c r="P48" s="515">
        <f t="shared" si="1"/>
        <v>0.87545386674363335</v>
      </c>
      <c r="Q48" s="515" t="str">
        <f t="shared" si="1"/>
        <v/>
      </c>
      <c r="R48" s="515" t="str">
        <f t="shared" si="1"/>
        <v/>
      </c>
      <c r="S48" s="515">
        <f t="shared" si="1"/>
        <v>0.43418209554465753</v>
      </c>
      <c r="T48" s="515">
        <f t="shared" si="1"/>
        <v>0.25793236990122076</v>
      </c>
      <c r="U48" s="515">
        <f t="shared" si="1"/>
        <v>0.43418209554465742</v>
      </c>
      <c r="V48" s="515">
        <f t="shared" si="1"/>
        <v>-0.82160325182636351</v>
      </c>
      <c r="W48" s="515">
        <f t="shared" si="1"/>
        <v>0.25389624687658641</v>
      </c>
      <c r="X48" s="515">
        <f t="shared" si="1"/>
        <v>0.25389624687658641</v>
      </c>
      <c r="Y48" s="515" t="str">
        <f t="shared" si="1"/>
        <v/>
      </c>
      <c r="Z48" s="515">
        <f t="shared" si="1"/>
        <v>-5.9571865760229083E-2</v>
      </c>
      <c r="AA48" s="515">
        <f t="shared" si="1"/>
        <v>-1.3132617404454823</v>
      </c>
      <c r="AB48" s="515">
        <f t="shared" si="1"/>
        <v>-0.36765623335878528</v>
      </c>
      <c r="AC48" s="515">
        <f t="shared" si="1"/>
        <v>-0.36765623335878528</v>
      </c>
      <c r="AD48" s="515" t="str">
        <f t="shared" si="1"/>
        <v/>
      </c>
      <c r="AE48" s="515">
        <f t="shared" si="1"/>
        <v>-0.49461985526552665</v>
      </c>
      <c r="AF48" s="515">
        <f t="shared" si="1"/>
        <v>-1.328375871633914</v>
      </c>
      <c r="AG48" s="515">
        <f t="shared" si="1"/>
        <v>-9.6140817764779923E-2</v>
      </c>
      <c r="AH48" s="515">
        <f t="shared" si="1"/>
        <v>-9.6140817764779923E-2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0.99999999999999978</v>
      </c>
      <c r="D49" s="151">
        <f t="shared" ref="D49:AJ49" si="2">D45/SUM($D45:$AJ45)</f>
        <v>1.4281041251785994E-2</v>
      </c>
      <c r="E49" s="151">
        <f t="shared" si="2"/>
        <v>7.3828230819562319E-3</v>
      </c>
      <c r="F49" s="151">
        <f t="shared" si="2"/>
        <v>8.3774595777953972E-2</v>
      </c>
      <c r="G49" s="151">
        <f t="shared" si="2"/>
        <v>3.555377860649564E-3</v>
      </c>
      <c r="H49" s="151">
        <f t="shared" si="2"/>
        <v>8.506919319778767E-4</v>
      </c>
      <c r="I49" s="151">
        <f t="shared" si="2"/>
        <v>1.0944795221958786E-5</v>
      </c>
      <c r="J49" s="151">
        <f t="shared" si="2"/>
        <v>2.7854661182730731E-4</v>
      </c>
      <c r="K49" s="151">
        <f t="shared" si="2"/>
        <v>0.1561066942683394</v>
      </c>
      <c r="L49" s="151">
        <f t="shared" si="2"/>
        <v>1.0316541178789158E-4</v>
      </c>
      <c r="M49" s="151">
        <f t="shared" si="2"/>
        <v>4.0126679169574471E-2</v>
      </c>
      <c r="N49" s="151">
        <f t="shared" si="2"/>
        <v>7.6839093044309549E-4</v>
      </c>
      <c r="O49" s="151">
        <f t="shared" si="2"/>
        <v>2.2473667290563415E-3</v>
      </c>
      <c r="P49" s="151">
        <f t="shared" si="2"/>
        <v>0.27648109135637028</v>
      </c>
      <c r="Q49" s="151">
        <f t="shared" si="2"/>
        <v>2.2820960541200868E-5</v>
      </c>
      <c r="R49" s="151">
        <f t="shared" si="2"/>
        <v>4.2555658585980769E-5</v>
      </c>
      <c r="S49" s="151">
        <f t="shared" si="2"/>
        <v>3.8101043421076038E-4</v>
      </c>
      <c r="T49" s="151">
        <f t="shared" si="2"/>
        <v>1.5544768821261835E-3</v>
      </c>
      <c r="U49" s="151">
        <f t="shared" si="2"/>
        <v>1.411149756336149E-4</v>
      </c>
      <c r="V49" s="151">
        <f t="shared" si="2"/>
        <v>2.1077455054591101E-2</v>
      </c>
      <c r="W49" s="151">
        <f t="shared" si="2"/>
        <v>8.2123346244082226E-2</v>
      </c>
      <c r="X49" s="151">
        <f t="shared" si="2"/>
        <v>9.1538195612851384E-2</v>
      </c>
      <c r="Y49" s="151">
        <f t="shared" si="2"/>
        <v>9.3929707355795555E-7</v>
      </c>
      <c r="Z49" s="151">
        <f t="shared" si="2"/>
        <v>7.6552703022717873E-4</v>
      </c>
      <c r="AA49" s="151">
        <f t="shared" si="2"/>
        <v>2.4477229728958405E-3</v>
      </c>
      <c r="AB49" s="151">
        <f t="shared" si="2"/>
        <v>3.3428366567359966E-2</v>
      </c>
      <c r="AC49" s="151">
        <f t="shared" si="2"/>
        <v>0.15463136664817795</v>
      </c>
      <c r="AD49" s="151">
        <f t="shared" si="2"/>
        <v>1.6207239329155776E-6</v>
      </c>
      <c r="AE49" s="151">
        <f t="shared" si="2"/>
        <v>3.2138322555013576E-4</v>
      </c>
      <c r="AF49" s="151">
        <f t="shared" si="2"/>
        <v>6.3744617975932533E-3</v>
      </c>
      <c r="AG49" s="151">
        <f t="shared" si="2"/>
        <v>1.331989034378599E-2</v>
      </c>
      <c r="AH49" s="151">
        <f t="shared" si="2"/>
        <v>5.7979920711907305E-3</v>
      </c>
      <c r="AI49" s="151">
        <f t="shared" si="2"/>
        <v>5.7249201091532511E-8</v>
      </c>
      <c r="AJ49" s="253">
        <f t="shared" si="2"/>
        <v>6.2287073444327573E-5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2.8690708601299501E-9</v>
      </c>
      <c r="E50" s="179">
        <f t="shared" si="3"/>
        <v>5.9588130403902885E-6</v>
      </c>
      <c r="F50" s="179">
        <f t="shared" si="3"/>
        <v>2.0489704697115662E-4</v>
      </c>
      <c r="G50" s="179">
        <f t="shared" si="3"/>
        <v>1.6397675920306771E-5</v>
      </c>
      <c r="H50" s="179">
        <f t="shared" si="3"/>
        <v>2.080633909669364E-4</v>
      </c>
      <c r="I50" s="179">
        <f t="shared" si="3"/>
        <v>1.6826078886498755E-5</v>
      </c>
      <c r="J50" s="179">
        <f t="shared" si="3"/>
        <v>4.1633355848751654E-6</v>
      </c>
      <c r="K50" s="179">
        <f t="shared" si="3"/>
        <v>2.6249291631968844E-4</v>
      </c>
      <c r="L50" s="179">
        <f t="shared" si="3"/>
        <v>4.1633355848751654E-6</v>
      </c>
      <c r="M50" s="179">
        <f t="shared" si="3"/>
        <v>2.570647331631924E-10</v>
      </c>
      <c r="N50" s="179">
        <f t="shared" si="3"/>
        <v>4.0665986060471195E-8</v>
      </c>
      <c r="O50" s="179">
        <f t="shared" si="3"/>
        <v>3.6042016783191793E-7</v>
      </c>
      <c r="P50" s="179">
        <f t="shared" si="3"/>
        <v>1.7169556292089129E-8</v>
      </c>
      <c r="Q50" s="179">
        <f t="shared" si="3"/>
        <v>3.6598986369255753E-7</v>
      </c>
      <c r="R50" s="179">
        <f t="shared" si="3"/>
        <v>1.761812527707694E-8</v>
      </c>
      <c r="S50" s="179">
        <f t="shared" si="3"/>
        <v>3.7341536740491869E-7</v>
      </c>
      <c r="T50" s="179">
        <f t="shared" si="3"/>
        <v>1.7139261603740589E-7</v>
      </c>
      <c r="U50" s="179">
        <f t="shared" si="3"/>
        <v>3.7341536740491869E-7</v>
      </c>
      <c r="V50" s="179">
        <f t="shared" si="3"/>
        <v>1.2531824640502017E-11</v>
      </c>
      <c r="W50" s="179">
        <f t="shared" si="3"/>
        <v>9.76546145022283E-10</v>
      </c>
      <c r="X50" s="179">
        <f t="shared" si="3"/>
        <v>3.6283337254809424E-11</v>
      </c>
      <c r="Y50" s="179">
        <f t="shared" si="3"/>
        <v>3.723126971663193E-11</v>
      </c>
      <c r="Z50" s="179">
        <f t="shared" si="3"/>
        <v>1.8206088876525238E-8</v>
      </c>
      <c r="AA50" s="179">
        <f t="shared" si="3"/>
        <v>2.6562556366803785E-12</v>
      </c>
      <c r="AB50" s="179">
        <f t="shared" si="3"/>
        <v>6.0460468840364375E-10</v>
      </c>
      <c r="AC50" s="179">
        <f t="shared" si="3"/>
        <v>9.3225064867550055E-11</v>
      </c>
      <c r="AD50" s="179">
        <f t="shared" si="3"/>
        <v>9.7711154634114407E-11</v>
      </c>
      <c r="AE50" s="179">
        <f t="shared" si="3"/>
        <v>1.7438166284645085E-8</v>
      </c>
      <c r="AF50" s="179">
        <f t="shared" si="3"/>
        <v>2.3058437396925884E-12</v>
      </c>
      <c r="AG50" s="179">
        <f t="shared" si="3"/>
        <v>6.8831773540489188E-11</v>
      </c>
      <c r="AH50" s="179">
        <f t="shared" si="3"/>
        <v>9.9872212891986334E-13</v>
      </c>
      <c r="AI50" s="179">
        <f t="shared" si="3"/>
        <v>9.8613525667265169E-13</v>
      </c>
      <c r="AJ50" s="380">
        <f t="shared" si="3"/>
        <v>1.5020798401061566E-9</v>
      </c>
    </row>
    <row r="51" spans="1:36" ht="12.75" customHeight="1" x14ac:dyDescent="0.2">
      <c r="B51" s="141" t="s">
        <v>703</v>
      </c>
      <c r="C51" s="254"/>
      <c r="D51" s="385">
        <f>D50*8.314*TEMP.R</f>
        <v>6.7982347123693149E-6</v>
      </c>
      <c r="E51" s="385">
        <f>E50*Kaw.R*8.314*TEMP.R</f>
        <v>8.1581595333817532E-6</v>
      </c>
      <c r="F51" s="385">
        <f>F50*Kaw.R*8.314*TEMP.R</f>
        <v>2.8052277958363756E-4</v>
      </c>
      <c r="G51" s="385">
        <f>G50*Kaw.R*8.314*TEMP.R</f>
        <v>2.244991665752835E-5</v>
      </c>
      <c r="H51" s="385">
        <f>H50*Kaw.R/Ksdw1.R*8.314*TEMP.R</f>
        <v>2.6894044295631541E-4</v>
      </c>
      <c r="I51" s="385">
        <f>I50*Kaw.R/Ksdw2.R*8.314*TEMP.R</f>
        <v>2.1749203874467219E-5</v>
      </c>
      <c r="J51" s="385">
        <f>J50*Kaw.R/Ks1w.R*8.314*TEMP.R</f>
        <v>1.1151560306597989E-5</v>
      </c>
      <c r="K51" s="385">
        <f>K50*Kaw.R/Ks2w.R*8.314*TEMP.R</f>
        <v>7.03091433952124E-4</v>
      </c>
      <c r="L51" s="385">
        <f>L50*Kaw.R/Ks3w.R*8.314*TEMP.R</f>
        <v>1.1151560306597989E-5</v>
      </c>
      <c r="M51" s="385">
        <f>M50*8.314*TEMP.C</f>
        <v>6.091123145828527E-7</v>
      </c>
      <c r="N51" s="385">
        <f>N50*Kaw.C*8.314*TEMP.C</f>
        <v>5.5675450734039657E-8</v>
      </c>
      <c r="O51" s="385">
        <f>O50*Kaw.C*8.314*TEMP.C</f>
        <v>4.9344814282483777E-7</v>
      </c>
      <c r="P51" s="385">
        <f>P50*Kaw.C*8.314*TEMP.C</f>
        <v>2.3506691416360866E-8</v>
      </c>
      <c r="Q51" s="385">
        <f>Q50*Kaw.C/Ksdw1.C*8.314*TEMP.C</f>
        <v>4.7307445870974702E-7</v>
      </c>
      <c r="R51" s="385">
        <f>R50*Kaw.C/Ksdw2.C*8.314*TEMP.C</f>
        <v>2.2772994297828619E-8</v>
      </c>
      <c r="S51" s="385">
        <f>S50*Kaw.C/Ks1w.C*8.314*TEMP.C</f>
        <v>1.0001989760696304E-6</v>
      </c>
      <c r="T51" s="385">
        <f>T50*Kaw.C/Ks2w.C*8.314*TEMP.C</f>
        <v>4.5907783672068188E-7</v>
      </c>
      <c r="U51" s="385">
        <f>U50*Kaw.C/Ks3w.C*8.314*TEMP.C</f>
        <v>1.0001989760696304E-6</v>
      </c>
      <c r="V51" s="385">
        <f>V50*8.314*TEMP.M</f>
        <v>2.9694033167423128E-8</v>
      </c>
      <c r="W51" s="385">
        <f>W50*Kaw.M*8.314*TEMP.M</f>
        <v>1.3369809035456714E-9</v>
      </c>
      <c r="X51" s="385">
        <f>X50*Kaw.M*8.314*TEMP.M</f>
        <v>4.9675204058565525E-11</v>
      </c>
      <c r="Y51" s="385">
        <f>Y50*Kaw.M/Ksdw.M*8.314*TEMP.M</f>
        <v>4.8124728347853468E-11</v>
      </c>
      <c r="Z51" s="372">
        <f>Z50*Kaw.M/Kslw.M*8.314*TEMP.M</f>
        <v>4.8765297419554906E-8</v>
      </c>
      <c r="AA51" s="385">
        <f>AA50*8.314*TEMP.A</f>
        <v>5.8081207625638555E-9</v>
      </c>
      <c r="AB51" s="385">
        <f>AB50*Kaw.A*8.314*TEMP.A</f>
        <v>2.0129819984312808E-10</v>
      </c>
      <c r="AC51" s="385">
        <f>AC50*Kaw.A*8.314*TEMP.A</f>
        <v>3.1038525003246689E-11</v>
      </c>
      <c r="AD51" s="385">
        <f>AD50*Kaw.A/Ksdw.A*8.314*TEMP.A</f>
        <v>3.0714293870075013E-11</v>
      </c>
      <c r="AE51" s="372">
        <f>AE50*Kaw.A/Kslw.A*8.314*TEMP.A</f>
        <v>1.1360653075621047E-8</v>
      </c>
      <c r="AF51" s="385">
        <f>AF50*8.314*TEMP.T</f>
        <v>5.712893885837646E-9</v>
      </c>
      <c r="AG51" s="385">
        <f>AG50*Kaw.T*8.314*TEMP.T</f>
        <v>1.9699722414136614E-10</v>
      </c>
      <c r="AH51" s="385">
        <f>AH50*Kaw.T*8.314*TEMP.T</f>
        <v>2.8583527194753493E-12</v>
      </c>
      <c r="AI51" s="385">
        <f>AI50*Kaw.T/Ksdw.T*8.314*TEMP.T</f>
        <v>2.6646222027512307E-12</v>
      </c>
      <c r="AJ51" s="386">
        <f>AJ50*Kaw.T/Kslw.T*8.314*TEMP.T</f>
        <v>8.4086804089729857E-9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-2.4781936037685135</v>
      </c>
      <c r="E55" s="370">
        <f t="shared" ref="E55:AJ55" si="4">E9*E$45</f>
        <v>6.1790090654598841E-3</v>
      </c>
      <c r="F55" s="370">
        <f t="shared" si="4"/>
        <v>2.3371195523073114</v>
      </c>
      <c r="G55" s="370">
        <f t="shared" si="4"/>
        <v>2.9756380855134497E-2</v>
      </c>
      <c r="H55" s="389">
        <f t="shared" si="4"/>
        <v>0</v>
      </c>
      <c r="I55" s="389">
        <f t="shared" si="4"/>
        <v>0</v>
      </c>
      <c r="J55" s="370">
        <f t="shared" si="4"/>
        <v>3.5083085881605063E-3</v>
      </c>
      <c r="K55" s="370">
        <f t="shared" si="4"/>
        <v>0.89471474178215005</v>
      </c>
      <c r="L55" s="370">
        <f t="shared" si="4"/>
        <v>1.2993735511705575E-3</v>
      </c>
      <c r="M55" s="370">
        <f t="shared" si="4"/>
        <v>0.5559236081509481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5.2118509381607163E-3</v>
      </c>
      <c r="E56" s="378">
        <f>SUM(D56,F56:AJ56)-SUM(E55,E57:E87)</f>
        <v>7.3960487966108282E-2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2.9541568566876085E-4</v>
      </c>
      <c r="K56" s="376">
        <f t="shared" si="6"/>
        <v>7.5339087848058428E-2</v>
      </c>
      <c r="L56" s="376">
        <f t="shared" si="6"/>
        <v>1.0941321691435584E-4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5.7330360319767876E-2</v>
      </c>
      <c r="E57" s="179">
        <f t="shared" ref="E57:E87" si="7">E11*E$45</f>
        <v>8.1627065723408022E-4</v>
      </c>
      <c r="F57" s="378">
        <f>SUM(D57:E57,G57:AJ57)-SUM(F55:F56,F58:F87)</f>
        <v>-1.7275290581836062</v>
      </c>
      <c r="G57" s="376">
        <f t="shared" ref="G57:AJ57" si="8">G11*G$45</f>
        <v>0</v>
      </c>
      <c r="H57" s="179">
        <f t="shared" si="8"/>
        <v>3.4983130222094455E-2</v>
      </c>
      <c r="I57" s="376">
        <f t="shared" si="8"/>
        <v>0</v>
      </c>
      <c r="J57" s="179">
        <f t="shared" si="8"/>
        <v>3.2495725423563695E-3</v>
      </c>
      <c r="K57" s="179">
        <f t="shared" si="8"/>
        <v>0.82872996632864282</v>
      </c>
      <c r="L57" s="179">
        <f t="shared" si="8"/>
        <v>1.2035453860579145E-3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9.1207961467571798E-3</v>
      </c>
      <c r="E58" s="179">
        <f t="shared" si="7"/>
        <v>0</v>
      </c>
      <c r="F58" s="179">
        <f t="shared" ref="F58:F87" si="9">F12*F$45</f>
        <v>0.28067913200631922</v>
      </c>
      <c r="G58" s="378">
        <f>SUM(D58:F58,H58:AJ58)-SUM(G55:G57,G59:G87)</f>
        <v>3.5617304082840306E-2</v>
      </c>
      <c r="H58" s="376">
        <f t="shared" ref="H58:N58" si="10">H12*H$45</f>
        <v>0</v>
      </c>
      <c r="I58" s="179">
        <f t="shared" si="10"/>
        <v>4.4035824242486253E-4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2.1167813813871333E-4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3.6043219326129021E-2</v>
      </c>
      <c r="G59" s="376">
        <f t="shared" ref="G59:G87" si="12">G13*G$45</f>
        <v>0</v>
      </c>
      <c r="H59" s="378">
        <f>SUM(D59:G59,I59:AJ59)-SUM(H55:H58,H60:H87)</f>
        <v>1.0600891040345659E-3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4.5398596782596093E-4</v>
      </c>
      <c r="H60" s="376">
        <f t="shared" ref="H60:H87" si="15">H14*H$45</f>
        <v>0</v>
      </c>
      <c r="I60" s="378">
        <f>SUM(D60:H60,J60:AJ60)-SUM(I55:I59,I61:I87)</f>
        <v>1.3627725401098398E-5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8.4702305946818286E-3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1.4169337784961916E-3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1.8822734654848506E-2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-1.7799610613040029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3.1371224424747509E-3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5.2479028833192281E-4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6.2046014829721576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0.24886153581314296</v>
      </c>
      <c r="N64" s="179">
        <f>N18*N$45</f>
        <v>6.4310013558756295E-4</v>
      </c>
      <c r="O64" s="179">
        <f>O18*O$45</f>
        <v>6.2696389936681862E-2</v>
      </c>
      <c r="P64" s="179">
        <f t="shared" ref="P64:AJ64" si="25">P18*P$45</f>
        <v>0.1156990476975675</v>
      </c>
      <c r="Q64" s="376">
        <f t="shared" si="25"/>
        <v>0</v>
      </c>
      <c r="R64" s="376">
        <f t="shared" si="25"/>
        <v>0</v>
      </c>
      <c r="S64" s="179">
        <f t="shared" si="25"/>
        <v>4.7988455854889363E-3</v>
      </c>
      <c r="T64" s="179">
        <f t="shared" si="25"/>
        <v>8.9093769406654207E-3</v>
      </c>
      <c r="U64" s="179">
        <f t="shared" si="25"/>
        <v>1.7773502168477535E-3</v>
      </c>
      <c r="V64" s="179">
        <f t="shared" si="25"/>
        <v>0.12466437511259423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7.1217742044744139E-3</v>
      </c>
      <c r="N65" s="378">
        <f>SUM(D65:M65,O65:AJ65)-SUM(N55:N64,N66:N87)</f>
        <v>7.6976743900579701E-3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4.0408482419131554E-4</v>
      </c>
      <c r="T65" s="376">
        <f t="shared" si="27"/>
        <v>7.5021043094391268E-4</v>
      </c>
      <c r="U65" s="376">
        <f t="shared" si="27"/>
        <v>1.4966104599678347E-4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7.8339516249218533E-2</v>
      </c>
      <c r="N66" s="179">
        <f t="shared" ref="N66:N87" si="28">N20*N$45</f>
        <v>8.495597996089302E-5</v>
      </c>
      <c r="O66" s="378">
        <f>SUM(D66:N66,P66:AJ66)-SUM(O55:O65,O67:O87)</f>
        <v>2.2513588559132214E-2</v>
      </c>
      <c r="P66" s="376">
        <f t="shared" ref="P66:AJ66" si="29">P20*P$45</f>
        <v>0</v>
      </c>
      <c r="Q66" s="179">
        <f t="shared" si="29"/>
        <v>9.3849198799554829E-4</v>
      </c>
      <c r="R66" s="376">
        <f t="shared" si="29"/>
        <v>0</v>
      </c>
      <c r="S66" s="179">
        <f t="shared" si="29"/>
        <v>4.4449330661044707E-3</v>
      </c>
      <c r="T66" s="179">
        <f t="shared" si="29"/>
        <v>8.252314740383038E-3</v>
      </c>
      <c r="U66" s="179">
        <f t="shared" si="29"/>
        <v>1.646271505964618E-3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0.22462429362783928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3.0346851890663173</v>
      </c>
      <c r="N67" s="179">
        <f t="shared" si="28"/>
        <v>0</v>
      </c>
      <c r="O67" s="179">
        <f t="shared" ref="O67:O87" si="30">O21*O$45</f>
        <v>7.5295969733274746E-3</v>
      </c>
      <c r="P67" s="378">
        <f>SUM(D67:O67,Q67:AJ67)-SUM(P55:P66,P68:P87)</f>
        <v>2.7697509209882512</v>
      </c>
      <c r="Q67" s="376">
        <f t="shared" ref="Q67:AJ67" si="31">Q21*Q$45</f>
        <v>0</v>
      </c>
      <c r="R67" s="179">
        <f t="shared" si="31"/>
        <v>1.7160520665326418E-3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2.2984569342321921E-2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9.6690806048555563E-4</v>
      </c>
      <c r="P68" s="376">
        <f t="shared" ref="P68:P87" si="32">P22*P$45</f>
        <v>0</v>
      </c>
      <c r="Q68" s="378">
        <f>SUM(D68:P68,R68:AJ68)-SUM(Q55:Q67,Q69:Q87)</f>
        <v>2.8416072490007344E-5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1.765192628809186E-3</v>
      </c>
      <c r="Q69" s="376">
        <f t="shared" ref="Q69:Q87" si="34">Q23*Q$45</f>
        <v>0</v>
      </c>
      <c r="R69" s="378">
        <f>SUM(D69:Q69,S69:AJ69)-SUM(R55:R68,R70:R87)</f>
        <v>4.9140562276544153E-5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1.1586018640017822E-2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1.938155164233098E-3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2.5746708088928493E-2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7.8348059769361225E-3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4.2911180148214149E-3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7.1783524601226004E-4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2.5572345003697232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0.13072020771395643</v>
      </c>
      <c r="W73" s="179">
        <f t="shared" ref="W73:AJ73" si="43">W27*W$45</f>
        <v>6.8732316612066927E-2</v>
      </c>
      <c r="X73" s="376">
        <f t="shared" si="43"/>
        <v>0</v>
      </c>
      <c r="Y73" s="376">
        <f t="shared" si="43"/>
        <v>0</v>
      </c>
      <c r="Z73" s="179">
        <f t="shared" si="43"/>
        <v>9.6418514552964497E-3</v>
      </c>
      <c r="AA73" s="179">
        <f t="shared" si="43"/>
        <v>7.8159070270328465E-2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0.11751681598531251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0.40411286162357174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1.5451966129140049</v>
      </c>
      <c r="W74" s="378">
        <f>SUM(D74:V74,X74:AJ74)-SUM(W55:W73,W75:W87)</f>
        <v>0.82270079584212019</v>
      </c>
      <c r="X74" s="376">
        <f t="shared" ref="X74:AJ74" si="45">X28*X$45</f>
        <v>3.5056781787648261E-2</v>
      </c>
      <c r="Y74" s="376">
        <f t="shared" si="45"/>
        <v>0</v>
      </c>
      <c r="Z74" s="179">
        <f t="shared" si="45"/>
        <v>9.7426577641262866E-3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1.0324766031073379E-2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0.94353407657057309</v>
      </c>
      <c r="X75" s="378">
        <f>SUM(D75:W75,Y75:AJ75)-SUM(X55:X74,X76:X87)</f>
        <v>0.91701750872178101</v>
      </c>
      <c r="Y75" s="376">
        <f t="shared" ref="Y75:AJ75" si="47">Y29*Y$45</f>
        <v>3.7916484429025486E-5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1.3983759730132508E-2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3.8961687484088336E-5</v>
      </c>
      <c r="Y76" s="378">
        <f>SUM(D76:X76,Z76:AJ76)-SUM(Y55:Y75,Y77:Y87)</f>
        <v>1.0452030550628502E-6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2.3278654979677963E-2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3.894145760255225E-3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0.36874303405395059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1.2702024140815893E-2</v>
      </c>
      <c r="AB78" s="179">
        <f t="shared" ref="AB78:AJ78" si="53">AB32*AB$45</f>
        <v>9.7847209831396758E-3</v>
      </c>
      <c r="AC78" s="376">
        <f t="shared" si="53"/>
        <v>0</v>
      </c>
      <c r="AD78" s="376">
        <f t="shared" si="53"/>
        <v>0</v>
      </c>
      <c r="AE78" s="179">
        <f t="shared" si="53"/>
        <v>8.8235693225187069E-4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0.14648192175334243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0.28584576778837062</v>
      </c>
      <c r="AB79" s="378">
        <f>SUM(D79:AA79,AC79:AJ79)-SUM(AB55:AB78,AB80:AB87)</f>
        <v>7.2882698778724775E-2</v>
      </c>
      <c r="AC79" s="376">
        <f t="shared" ref="AC79:AJ79" si="55">AC33*AC$45</f>
        <v>6.4009836205774898E-2</v>
      </c>
      <c r="AD79" s="376">
        <f t="shared" si="55"/>
        <v>0</v>
      </c>
      <c r="AE79" s="179">
        <f t="shared" si="55"/>
        <v>1.461244461221716E-3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0.41513135044684524</v>
      </c>
      <c r="AC80" s="378">
        <f>SUM(D80:AB80,AD80:AJ80)-SUM(AC55:AC79,AC81:AC87)</f>
        <v>0.33713736190047305</v>
      </c>
      <c r="AD80" s="376">
        <f t="shared" ref="AD80:AJ80" si="57">AD34*AD$45</f>
        <v>6.5423620041502828E-5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6.5816230506273596E-5</v>
      </c>
      <c r="AD81" s="378">
        <f>SUM(D81:AC81,AE81:AJ81)-SUM(AD55:AD80,AD82:AD87)</f>
        <v>3.9261046477076706E-7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2.7032497698271109E-3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3.5964837635352404E-4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0.63868166991854314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4.392692735277659E-2</v>
      </c>
      <c r="AG83" s="179">
        <f>AG37*AG$45</f>
        <v>1.6701724807980101E-2</v>
      </c>
      <c r="AH83" s="376">
        <f>AH37*AH$45</f>
        <v>0</v>
      </c>
      <c r="AI83" s="376">
        <f>AI37*AI$45</f>
        <v>0</v>
      </c>
      <c r="AJ83" s="380">
        <f>AJ37*AJ$45</f>
        <v>1.9276321442750518E-3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0.49169093133305841</v>
      </c>
      <c r="AG84" s="378">
        <f>SUM(D84:AF84,AH84:AJ84)-SUM(AG55:AG83,AG85:AG87)</f>
        <v>0.3285601773219804</v>
      </c>
      <c r="AH84" s="376">
        <f>AH38*AH$45</f>
        <v>2.0255648430353235E-3</v>
      </c>
      <c r="AI84" s="179">
        <f>AI38*AI$45</f>
        <v>0</v>
      </c>
      <c r="AJ84" s="380">
        <f>AJ38*AJ$45</f>
        <v>1.4717854168691323E-3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5.4425005882214137E-3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0.13960161343192901</v>
      </c>
      <c r="AH85" s="378">
        <f>SUM(D85:AG85,AI85:AJ85)-SUM(AH55:AH84,AH86:AH87)</f>
        <v>0.14301839233313068</v>
      </c>
      <c r="AI85" s="376">
        <f>AI39*AI$45</f>
        <v>2.3109734507061849E-6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2.4678174351214808E-6</v>
      </c>
      <c r="AI86" s="378">
        <f>SUM(D86:AH86,AJ86)-SUM(AI55:AI85,AI87)</f>
        <v>1.5684398441529583E-7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4.1763521996508891E-3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7.7693463850670493E-4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23.568457554092287</v>
      </c>
      <c r="D92" s="179">
        <f>SUM($D$55:$AJ$55)</f>
        <v>1.3503073705318216</v>
      </c>
      <c r="E92" s="179">
        <f>SUM($D$56:$AJ$56)</f>
        <v>0.15491625565491055</v>
      </c>
      <c r="F92" s="179">
        <f>SUM($D$57:$AJ$57)</f>
        <v>-0.80121621272745258</v>
      </c>
      <c r="G92" s="179">
        <f>SUM($D$58:$AJ$58)</f>
        <v>0.32606926861648033</v>
      </c>
      <c r="H92" s="179">
        <f>SUM($D$59:$AJ$59)</f>
        <v>3.7103308430163587E-2</v>
      </c>
      <c r="I92" s="179">
        <f>SUM($D$60:$AJ$60)</f>
        <v>4.6761369322705933E-4</v>
      </c>
      <c r="J92" s="179">
        <f>SUM($D$61:$AJ$61)</f>
        <v>9.8871643731780201E-3</v>
      </c>
      <c r="K92" s="179">
        <f>SUM($D$62:$AJ$62)</f>
        <v>-1.7611383266491545</v>
      </c>
      <c r="L92" s="179">
        <f>SUM($D$63:$AJ$63)</f>
        <v>3.6619127308066737E-3</v>
      </c>
      <c r="M92" s="179">
        <f>SUM($D$64:$AJ$64)</f>
        <v>6.7726515044107352</v>
      </c>
      <c r="N92" s="179">
        <f>SUM($D$65:$AJ$65)</f>
        <v>1.6123404895664398E-2</v>
      </c>
      <c r="O92" s="179">
        <f>SUM($D$66:$AJ$66)</f>
        <v>0.11622007208875931</v>
      </c>
      <c r="P92" s="179">
        <f>SUM($D$67:$AJ$67)</f>
        <v>6.0612906220645897</v>
      </c>
      <c r="Q92" s="179">
        <f>SUM($D$68:$AJ$68)</f>
        <v>9.9532413297556297E-4</v>
      </c>
      <c r="R92" s="179">
        <f>SUM($D$69:$AJ$69)</f>
        <v>1.8143331910857301E-3</v>
      </c>
      <c r="S92" s="179">
        <f>SUM($D$70:$AJ$70)</f>
        <v>1.352417380425092E-2</v>
      </c>
      <c r="T92" s="179">
        <f>SUM($D$71:$AJ$71)</f>
        <v>3.3581514065864612E-2</v>
      </c>
      <c r="U92" s="179">
        <f>SUM($D$72:$AJ$72)</f>
        <v>5.008953260833675E-3</v>
      </c>
      <c r="V92" s="179">
        <f>SUM($D$73:$AJ$73)</f>
        <v>2.9620047624066839</v>
      </c>
      <c r="W92" s="179">
        <f>SUM($D$74:$AJ$74)</f>
        <v>2.8271344759625454</v>
      </c>
      <c r="X92" s="179">
        <f>SUM($D$75:$AJ$75)</f>
        <v>1.8745732615069157</v>
      </c>
      <c r="Y92" s="179">
        <f>SUM($D$76:$AJ$76)</f>
        <v>4.0006890539151186E-5</v>
      </c>
      <c r="Z92" s="179">
        <f>SUM($D$77:$AJ$77)</f>
        <v>2.7172800739933188E-2</v>
      </c>
      <c r="AA92" s="179">
        <f>SUM($D$78:$AJ$78)</f>
        <v>0.39211213611015799</v>
      </c>
      <c r="AB92" s="179">
        <f>SUM($D$79:$AJ$79)</f>
        <v>0.57068146898743455</v>
      </c>
      <c r="AC92" s="179">
        <f>SUM($D$80:$AJ$80)</f>
        <v>0.75233413596735976</v>
      </c>
      <c r="AD92" s="179">
        <f>SUM($D$81:$AJ$81)</f>
        <v>6.6208840971044363E-5</v>
      </c>
      <c r="AE92" s="179">
        <f>SUM($D$82:$AJ$82)</f>
        <v>3.062898146180635E-3</v>
      </c>
      <c r="AF92" s="179">
        <f>SUM($D$83:$AJ$83)</f>
        <v>0.70123795422357482</v>
      </c>
      <c r="AG92" s="179">
        <f>SUM($D$84:$AJ$84)</f>
        <v>0.82374845891494319</v>
      </c>
      <c r="AH92" s="179">
        <f>SUM($D$85:$AJ$85)</f>
        <v>0.28806481732673184</v>
      </c>
      <c r="AI92" s="179">
        <f>SUM($D$86:$AJ$86)</f>
        <v>2.6246614195367766E-6</v>
      </c>
      <c r="AJ92" s="380">
        <f>SUM($D$87:$AJ$87)</f>
        <v>4.953286838157594E-3</v>
      </c>
    </row>
    <row r="93" spans="2:36" ht="12.75" customHeight="1" x14ac:dyDescent="0.2">
      <c r="B93" s="146" t="s">
        <v>1212</v>
      </c>
      <c r="C93" s="150">
        <f>SUM(D93:AJ93)</f>
        <v>23.56845755409228</v>
      </c>
      <c r="D93" s="179">
        <f t="shared" ref="D93:AJ93" si="61">SUM(D55:D87)</f>
        <v>3.8285009743003351</v>
      </c>
      <c r="E93" s="179">
        <f t="shared" si="61"/>
        <v>8.0955767688802249E-2</v>
      </c>
      <c r="F93" s="179">
        <f t="shared" si="61"/>
        <v>0.92631284545615333</v>
      </c>
      <c r="G93" s="179">
        <f t="shared" si="61"/>
        <v>0.29045196453364003</v>
      </c>
      <c r="H93" s="179">
        <f t="shared" si="61"/>
        <v>3.6043219326129021E-2</v>
      </c>
      <c r="I93" s="179">
        <f t="shared" si="61"/>
        <v>4.5398596782596093E-4</v>
      </c>
      <c r="J93" s="179">
        <f t="shared" si="61"/>
        <v>8.4702305946818286E-3</v>
      </c>
      <c r="K93" s="179">
        <f t="shared" si="61"/>
        <v>1.8822734654848405E-2</v>
      </c>
      <c r="L93" s="179">
        <f t="shared" si="61"/>
        <v>3.1371224424747509E-3</v>
      </c>
      <c r="M93" s="179">
        <f t="shared" si="61"/>
        <v>6.5237899685975922</v>
      </c>
      <c r="N93" s="179">
        <f t="shared" si="61"/>
        <v>8.4257305056064258E-3</v>
      </c>
      <c r="O93" s="179">
        <f t="shared" si="61"/>
        <v>9.3706483529627099E-2</v>
      </c>
      <c r="P93" s="179">
        <f t="shared" si="61"/>
        <v>3.2915397010763381</v>
      </c>
      <c r="Q93" s="179">
        <f t="shared" si="61"/>
        <v>9.6690806048555563E-4</v>
      </c>
      <c r="R93" s="179">
        <f t="shared" si="61"/>
        <v>1.765192628809186E-3</v>
      </c>
      <c r="S93" s="179">
        <f t="shared" si="61"/>
        <v>1.1586018640017822E-2</v>
      </c>
      <c r="T93" s="179">
        <f t="shared" si="61"/>
        <v>2.5746708088928493E-2</v>
      </c>
      <c r="U93" s="179">
        <f t="shared" si="61"/>
        <v>4.2911180148214149E-3</v>
      </c>
      <c r="V93" s="179">
        <f t="shared" si="61"/>
        <v>2.8312845546927274</v>
      </c>
      <c r="W93" s="179">
        <f t="shared" si="61"/>
        <v>2.0044336801204246</v>
      </c>
      <c r="X93" s="179">
        <f t="shared" si="61"/>
        <v>0.95755575278513472</v>
      </c>
      <c r="Y93" s="179">
        <f t="shared" si="61"/>
        <v>3.8961687484088336E-5</v>
      </c>
      <c r="Z93" s="179">
        <f t="shared" si="61"/>
        <v>2.3278654979677963E-2</v>
      </c>
      <c r="AA93" s="179">
        <f t="shared" si="61"/>
        <v>0.3794101119693421</v>
      </c>
      <c r="AB93" s="179">
        <f t="shared" si="61"/>
        <v>0.49779877020870966</v>
      </c>
      <c r="AC93" s="179">
        <f t="shared" si="61"/>
        <v>0.41519677406688671</v>
      </c>
      <c r="AD93" s="179">
        <f t="shared" si="61"/>
        <v>6.5816230506273596E-5</v>
      </c>
      <c r="AE93" s="179">
        <f t="shared" si="61"/>
        <v>2.7032497698271109E-3</v>
      </c>
      <c r="AF93" s="179">
        <f t="shared" si="61"/>
        <v>0.65731102687079834</v>
      </c>
      <c r="AG93" s="179">
        <f t="shared" si="61"/>
        <v>0.49518828159296291</v>
      </c>
      <c r="AH93" s="179">
        <f t="shared" si="61"/>
        <v>0.14504642499360113</v>
      </c>
      <c r="AI93" s="179">
        <f t="shared" si="61"/>
        <v>2.4678174351214808E-6</v>
      </c>
      <c r="AJ93" s="380">
        <f t="shared" si="61"/>
        <v>4.1763521996508891E-3</v>
      </c>
    </row>
    <row r="94" spans="2:36" ht="12.75" customHeight="1" x14ac:dyDescent="0.2">
      <c r="B94" s="152" t="s">
        <v>1211</v>
      </c>
      <c r="C94" s="150">
        <f>SUM(D94:AJ94)</f>
        <v>7.7002894569608031</v>
      </c>
      <c r="D94" s="179">
        <f>k.aR*D45</f>
        <v>8.856954855175489E-2</v>
      </c>
      <c r="E94" s="179">
        <f>k.w0R*E45</f>
        <v>7.396048796610831E-2</v>
      </c>
      <c r="F94" s="179">
        <f>k.w1R*F45</f>
        <v>0.83923409413666072</v>
      </c>
      <c r="G94" s="179">
        <f>k.w2R*G45</f>
        <v>3.5617304082840223E-2</v>
      </c>
      <c r="H94" s="179">
        <f>k.sd1R*H45</f>
        <v>1.0600891040345758E-3</v>
      </c>
      <c r="I94" s="179">
        <f>k.sd2R*I45</f>
        <v>1.3627725401098573E-5</v>
      </c>
      <c r="J94" s="179">
        <f>k.s1R*J45</f>
        <v>1.416933778496192E-3</v>
      </c>
      <c r="K94" s="179">
        <f>k.s2R*K45</f>
        <v>0.78680209101626497</v>
      </c>
      <c r="L94" s="179">
        <f>k.s3R*L45</f>
        <v>5.2479028833192281E-4</v>
      </c>
      <c r="M94" s="179">
        <f>k.aC*M45</f>
        <v>0.24886153581314335</v>
      </c>
      <c r="N94" s="179">
        <f>k.w0C*N45</f>
        <v>7.6976743900579693E-3</v>
      </c>
      <c r="O94" s="179">
        <f>k.w1C*O45</f>
        <v>2.25135885591322E-2</v>
      </c>
      <c r="P94" s="179">
        <f>k.w2C*P45</f>
        <v>2.7697509209882512</v>
      </c>
      <c r="Q94" s="179">
        <f>k.sd1C*Q45</f>
        <v>2.8416072490007382E-5</v>
      </c>
      <c r="R94" s="179">
        <f>k.sd2C*R45</f>
        <v>4.9140562276544546E-5</v>
      </c>
      <c r="S94" s="179">
        <f>k.s1C*S45</f>
        <v>1.9381551642330967E-3</v>
      </c>
      <c r="T94" s="179">
        <f>k.s2C*T45</f>
        <v>7.8348059769361208E-3</v>
      </c>
      <c r="U94" s="179">
        <f>k.s3C*U45</f>
        <v>7.1783524601225777E-4</v>
      </c>
      <c r="V94" s="179">
        <f>k.aM*V45</f>
        <v>0.1307202077139559</v>
      </c>
      <c r="W94" s="179">
        <f>k.w2M*W45</f>
        <v>0.8227007958421203</v>
      </c>
      <c r="X94" s="179">
        <f>k.w3M*X45</f>
        <v>0.91701750872178101</v>
      </c>
      <c r="Y94" s="179">
        <f>k.sdM*Y45</f>
        <v>1.0452030550628441E-6</v>
      </c>
      <c r="Z94" s="179">
        <f>k.sM*Z45</f>
        <v>3.8941457602552185E-3</v>
      </c>
      <c r="AA94" s="179">
        <f>k.aA*AA45</f>
        <v>1.2702024140815945E-2</v>
      </c>
      <c r="AB94" s="179">
        <f>k.w2A*AB45</f>
        <v>7.2882698778724817E-2</v>
      </c>
      <c r="AC94" s="179">
        <f>k.w3A*AC45</f>
        <v>0.337137361900473</v>
      </c>
      <c r="AD94" s="179">
        <f>k.sdA*AD45</f>
        <v>3.9261046477079591E-7</v>
      </c>
      <c r="AE94" s="179">
        <f>k.sA*AE45</f>
        <v>3.5964837635352426E-4</v>
      </c>
      <c r="AF94" s="179">
        <f>k.aT*AF45</f>
        <v>4.3926927352776292E-2</v>
      </c>
      <c r="AG94" s="179">
        <f>k.w2T*AG45</f>
        <v>0.32856017732198045</v>
      </c>
      <c r="AH94" s="179">
        <f>k.w3T*AH45</f>
        <v>0.14301839233313063</v>
      </c>
      <c r="AI94" s="179">
        <f>k.sdT*AI45</f>
        <v>1.5684398441529535E-7</v>
      </c>
      <c r="AJ94" s="374">
        <f>k.sT*AJ45</f>
        <v>7.7693463850670526E-4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8.6200000000000082E-2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133643425.17058821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8946354.7870557457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19880788.415679432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3313464.7359465715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368676372.77638096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586621.39216869709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1303603.0937082155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217267.18228470261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446954662.34116399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1.1029482560172427E-7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1.1029482560172427E-7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1.0928170020462471E-7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1.0928170020462471E-7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1.1029482560172427E-7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1.1029482560172427E-7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2.4263774641205674E-8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2.6998124566933754E-8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2.7019264428164435E-8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2.5037229505113528E-8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2.699722950511353E-8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5.2523818364423664E-9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2.412688010609485E-8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5.9402113986132252E-8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1.1029482560172427E-7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2.7045189144606642E-7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1.0843569491355744E-7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1.0843569491355744E-7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1.0843569491355744E-7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1.0843569491355744E-7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1.0843569491355744E-7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1.0843569491355744E-7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2.3599688822101025E-8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2.4123896171780196E-8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2.4123896171780196E-8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2.4123896171780196E-8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2.4123896171780196E-8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5.2502678503101158E-9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2.4123896171780196E-8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5.9400000000000003E-8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1.0843569491355744E-7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2.3599688822101026E-9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1.0843569491355745E-8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1.0843569491355745E-8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1.0843569491355745E-8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2.6700000000000001E-8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2.031518518518519E-10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12851.226822395969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842.66773999811983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51982.268236812364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3408.5290922383701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4759.7136379244312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312.09916296226658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50599.181006136918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529594.88008039794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1283308.7115654387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2024-07-24T12:07:01Z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