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EA36E412-1C24-4A8D-A42B-4A204483CE45}" xr6:coauthVersionLast="47" xr6:coauthVersionMax="47" xr10:uidLastSave="{00000000-0000-0000-0000-000000000000}"/>
  <bookViews>
    <workbookView xWindow="-120" yWindow="-120" windowWidth="29040" windowHeight="15840" tabRatio="846" activeTab="4"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87" i="2" l="1"/>
  <c r="K481" i="10"/>
  <c r="K482" i="10"/>
  <c r="K188" i="10"/>
  <c r="K754" i="10"/>
  <c r="K432" i="10"/>
  <c r="J433" i="10"/>
  <c r="K524" i="10"/>
  <c r="K523" i="10"/>
  <c r="K517" i="10"/>
  <c r="K522" i="10"/>
  <c r="K525" i="10"/>
  <c r="K543" i="10"/>
  <c r="K436" i="8"/>
  <c r="K460" i="8"/>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61" i="10"/>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299" i="9" l="1"/>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421" i="8" l="1"/>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K382" i="8"/>
  <c r="L382" i="8" s="1"/>
  <c r="K381" i="8" s="1"/>
  <c r="L381"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446" i="8" l="1"/>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371" i="10" l="1"/>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846" i="10" l="1"/>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<sst xmlns="http://schemas.openxmlformats.org/spreadsheetml/2006/main" count="26933" uniqueCount="4777">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</sst>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1.4562365928949152E-7</c:v>
                </c:pt>
                <c:pt idx="1">
                  <c:v>1.7156901886330152E-8</c:v>
                </c:pt>
                <c:pt idx="2">
                  <c:v>1.2748493010221036E-9</c:v>
                </c:pt>
                <c:pt idx="3">
                  <c:v>5.5903680627921031E-10</c:v>
                </c:pt>
                <c:pt idx="4">
                  <c:v>3.288438871476598E-10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6.686265201055897E-8</c:v>
                </c:pt>
                <c:pt idx="1">
                  <c:v>2.2540122585741829E-9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6.2757989307124105E-5</c:v>
                </c:pt>
                <c:pt idx="1">
                  <c:v>4.6131294755678047E-8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6.5480340573346873E-7</c:v>
                </c:pt>
                <c:pt idx="1">
                  <c:v>1.1119931042558344E-11</c:v>
                </c:pt>
                <c:pt idx="2">
                  <c:v>1.4311128420823566E-12</c:v>
                </c:pt>
                <c:pt idx="3">
                  <c:v>5.7807135347458504E-13</c:v>
                </c:pt>
                <c:pt idx="4">
                  <c:v>3.9001773509722929E-13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1.0082929508776077E-15</c:v>
                </c:pt>
                <c:pt idx="3">
                  <c:v>4.4008826757047095E-16</c:v>
                </c:pt>
                <c:pt idx="4">
                  <c:v>2.5079254029206028E-16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3.2852152398966599E-7</c:v>
                </c:pt>
                <c:pt idx="1">
                  <c:v>1.9212716707138541E-8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1.1411704617026702E-6</c:v>
                </c:pt>
                <c:pt idx="1">
                  <c:v>4.8785149533331717E-9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3.2852929346390504E-7</c:v>
                </c:pt>
                <c:pt idx="1">
                  <c:v>1.9212767857746174E-8</c:v>
                </c:pt>
                <c:pt idx="2">
                  <c:v>1.3450064046168316E-9</c:v>
                </c:pt>
                <c:pt idx="3">
                  <c:v>4.9104315444999271E-10</c:v>
                </c:pt>
                <c:pt idx="4">
                  <c:v>3.880672811677268E-10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6.2356993501858988E-7</c:v>
                </c:pt>
                <c:pt idx="1">
                  <c:v>2.1025405208894469E-8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4.8907680495775937E-4</c:v>
                </c:pt>
                <c:pt idx="1">
                  <c:v>3.5956956079452657E-7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6.9756767068292782E-8</c:v>
                </c:pt>
                <c:pt idx="1">
                  <c:v>1.1844606663172454E-12</c:v>
                </c:pt>
                <c:pt idx="2">
                  <c:v>1.0741516521815333E-16</c:v>
                </c:pt>
                <c:pt idx="3">
                  <c:v>4.6883353704662645E-17</c:v>
                </c:pt>
                <c:pt idx="4">
                  <c:v>2.6717358958633853E-17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26069366180.234741</c:v>
                </c:pt>
                <c:pt idx="1">
                  <c:v>2140868163.2668617</c:v>
                </c:pt>
                <c:pt idx="2">
                  <c:v>74078416085.167511</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8.9621887827510443E-15</c:v>
                </c:pt>
                <c:pt idx="1">
                  <c:v>2843753.0585123319</c:v>
                </c:pt>
                <c:pt idx="2">
                  <c:v>189985849.6510407</c:v>
                </c:pt>
                <c:pt idx="3">
                  <c:v>25874643457.017735</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27342.755103268799</c:v>
                </c:pt>
                <c:pt idx="1">
                  <c:v>1193573.608516034</c:v>
                </c:pt>
                <c:pt idx="2">
                  <c:v>119909.55311835518</c:v>
                </c:pt>
                <c:pt idx="3">
                  <c:v>55554.836489796617</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21.911276833047808</c:v>
                </c:pt>
                <c:pt idx="1">
                  <c:v>7716.663390196034</c:v>
                </c:pt>
                <c:pt idx="2">
                  <c:v>466176.0442401474</c:v>
                </c:pt>
                <c:pt idx="3">
                  <c:v>16495.388903676085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27342.755103268799</c:v>
                </c:pt>
                <c:pt idx="1">
                  <c:v>1193573.608516034</c:v>
                </c:pt>
                <c:pt idx="2">
                  <c:v>119909.55311835518</c:v>
                </c:pt>
                <c:pt idx="3">
                  <c:v>55554.836489796617</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21.911276833047808</c:v>
                </c:pt>
                <c:pt idx="1">
                  <c:v>7716.663390196034</c:v>
                </c:pt>
                <c:pt idx="2">
                  <c:v>466176.0442401474</c:v>
                </c:pt>
                <c:pt idx="3">
                  <c:v>16495.388903676085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3.5783883767191585E-14</c:v>
                </c:pt>
                <c:pt idx="1">
                  <c:v>79751389.099673212</c:v>
                </c:pt>
                <c:pt idx="2">
                  <c:v>392955453.91215622</c:v>
                </c:pt>
                <c:pt idx="3">
                  <c:v>1668007003.2183437</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122259.89672923597</c:v>
                </c:pt>
                <c:pt idx="1">
                  <c:v>23488.119165694701</c:v>
                </c:pt>
                <c:pt idx="2">
                  <c:v>1351.5910287270297</c:v>
                </c:pt>
                <c:pt idx="3">
                  <c:v>5575.3346789808638</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7.6666732952935508</c:v>
                </c:pt>
                <c:pt idx="1">
                  <c:v>25.41512758451335</c:v>
                </c:pt>
                <c:pt idx="2">
                  <c:v>202.95839381183973</c:v>
                </c:pt>
                <c:pt idx="3">
                  <c:v>147.75195567386024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4.174517009133059E-11</c:v>
                </c:pt>
                <c:pt idx="1">
                  <c:v>55689527501.1987</c:v>
                </c:pt>
                <c:pt idx="2">
                  <c:v>17330335210.393791</c:v>
                </c:pt>
                <c:pt idx="3">
                  <c:v>1058371660.0056478</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164538.76797755584</c:v>
                </c:pt>
                <c:pt idx="1">
                  <c:v>10723.748648511715</c:v>
                </c:pt>
                <c:pt idx="2">
                  <c:v>3.0210220421392361E-4</c:v>
                </c:pt>
                <c:pt idx="3">
                  <c:v>6405.4421002153067</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0.30282274004838539</c:v>
                </c:pt>
                <c:pt idx="1">
                  <c:v>0.68447675970763444</c:v>
                </c:pt>
                <c:pt idx="2">
                  <c:v>2.4970366273836314E-5</c:v>
                </c:pt>
                <c:pt idx="3">
                  <c:v>5.128467892023898</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122259.89672923597</c:v>
                </c:pt>
                <c:pt idx="1">
                  <c:v>23488.119165694701</c:v>
                </c:pt>
                <c:pt idx="2">
                  <c:v>1351.5910287270297</c:v>
                </c:pt>
                <c:pt idx="3">
                  <c:v>5575.3346789808638</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7.6666732952935508</c:v>
                </c:pt>
                <c:pt idx="1">
                  <c:v>25.41512758451335</c:v>
                </c:pt>
                <c:pt idx="2">
                  <c:v>202.95839381183973</c:v>
                </c:pt>
                <c:pt idx="3">
                  <c:v>147.75195567386024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164538.76797755584</c:v>
                </c:pt>
                <c:pt idx="1">
                  <c:v>10723.748648511715</c:v>
                </c:pt>
                <c:pt idx="2">
                  <c:v>3.0210220421392361E-4</c:v>
                </c:pt>
                <c:pt idx="3">
                  <c:v>6405.4421002153067</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0.30282274004838539</c:v>
                </c:pt>
                <c:pt idx="1">
                  <c:v>0.68447675970763444</c:v>
                </c:pt>
                <c:pt idx="2">
                  <c:v>2.4970366273836314E-5</c:v>
                </c:pt>
                <c:pt idx="3">
                  <c:v>5.128467892023898</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33452.734739918604</c:v>
                </c:pt>
                <c:pt idx="1">
                  <c:v>123524.4925784465</c:v>
                </c:pt>
                <c:pt idx="2" formatCode="0.00E+00">
                  <c:v>164578.52730337816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4045267.4283665479</c:v>
                </c:pt>
                <c:pt idx="1">
                  <c:v>79774903.889732376</c:v>
                </c:pt>
                <c:pt idx="2">
                  <c:v>55689538225.667175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190571935.24840343</c:v>
                </c:pt>
                <c:pt idx="1">
                  <c:v>392957008.46157879</c:v>
                </c:pt>
                <c:pt idx="2">
                  <c:v>17330335210.394119</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25874715524.823238</c:v>
                </c:pt>
                <c:pt idx="1">
                  <c:v>1668012726.4229722</c:v>
                </c:pt>
                <c:pt idx="2">
                  <c:v>1058378070.5789132</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26067473059.727287</c:v>
                </c:pt>
                <c:pt idx="1">
                  <c:v>2140713846.2301731</c:v>
                </c:pt>
                <c:pt idx="2">
                  <c:v>74078234371.598145</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1396380.7532274546</c:v>
                </c:pt>
                <c:pt idx="1">
                  <c:v>152674.94160263852</c:v>
                </c:pt>
                <c:pt idx="2">
                  <c:v>181667.95902838506</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490410.00781085255</c:v>
                </c:pt>
                <c:pt idx="1">
                  <c:v>383.79215036550687</c:v>
                </c:pt>
                <c:pt idx="2">
                  <c:v>6.115792362146192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1396380.7532274546</c:v>
                </c:pt>
                <c:pt idx="1">
                  <c:v>152674.94160263852</c:v>
                </c:pt>
                <c:pt idx="2">
                  <c:v>181667.95902838506</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490410.00781085255</c:v>
                </c:pt>
                <c:pt idx="1">
                  <c:v>383.79215036550687</c:v>
                </c:pt>
                <c:pt idx="2">
                  <c:v>6.115792362146192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33452.734739918604</c:v>
                </c:pt>
                <c:pt idx="1">
                  <c:v>4045267.4283665479</c:v>
                </c:pt>
                <c:pt idx="2">
                  <c:v>190571935.24840343</c:v>
                </c:pt>
                <c:pt idx="3">
                  <c:v>25874715524.823238</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123524.4925784465</c:v>
                </c:pt>
                <c:pt idx="1">
                  <c:v>79774903.889732376</c:v>
                </c:pt>
                <c:pt idx="2">
                  <c:v>392957008.46157879</c:v>
                </c:pt>
                <c:pt idx="3">
                  <c:v>1668012726.4229722</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164578.52730337816</c:v>
                </c:pt>
                <c:pt idx="1">
                  <c:v>55689538225.667175</c:v>
                </c:pt>
                <c:pt idx="2">
                  <c:v>17330335210.394119</c:v>
                </c:pt>
                <c:pt idx="3">
                  <c:v>1058378070.5789132</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6329.7464141382379</c:v>
                </c:pt>
                <c:pt idx="1">
                  <c:v>1396380.7532274546</c:v>
                </c:pt>
                <c:pt idx="2">
                  <c:v>490410.00781085255</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1258.302935617131</c:v>
                </c:pt>
                <c:pt idx="1">
                  <c:v>152674.94160263852</c:v>
                </c:pt>
                <c:pt idx="2">
                  <c:v>383.79215036550687</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39.494548650931002</c:v>
                </c:pt>
                <c:pt idx="1">
                  <c:v>181667.95902838506</c:v>
                </c:pt>
                <c:pt idx="2">
                  <c:v>6.115792362146192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6088.0683598167625</c:v>
                </c:pt>
                <c:pt idx="1">
                  <c:v>27342.755103268799</c:v>
                </c:pt>
                <c:pt idx="2">
                  <c:v>21.911276833047808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224.09794798563408</c:v>
                </c:pt>
                <c:pt idx="1">
                  <c:v>1193573.608516034</c:v>
                </c:pt>
                <c:pt idx="2">
                  <c:v>7716.663390196034</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4.226789715355598E-6</c:v>
                </c:pt>
                <c:pt idx="1">
                  <c:v>119909.55311835518</c:v>
                </c:pt>
                <c:pt idx="2">
                  <c:v>466176.0442401474</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17.580102109050454</c:v>
                </c:pt>
                <c:pt idx="1">
                  <c:v>55554.836489796617</c:v>
                </c:pt>
                <c:pt idx="2">
                  <c:v>16495.388903676085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39.456503082230284</c:v>
                </c:pt>
                <c:pt idx="1">
                  <c:v>164538.76797755584</c:v>
                </c:pt>
                <c:pt idx="2">
                  <c:v>0.30282274004838539</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3.5348375578065451E-2</c:v>
                </c:pt>
                <c:pt idx="1">
                  <c:v>10723.748648511715</c:v>
                </c:pt>
                <c:pt idx="2">
                  <c:v>0.68447675970763444</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3.6865647760774935E-17</c:v>
                </c:pt>
                <c:pt idx="1">
                  <c:v>3.0210220421392361E-4</c:v>
                </c:pt>
                <c:pt idx="2">
                  <c:v>2.4970366273836314E-5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2.6971931226574615E-3</c:v>
                </c:pt>
                <c:pt idx="1">
                  <c:v>6405.4421002153067</c:v>
                </c:pt>
                <c:pt idx="2">
                  <c:v>5.128467892023898</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1256.9291759152388</c:v>
                </c:pt>
                <c:pt idx="1">
                  <c:v>122259.89672923597</c:v>
                </c:pt>
                <c:pt idx="2">
                  <c:v>7.6666732952935508</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1.2557658801242957</c:v>
                </c:pt>
                <c:pt idx="1">
                  <c:v>23488.119165694701</c:v>
                </c:pt>
                <c:pt idx="2">
                  <c:v>25.41512758451335</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1.7996319787907408E-9</c:v>
                </c:pt>
                <c:pt idx="1">
                  <c:v>1351.5910287270297</c:v>
                </c:pt>
                <c:pt idx="2">
                  <c:v>202.95839381183973</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0.11799381996831002</c:v>
                </c:pt>
                <c:pt idx="1">
                  <c:v>5575.3346789808638</c:v>
                </c:pt>
                <c:pt idx="2">
                  <c:v>147.75195567386024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18413104514.362038</c:v>
                </c:pt>
                <c:pt idx="1">
                  <c:v>11824310087.268003</c:v>
                </c:pt>
                <c:pt idx="2">
                  <c:v>43841001483.53746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70400" y="7248525"/>
          <a:ext cx="31432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841825" y="17106900"/>
          <a:ext cx="314325"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813250" y="26184225"/>
          <a:ext cx="314325" cy="1752600"/>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232350" y="800100"/>
          <a:ext cx="11010900"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232350" y="10515600"/>
          <a:ext cx="11010900"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041850" y="20297775"/>
          <a:ext cx="3876675" cy="5295900"/>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328100" y="20297775"/>
          <a:ext cx="3876675" cy="5295900"/>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614350" y="20297775"/>
          <a:ext cx="3933825" cy="5295900"/>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0</v>
      </c>
    </row>
    <row r="3" spans="2:23" ht="12.75" customHeight="1" x14ac:dyDescent="0.2">
      <c r="B3" s="690" t="str">
        <f>C44</f>
        <v>vs 4.02-plastic</v>
      </c>
      <c r="C3" s="691">
        <f>B44</f>
        <v>45338</v>
      </c>
      <c r="E3" s="16"/>
      <c r="F3" s="3"/>
    </row>
    <row r="4" spans="2:23" ht="12.75" customHeight="1" x14ac:dyDescent="0.2">
      <c r="B4" s="692" t="s">
        <v>1</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4</v>
      </c>
      <c r="O8" s="240"/>
    </row>
    <row r="9" spans="2:23" ht="12.75" customHeight="1" x14ac:dyDescent="0.2">
      <c r="B9" s="2" t="s">
        <v>5</v>
      </c>
      <c r="O9" s="240"/>
    </row>
    <row r="10" spans="2:23" ht="12.75" customHeight="1" x14ac:dyDescent="0.2">
      <c r="B10" s="698" t="s">
        <v>6</v>
      </c>
      <c r="D10" s="692"/>
      <c r="O10" s="240"/>
    </row>
    <row r="11" spans="2:23" ht="12.75" customHeight="1" x14ac:dyDescent="0.2">
      <c r="O11" s="240"/>
    </row>
    <row r="12" spans="2:23" ht="12.75" customHeight="1" x14ac:dyDescent="0.2">
      <c r="O12" s="240"/>
    </row>
    <row r="13" spans="2:23" ht="12.75" customHeight="1" x14ac:dyDescent="0.2">
      <c r="B13" s="3" t="s">
        <v>7</v>
      </c>
      <c r="O13" s="240"/>
    </row>
    <row r="14" spans="2:23" ht="12.75" customHeight="1" x14ac:dyDescent="0.2">
      <c r="B14" s="75" t="s">
        <v>8</v>
      </c>
      <c r="O14" s="240"/>
    </row>
    <row r="15" spans="2:23" ht="12.75" customHeight="1" x14ac:dyDescent="0.2">
      <c r="B15" s="17" t="s">
        <v>9</v>
      </c>
      <c r="O15" s="240"/>
    </row>
    <row r="16" spans="2:23" ht="12.75" customHeight="1" x14ac:dyDescent="0.2">
      <c r="B16" s="17" t="s">
        <v>10</v>
      </c>
      <c r="O16" s="240"/>
    </row>
    <row r="17" spans="2:15" ht="12.75" customHeight="1" x14ac:dyDescent="0.2">
      <c r="B17" s="17" t="s">
        <v>11</v>
      </c>
      <c r="C17" s="694"/>
      <c r="D17" s="694"/>
      <c r="E17" s="694"/>
      <c r="F17" s="694"/>
      <c r="G17" s="694"/>
      <c r="H17" s="694"/>
      <c r="I17" s="694"/>
      <c r="J17" s="694"/>
      <c r="O17" s="240"/>
    </row>
    <row r="18" spans="2:15" ht="12.75" customHeight="1" x14ac:dyDescent="0.2">
      <c r="B18" s="3" t="s">
        <v>12</v>
      </c>
      <c r="O18" s="240"/>
    </row>
    <row r="19" spans="2:15" ht="12.75" customHeight="1" x14ac:dyDescent="0.2">
      <c r="B19" s="17" t="s">
        <v>13</v>
      </c>
      <c r="C19" s="693"/>
      <c r="D19" s="693"/>
      <c r="E19" s="693"/>
      <c r="F19" s="693"/>
      <c r="G19" s="693"/>
      <c r="H19" s="693"/>
      <c r="I19" s="693"/>
      <c r="J19" s="693"/>
      <c r="O19" s="240"/>
    </row>
    <row r="20" spans="2:15" ht="12.75" customHeight="1" x14ac:dyDescent="0.2">
      <c r="B20" s="17" t="s">
        <v>14</v>
      </c>
      <c r="C20" s="694"/>
      <c r="D20" s="694"/>
      <c r="E20" s="694"/>
      <c r="F20" s="694"/>
      <c r="G20" s="694"/>
      <c r="H20" s="694"/>
      <c r="I20" s="694"/>
      <c r="J20" s="694"/>
      <c r="O20" s="240"/>
    </row>
    <row r="21" spans="2:15" ht="12.75" customHeight="1" x14ac:dyDescent="0.2">
      <c r="B21" s="17" t="s">
        <v>15</v>
      </c>
      <c r="O21" s="240"/>
    </row>
    <row r="22" spans="2:15" ht="12.75" customHeight="1" x14ac:dyDescent="0.2">
      <c r="B22" s="17" t="s">
        <v>16</v>
      </c>
      <c r="O22" s="240"/>
    </row>
    <row r="23" spans="2:15" ht="12.75" customHeight="1" x14ac:dyDescent="0.2">
      <c r="B23" s="2" t="s">
        <v>17</v>
      </c>
      <c r="O23" s="240"/>
    </row>
    <row r="24" spans="2:15" ht="12.75" customHeight="1" x14ac:dyDescent="0.2">
      <c r="O24" s="240"/>
    </row>
    <row r="25" spans="2:15" ht="12.6" customHeight="1" x14ac:dyDescent="0.2">
      <c r="B25" s="3" t="s">
        <v>18</v>
      </c>
      <c r="O25" s="240"/>
    </row>
    <row r="26" spans="2:15" ht="12.6" customHeight="1" x14ac:dyDescent="0.2">
      <c r="B26" s="992">
        <v>45401</v>
      </c>
      <c r="C26" s="2" t="s">
        <v>19</v>
      </c>
      <c r="D26" s="141" t="s">
        <v>4776</v>
      </c>
      <c r="O26" s="240"/>
    </row>
    <row r="27" spans="2:15" ht="12.6" customHeight="1" x14ac:dyDescent="0.2">
      <c r="B27" s="992">
        <v>45401</v>
      </c>
      <c r="D27" s="141" t="s">
        <v>4775</v>
      </c>
      <c r="O27" s="240"/>
    </row>
    <row r="28" spans="2:15" ht="12.6" customHeight="1" x14ac:dyDescent="0.2">
      <c r="B28" s="992">
        <v>45399</v>
      </c>
      <c r="C28" s="141" t="s">
        <v>19</v>
      </c>
      <c r="D28" s="141" t="s">
        <v>4770</v>
      </c>
      <c r="O28" s="240"/>
    </row>
    <row r="29" spans="2:15" ht="12.6" customHeight="1" x14ac:dyDescent="0.2">
      <c r="B29" s="992">
        <v>45399</v>
      </c>
      <c r="C29" s="141" t="s">
        <v>19</v>
      </c>
      <c r="D29" s="141" t="s">
        <v>20</v>
      </c>
      <c r="E29" s="141"/>
      <c r="F29" s="141"/>
      <c r="G29" s="141"/>
      <c r="H29" s="141"/>
      <c r="I29" s="141"/>
      <c r="J29" s="141"/>
      <c r="K29" s="141"/>
      <c r="O29" s="240"/>
    </row>
    <row r="30" spans="2:15" ht="12.6" customHeight="1" x14ac:dyDescent="0.2">
      <c r="B30" s="992">
        <v>45399</v>
      </c>
      <c r="C30" s="992" t="s">
        <v>19</v>
      </c>
      <c r="D30" s="141" t="s">
        <v>21</v>
      </c>
      <c r="E30" s="141"/>
      <c r="F30" s="141"/>
      <c r="G30" s="141"/>
      <c r="H30" s="141"/>
      <c r="I30" s="141"/>
      <c r="J30" s="141"/>
      <c r="K30" s="141"/>
      <c r="O30" s="240"/>
    </row>
    <row r="31" spans="2:15" ht="12.6" customHeight="1" x14ac:dyDescent="0.2">
      <c r="B31" s="992">
        <v>45397</v>
      </c>
      <c r="C31" s="141" t="s">
        <v>19</v>
      </c>
      <c r="D31" s="141" t="s">
        <v>22</v>
      </c>
      <c r="E31" s="141"/>
      <c r="F31" s="141"/>
      <c r="G31" s="141"/>
      <c r="H31" s="141"/>
      <c r="I31" s="141"/>
      <c r="J31" s="141"/>
      <c r="K31" s="141"/>
      <c r="L31" s="141"/>
      <c r="O31" s="240"/>
    </row>
    <row r="32" spans="2:15" ht="12.6" customHeight="1" x14ac:dyDescent="0.2">
      <c r="B32" s="992">
        <v>45397</v>
      </c>
      <c r="C32" s="141" t="s">
        <v>19</v>
      </c>
      <c r="D32" s="141" t="s">
        <v>23</v>
      </c>
      <c r="E32" s="141"/>
      <c r="F32" s="141"/>
      <c r="G32" s="141"/>
      <c r="H32" s="141"/>
      <c r="I32" s="141"/>
      <c r="J32" s="141"/>
      <c r="K32" s="141"/>
      <c r="L32" s="141"/>
      <c r="O32" s="240"/>
    </row>
    <row r="33" spans="2:15" ht="12.6" customHeight="1" x14ac:dyDescent="0.2">
      <c r="B33" s="937">
        <v>45387</v>
      </c>
      <c r="C33" s="17" t="s">
        <v>24</v>
      </c>
      <c r="D33" s="17" t="s">
        <v>25</v>
      </c>
      <c r="E33" s="17"/>
      <c r="F33" s="17"/>
      <c r="G33" s="17"/>
      <c r="O33" s="240"/>
    </row>
    <row r="34" spans="2:15" ht="12.75" customHeight="1" x14ac:dyDescent="0.2">
      <c r="B34" s="937"/>
      <c r="C34" s="17"/>
      <c r="D34" s="17"/>
      <c r="E34" s="17" t="s">
        <v>26</v>
      </c>
      <c r="F34" s="17"/>
      <c r="G34" s="17"/>
      <c r="O34" s="240"/>
    </row>
    <row r="35" spans="2:15" ht="12.75" customHeight="1" x14ac:dyDescent="0.2">
      <c r="B35" s="937"/>
      <c r="C35" s="17"/>
      <c r="D35" s="17"/>
      <c r="E35" s="17" t="s">
        <v>27</v>
      </c>
      <c r="F35" s="17"/>
      <c r="G35" s="17"/>
      <c r="O35" s="240"/>
    </row>
    <row r="36" spans="2:15" ht="12.75" customHeight="1" x14ac:dyDescent="0.2">
      <c r="B36" s="937"/>
      <c r="C36" s="17"/>
      <c r="D36" s="17"/>
      <c r="E36" s="17" t="s">
        <v>28</v>
      </c>
      <c r="F36" s="17"/>
      <c r="G36" s="17"/>
      <c r="O36" s="240"/>
    </row>
    <row r="37" spans="2:15" ht="12.75" customHeight="1" x14ac:dyDescent="0.2">
      <c r="B37" s="937"/>
      <c r="C37" s="17"/>
      <c r="D37" s="17" t="s">
        <v>29</v>
      </c>
      <c r="E37" s="17"/>
      <c r="F37" s="17"/>
      <c r="G37" s="17"/>
      <c r="O37" s="240"/>
    </row>
    <row r="38" spans="2:15" ht="12.75" customHeight="1" x14ac:dyDescent="0.2">
      <c r="B38" s="937"/>
      <c r="C38" s="17"/>
      <c r="D38" s="17" t="s">
        <v>30</v>
      </c>
      <c r="E38" s="17"/>
      <c r="F38" s="17"/>
      <c r="G38" s="17"/>
      <c r="O38" s="240"/>
    </row>
    <row r="39" spans="2:15" ht="12.75" customHeight="1" x14ac:dyDescent="0.2">
      <c r="B39" s="937"/>
      <c r="C39" s="17"/>
      <c r="D39" s="17" t="s">
        <v>31</v>
      </c>
      <c r="E39" s="17"/>
      <c r="F39" s="17"/>
      <c r="G39" s="17"/>
      <c r="O39" s="240"/>
    </row>
    <row r="40" spans="2:15" ht="12.75" customHeight="1" x14ac:dyDescent="0.2">
      <c r="B40" s="937"/>
      <c r="C40" s="17"/>
      <c r="D40" s="17" t="s">
        <v>32</v>
      </c>
      <c r="E40" s="17"/>
      <c r="F40" s="17"/>
      <c r="G40" s="17"/>
      <c r="O40" s="240"/>
    </row>
    <row r="41" spans="2:15" ht="12.75" customHeight="1" x14ac:dyDescent="0.2">
      <c r="B41" s="937"/>
      <c r="C41" s="17"/>
      <c r="D41" s="17"/>
      <c r="E41" s="17" t="s">
        <v>33</v>
      </c>
      <c r="F41" s="17"/>
      <c r="G41" s="17"/>
      <c r="O41" s="240"/>
    </row>
    <row r="42" spans="2:15" ht="12.75" customHeight="1" x14ac:dyDescent="0.2">
      <c r="B42" s="937"/>
      <c r="C42" s="17"/>
      <c r="D42" s="17" t="s">
        <v>34</v>
      </c>
      <c r="E42" s="17"/>
      <c r="F42" s="17"/>
      <c r="G42" s="17"/>
      <c r="O42" s="240"/>
    </row>
    <row r="43" spans="2:15" ht="12.75" customHeight="1" x14ac:dyDescent="0.2">
      <c r="B43" s="937"/>
      <c r="C43" s="17"/>
      <c r="E43" s="17"/>
      <c r="F43" s="17"/>
      <c r="G43" s="17"/>
      <c r="O43" s="240"/>
    </row>
    <row r="44" spans="2:15" s="17" customFormat="1" ht="12.75" customHeight="1" x14ac:dyDescent="0.2">
      <c r="B44" s="937">
        <v>45338</v>
      </c>
      <c r="C44" s="17" t="s">
        <v>35</v>
      </c>
      <c r="D44" s="17" t="s">
        <v>36</v>
      </c>
      <c r="O44" s="31"/>
    </row>
    <row r="45" spans="2:15" s="17" customFormat="1" ht="12.75" customHeight="1" x14ac:dyDescent="0.2">
      <c r="B45" s="937"/>
      <c r="D45" s="17" t="s">
        <v>37</v>
      </c>
      <c r="O45" s="31"/>
    </row>
    <row r="46" spans="2:15" s="17" customFormat="1" ht="12.75" customHeight="1" x14ac:dyDescent="0.2">
      <c r="B46" s="937">
        <v>44876</v>
      </c>
      <c r="C46" s="17" t="s">
        <v>35</v>
      </c>
      <c r="D46" s="17" t="s">
        <v>38</v>
      </c>
      <c r="O46" s="31"/>
    </row>
    <row r="47" spans="2:15" s="17" customFormat="1" ht="12.75" customHeight="1" x14ac:dyDescent="0.2">
      <c r="B47" s="937"/>
      <c r="D47" s="17" t="s">
        <v>39</v>
      </c>
      <c r="O47" s="31"/>
    </row>
    <row r="48" spans="2:15" s="17" customFormat="1" ht="12.75" customHeight="1" x14ac:dyDescent="0.2">
      <c r="B48" s="937"/>
      <c r="D48" s="17" t="s">
        <v>40</v>
      </c>
      <c r="O48" s="31"/>
    </row>
    <row r="49" spans="2:20" s="17" customFormat="1" ht="12.75" customHeight="1" x14ac:dyDescent="0.2">
      <c r="B49" s="937"/>
      <c r="D49" s="17" t="s">
        <v>41</v>
      </c>
      <c r="O49" s="31"/>
    </row>
    <row r="50" spans="2:20" s="17" customFormat="1" ht="12.75" customHeight="1" x14ac:dyDescent="0.2">
      <c r="B50" s="937"/>
      <c r="D50" s="17" t="s">
        <v>42</v>
      </c>
      <c r="O50" s="31"/>
    </row>
    <row r="51" spans="2:20" s="17" customFormat="1" ht="12.75" customHeight="1" x14ac:dyDescent="0.2">
      <c r="B51" s="937"/>
      <c r="D51" s="17" t="s">
        <v>43</v>
      </c>
      <c r="O51" s="31"/>
    </row>
    <row r="52" spans="2:20" s="17" customFormat="1" ht="12.75" customHeight="1" x14ac:dyDescent="0.2">
      <c r="B52" s="937"/>
      <c r="D52" s="17" t="s">
        <v>44</v>
      </c>
      <c r="O52" s="31"/>
    </row>
    <row r="53" spans="2:20" s="17" customFormat="1" ht="12.75" customHeight="1" x14ac:dyDescent="0.2">
      <c r="B53" s="937"/>
      <c r="D53" s="17" t="s">
        <v>45</v>
      </c>
      <c r="O53" s="31"/>
    </row>
    <row r="54" spans="2:20" s="17" customFormat="1" ht="12.75" customHeight="1" x14ac:dyDescent="0.2">
      <c r="B54" s="937"/>
      <c r="D54" s="17" t="s">
        <v>46</v>
      </c>
      <c r="O54" s="31"/>
    </row>
    <row r="55" spans="2:20" s="17" customFormat="1" ht="12.75" customHeight="1" x14ac:dyDescent="0.2">
      <c r="B55" s="937"/>
      <c r="D55" s="17" t="s">
        <v>47</v>
      </c>
      <c r="O55" s="31"/>
    </row>
    <row r="56" spans="2:20" s="17" customFormat="1" ht="12.75" customHeight="1" x14ac:dyDescent="0.2">
      <c r="B56" s="937"/>
      <c r="O56" s="31"/>
    </row>
    <row r="57" spans="2:20" s="17" customFormat="1" ht="12.75" customHeight="1" x14ac:dyDescent="0.2">
      <c r="B57" s="845">
        <v>44266</v>
      </c>
      <c r="C57" s="17" t="s">
        <v>48</v>
      </c>
      <c r="D57" s="17" t="s">
        <v>49</v>
      </c>
      <c r="O57" s="31"/>
    </row>
    <row r="58" spans="2:20" s="17" customFormat="1" ht="12.75" customHeight="1" x14ac:dyDescent="0.2">
      <c r="B58" s="845"/>
      <c r="D58" s="17" t="s">
        <v>50</v>
      </c>
      <c r="O58" s="31"/>
    </row>
    <row r="59" spans="2:20" ht="12.75" customHeight="1" x14ac:dyDescent="0.2">
      <c r="B59" s="845">
        <v>44139</v>
      </c>
      <c r="C59" s="17" t="s">
        <v>48</v>
      </c>
      <c r="D59" s="17" t="s">
        <v>51</v>
      </c>
      <c r="N59" s="141"/>
      <c r="O59" s="240"/>
      <c r="Q59" s="17"/>
    </row>
    <row r="60" spans="2:20" ht="12.75" customHeight="1" x14ac:dyDescent="0.2">
      <c r="B60" s="845">
        <v>44074</v>
      </c>
      <c r="C60" s="17" t="s">
        <v>48</v>
      </c>
      <c r="D60" s="17" t="s">
        <v>52</v>
      </c>
      <c r="N60" s="141"/>
      <c r="O60" s="240"/>
      <c r="Q60" s="17"/>
    </row>
    <row r="61" spans="2:20" ht="12.75" customHeight="1" x14ac:dyDescent="0.2">
      <c r="B61" s="845">
        <v>43738</v>
      </c>
      <c r="C61" s="17" t="s">
        <v>48</v>
      </c>
      <c r="D61" s="17" t="s">
        <v>53</v>
      </c>
      <c r="N61" s="141"/>
      <c r="O61" s="240"/>
      <c r="Q61" s="17"/>
    </row>
    <row r="62" spans="2:20" ht="12.75" customHeight="1" x14ac:dyDescent="0.2">
      <c r="B62" s="845">
        <v>43707</v>
      </c>
      <c r="C62" s="17" t="s">
        <v>48</v>
      </c>
      <c r="D62" s="17" t="s">
        <v>54</v>
      </c>
      <c r="N62" s="141"/>
      <c r="O62" s="240"/>
      <c r="Q62" s="17"/>
    </row>
    <row r="63" spans="2:20" ht="12.75" customHeight="1" x14ac:dyDescent="0.2">
      <c r="B63" s="845">
        <v>43601</v>
      </c>
      <c r="C63" s="17" t="s">
        <v>55</v>
      </c>
      <c r="D63" s="17" t="s">
        <v>56</v>
      </c>
      <c r="N63" s="141"/>
      <c r="O63" s="240"/>
      <c r="Q63" s="17"/>
    </row>
    <row r="64" spans="2:20" ht="12.75" customHeight="1" x14ac:dyDescent="0.2">
      <c r="B64" s="845">
        <v>43482</v>
      </c>
      <c r="C64" s="17" t="s">
        <v>55</v>
      </c>
      <c r="D64" s="17" t="s">
        <v>57</v>
      </c>
      <c r="N64" s="141"/>
      <c r="O64" s="240"/>
      <c r="Q64" s="17" t="s">
        <v>58</v>
      </c>
      <c r="R64" s="17"/>
      <c r="S64" s="17"/>
      <c r="T64" s="17"/>
    </row>
    <row r="65" spans="2:20" ht="12.75" customHeight="1" x14ac:dyDescent="0.2">
      <c r="B65" s="845">
        <v>43406</v>
      </c>
      <c r="C65" s="17" t="s">
        <v>55</v>
      </c>
      <c r="D65" s="17" t="s">
        <v>59</v>
      </c>
      <c r="O65" s="240"/>
      <c r="Q65" s="17"/>
      <c r="R65" s="17" t="s">
        <v>60</v>
      </c>
      <c r="S65" s="17"/>
      <c r="T65" s="17"/>
    </row>
    <row r="66" spans="2:20" ht="12.75" customHeight="1" x14ac:dyDescent="0.2">
      <c r="B66" s="777">
        <v>43178</v>
      </c>
      <c r="C66" s="17" t="s">
        <v>55</v>
      </c>
      <c r="D66" s="17" t="s">
        <v>61</v>
      </c>
      <c r="O66" s="240"/>
      <c r="Q66" s="17"/>
      <c r="R66" s="17" t="s">
        <v>62</v>
      </c>
      <c r="S66" s="17"/>
      <c r="T66" s="17"/>
    </row>
    <row r="67" spans="2:20" ht="12.75" customHeight="1" x14ac:dyDescent="0.2">
      <c r="B67" s="777">
        <v>42703</v>
      </c>
      <c r="C67" s="17" t="s">
        <v>55</v>
      </c>
      <c r="D67" s="17" t="s">
        <v>63</v>
      </c>
      <c r="O67" s="240"/>
      <c r="Q67" s="17"/>
      <c r="R67" s="17" t="s">
        <v>64</v>
      </c>
      <c r="S67" s="17"/>
      <c r="T67" s="17"/>
    </row>
    <row r="68" spans="2:20" ht="12.75" customHeight="1" x14ac:dyDescent="0.2">
      <c r="B68" s="777">
        <v>42450</v>
      </c>
      <c r="C68" s="17" t="s">
        <v>55</v>
      </c>
      <c r="D68" s="17" t="s">
        <v>65</v>
      </c>
      <c r="O68" s="240"/>
    </row>
    <row r="69" spans="2:20" ht="12.75" customHeight="1" x14ac:dyDescent="0.2">
      <c r="B69" s="738">
        <v>42094</v>
      </c>
      <c r="C69" s="17" t="s">
        <v>66</v>
      </c>
      <c r="D69" s="17" t="s">
        <v>67</v>
      </c>
      <c r="O69" s="240"/>
    </row>
    <row r="70" spans="2:20" ht="12.75" customHeight="1" x14ac:dyDescent="0.2">
      <c r="B70" s="846">
        <v>41804</v>
      </c>
      <c r="C70" s="17" t="s">
        <v>68</v>
      </c>
      <c r="D70" s="17" t="s">
        <v>69</v>
      </c>
      <c r="O70" s="240"/>
    </row>
    <row r="71" spans="2:20" ht="12.75" customHeight="1" x14ac:dyDescent="0.2">
      <c r="B71" s="846">
        <v>38152</v>
      </c>
      <c r="C71" s="2" t="s">
        <v>70</v>
      </c>
      <c r="D71" s="2" t="s">
        <v>71</v>
      </c>
      <c r="O71" s="240"/>
    </row>
    <row r="72" spans="2:20" ht="12.75" customHeight="1" x14ac:dyDescent="0.2">
      <c r="B72" s="846">
        <v>35462</v>
      </c>
      <c r="C72" s="2" t="s">
        <v>72</v>
      </c>
      <c r="D72" s="2" t="s">
        <v>73</v>
      </c>
      <c r="O72" s="240"/>
    </row>
    <row r="73" spans="2:20" ht="12.75" customHeight="1" x14ac:dyDescent="0.2">
      <c r="B73" s="846">
        <v>34182</v>
      </c>
      <c r="C73" s="2" t="s">
        <v>74</v>
      </c>
      <c r="D73" s="2" t="s">
        <v>75</v>
      </c>
      <c r="O73" s="240"/>
    </row>
    <row r="74" spans="2:20" ht="12.75" customHeight="1" x14ac:dyDescent="0.2">
      <c r="B74" s="3"/>
      <c r="O74" s="240"/>
    </row>
    <row r="75" spans="2:20" ht="12.75" customHeight="1" x14ac:dyDescent="0.2">
      <c r="O75" s="240"/>
    </row>
    <row r="76" spans="2:20" ht="12.75" customHeight="1" x14ac:dyDescent="0.2">
      <c r="B76" s="30"/>
      <c r="C76" s="17"/>
      <c r="O76" s="240"/>
    </row>
    <row r="77" spans="2:20" ht="12.75" customHeight="1" x14ac:dyDescent="0.2">
      <c r="B77" s="30"/>
      <c r="C77" s="17"/>
      <c r="D77" s="17"/>
      <c r="E77" s="17"/>
      <c r="F77" s="17"/>
      <c r="G77" s="17"/>
      <c r="H77" s="17"/>
      <c r="I77" s="17"/>
      <c r="J77" s="17"/>
      <c r="O77" s="240"/>
    </row>
    <row r="78" spans="2:20" ht="12.75" customHeight="1" x14ac:dyDescent="0.2">
      <c r="B78" s="30"/>
      <c r="C78" s="17"/>
      <c r="D78" s="31"/>
      <c r="E78" s="17"/>
      <c r="F78" s="17"/>
      <c r="G78" s="17"/>
      <c r="H78" s="17"/>
      <c r="I78" s="17"/>
      <c r="J78" s="17"/>
      <c r="K78" s="17"/>
      <c r="L78" s="17"/>
      <c r="M78" s="17"/>
      <c r="N78" s="31"/>
    </row>
    <row r="79" spans="2:20" ht="12.75" customHeight="1" x14ac:dyDescent="0.2">
      <c r="B79" s="30"/>
      <c r="C79" s="17"/>
      <c r="D79" s="17"/>
      <c r="E79" s="17"/>
      <c r="F79" s="17"/>
      <c r="G79" s="17"/>
      <c r="H79" s="17"/>
      <c r="I79" s="17"/>
      <c r="J79" s="17"/>
      <c r="K79" s="17"/>
      <c r="L79" s="17"/>
      <c r="M79" s="17"/>
      <c r="N79" s="31"/>
    </row>
    <row r="80" spans="2:20" ht="12.75" customHeight="1" x14ac:dyDescent="0.2">
      <c r="B80" s="30"/>
      <c r="C80" s="17"/>
      <c r="K80" s="17"/>
      <c r="L80" s="17"/>
      <c r="M80" s="17"/>
      <c r="N80" s="31"/>
    </row>
    <row r="81" spans="2:18" ht="12.75" customHeight="1" x14ac:dyDescent="0.2">
      <c r="B81" s="30"/>
      <c r="C81" s="17"/>
      <c r="E81" s="17"/>
      <c r="F81" s="17"/>
      <c r="G81" s="17"/>
      <c r="H81" s="17"/>
      <c r="I81" s="17"/>
      <c r="J81" s="17"/>
      <c r="K81" s="17"/>
      <c r="L81" s="17"/>
      <c r="M81" s="17"/>
      <c r="N81" s="31"/>
    </row>
    <row r="82" spans="2:18" ht="12.75" customHeight="1" x14ac:dyDescent="0.2">
      <c r="B82" s="30"/>
      <c r="C82" s="17"/>
      <c r="D82" s="17"/>
      <c r="E82" s="17"/>
      <c r="F82" s="17"/>
      <c r="G82" s="17"/>
      <c r="H82" s="17"/>
      <c r="I82" s="17"/>
      <c r="J82" s="17"/>
      <c r="K82" s="17"/>
      <c r="L82" s="17"/>
      <c r="M82" s="17"/>
      <c r="N82" s="31"/>
    </row>
    <row r="83" spans="2:18" ht="12.75" customHeight="1" x14ac:dyDescent="0.2">
      <c r="B83" s="30"/>
      <c r="C83" s="17"/>
      <c r="D83" s="17"/>
      <c r="E83" s="17"/>
      <c r="F83" s="17"/>
      <c r="G83" s="17"/>
      <c r="H83" s="17"/>
      <c r="I83" s="17"/>
      <c r="J83" s="17"/>
      <c r="K83" s="17"/>
      <c r="L83" s="17"/>
      <c r="M83" s="17"/>
      <c r="N83" s="31"/>
    </row>
    <row r="84" spans="2:18" ht="12.75" customHeight="1" x14ac:dyDescent="0.2">
      <c r="B84" s="30"/>
      <c r="C84" s="17"/>
      <c r="E84" s="17"/>
      <c r="F84" s="17"/>
      <c r="G84" s="17"/>
      <c r="H84" s="17"/>
      <c r="I84" s="17"/>
      <c r="J84" s="17"/>
      <c r="K84" s="17"/>
      <c r="L84" s="17"/>
      <c r="M84" s="17"/>
      <c r="N84" s="31"/>
    </row>
    <row r="85" spans="2:18" ht="12.75" customHeight="1" x14ac:dyDescent="0.2">
      <c r="B85" s="30"/>
      <c r="C85" s="17"/>
      <c r="E85" s="17"/>
      <c r="F85" s="17"/>
      <c r="G85" s="17"/>
      <c r="H85" s="17"/>
      <c r="I85" s="17"/>
      <c r="J85" s="17"/>
      <c r="K85" s="17"/>
      <c r="L85" s="17"/>
      <c r="M85" s="17"/>
      <c r="N85" s="17"/>
      <c r="O85" s="31"/>
    </row>
    <row r="86" spans="2:18" ht="12.75" customHeight="1" x14ac:dyDescent="0.2">
      <c r="B86" s="30"/>
      <c r="C86" s="17"/>
      <c r="E86" s="17"/>
      <c r="F86" s="17"/>
      <c r="G86" s="17"/>
      <c r="H86" s="17"/>
      <c r="I86" s="17"/>
      <c r="J86" s="17"/>
      <c r="K86" s="17"/>
      <c r="L86" s="17"/>
      <c r="M86" s="17"/>
      <c r="N86" s="17"/>
      <c r="O86" s="31"/>
    </row>
    <row r="87" spans="2:18" ht="12.75" customHeight="1" x14ac:dyDescent="0.2">
      <c r="B87" s="30"/>
      <c r="C87" s="17"/>
      <c r="D87" s="31"/>
      <c r="E87" s="17"/>
      <c r="F87" s="17"/>
      <c r="G87" s="17"/>
      <c r="H87" s="17"/>
      <c r="I87" s="17"/>
      <c r="J87" s="17"/>
      <c r="K87" s="17"/>
      <c r="L87" s="17"/>
      <c r="M87" s="17"/>
      <c r="N87" s="17"/>
      <c r="O87" s="31"/>
    </row>
    <row r="88" spans="2:18" ht="12.75" customHeight="1" x14ac:dyDescent="0.2">
      <c r="B88" s="30"/>
      <c r="C88" s="17"/>
      <c r="D88" s="31"/>
      <c r="E88" s="17"/>
      <c r="F88" s="17"/>
      <c r="G88" s="17"/>
      <c r="H88" s="17"/>
      <c r="I88" s="17"/>
      <c r="J88" s="17"/>
      <c r="K88" s="17"/>
      <c r="L88" s="17"/>
      <c r="M88" s="17"/>
      <c r="N88" s="17"/>
      <c r="O88" s="31"/>
    </row>
    <row r="89" spans="2:18" ht="12.75" customHeight="1" x14ac:dyDescent="0.2">
      <c r="B89" s="30"/>
      <c r="C89" s="17"/>
      <c r="D89" s="31"/>
      <c r="E89" s="17"/>
      <c r="F89" s="17"/>
      <c r="G89" s="17"/>
      <c r="H89" s="17"/>
      <c r="I89" s="17"/>
      <c r="J89" s="17"/>
      <c r="K89" s="17"/>
      <c r="L89" s="17"/>
      <c r="M89" s="17"/>
      <c r="N89" s="17"/>
      <c r="O89" s="31"/>
    </row>
    <row r="90" spans="2:18" ht="12.75" customHeight="1" x14ac:dyDescent="0.2">
      <c r="B90" s="30"/>
      <c r="C90" s="17"/>
      <c r="D90" s="31"/>
      <c r="E90" s="17"/>
      <c r="F90" s="17"/>
      <c r="G90" s="17"/>
      <c r="H90" s="17"/>
      <c r="I90" s="17"/>
      <c r="J90" s="17"/>
      <c r="K90" s="17"/>
      <c r="L90" s="17"/>
      <c r="M90" s="17"/>
      <c r="N90" s="17"/>
      <c r="O90" s="31"/>
    </row>
    <row r="91" spans="2:18" ht="12.75" customHeight="1" x14ac:dyDescent="0.2">
      <c r="B91" s="30"/>
      <c r="C91" s="17"/>
      <c r="D91" s="31"/>
      <c r="E91" s="17"/>
      <c r="F91" s="17"/>
      <c r="G91" s="17"/>
      <c r="H91" s="17"/>
      <c r="I91" s="17"/>
      <c r="J91" s="17"/>
      <c r="K91" s="17"/>
      <c r="L91" s="17"/>
      <c r="M91" s="17"/>
      <c r="N91" s="17"/>
      <c r="O91" s="31"/>
    </row>
    <row r="92" spans="2:18" ht="12.75" customHeight="1" x14ac:dyDescent="0.2">
      <c r="B92" s="30"/>
      <c r="C92" s="17"/>
      <c r="D92" s="146"/>
      <c r="E92" s="17"/>
      <c r="F92" s="141"/>
      <c r="G92" s="141"/>
      <c r="H92" s="141"/>
      <c r="I92" s="141"/>
      <c r="K92" s="17"/>
      <c r="L92" s="17"/>
      <c r="M92" s="17"/>
      <c r="N92" s="17"/>
      <c r="O92" s="31"/>
    </row>
    <row r="93" spans="2:18" ht="12.75" customHeight="1" x14ac:dyDescent="0.2">
      <c r="B93" s="30"/>
      <c r="C93" s="17"/>
      <c r="D93" s="17"/>
      <c r="F93" s="141"/>
      <c r="G93" s="141"/>
      <c r="H93" s="141"/>
      <c r="I93" s="141"/>
      <c r="O93" s="240"/>
      <c r="P93" s="17"/>
      <c r="Q93" s="17"/>
      <c r="R93" s="17"/>
    </row>
    <row r="94" spans="2:18" ht="12.75" customHeight="1" x14ac:dyDescent="0.2">
      <c r="B94" s="6"/>
      <c r="C94" s="17"/>
      <c r="D94" s="38"/>
      <c r="E94" s="17"/>
      <c r="F94" s="17"/>
      <c r="G94" s="17"/>
      <c r="H94" s="17"/>
      <c r="I94" s="17"/>
      <c r="J94" s="17"/>
      <c r="O94" s="240"/>
      <c r="P94" s="17"/>
      <c r="Q94" s="17"/>
      <c r="R94" s="17"/>
    </row>
    <row r="95" spans="2:18" s="17" customFormat="1" ht="12.75" customHeight="1" x14ac:dyDescent="0.2">
      <c r="B95" s="6"/>
      <c r="D95" s="31"/>
      <c r="E95" s="2"/>
      <c r="F95" s="2"/>
      <c r="G95" s="2"/>
      <c r="H95" s="2"/>
      <c r="I95" s="2"/>
      <c r="J95" s="2"/>
      <c r="O95" s="31"/>
    </row>
    <row r="96" spans="2:18" ht="12.75" customHeight="1" x14ac:dyDescent="0.2">
      <c r="D96" s="31"/>
      <c r="P96" s="17"/>
      <c r="Q96" s="17"/>
      <c r="R96" s="17"/>
    </row>
    <row r="97" spans="1:18" ht="12.75" customHeight="1" x14ac:dyDescent="0.2">
      <c r="D97" s="31"/>
      <c r="P97" s="17"/>
      <c r="Q97" s="17"/>
      <c r="R97" s="17"/>
    </row>
    <row r="98" spans="1:18" ht="12.75" customHeight="1" x14ac:dyDescent="0.2">
      <c r="D98" s="31"/>
      <c r="P98" s="17"/>
      <c r="Q98" s="17"/>
      <c r="R98" s="17"/>
    </row>
    <row r="99" spans="1:18" ht="12.75" customHeight="1" x14ac:dyDescent="0.2">
      <c r="D99" s="31"/>
      <c r="P99" s="17"/>
      <c r="Q99" s="17"/>
      <c r="R99" s="17"/>
    </row>
    <row r="100" spans="1:18" ht="12.75" customHeight="1" x14ac:dyDescent="0.2">
      <c r="D100" s="31"/>
      <c r="P100" s="17"/>
      <c r="Q100" s="17"/>
      <c r="R100" s="17"/>
    </row>
    <row r="101" spans="1:18" ht="12.75" customHeight="1" x14ac:dyDescent="0.2">
      <c r="B101" s="6"/>
      <c r="C101" s="17"/>
      <c r="D101" s="31"/>
    </row>
    <row r="102" spans="1:18" ht="12.75" customHeight="1" x14ac:dyDescent="0.2">
      <c r="D102" s="31"/>
    </row>
    <row r="103" spans="1:18" ht="12.75" customHeight="1" x14ac:dyDescent="0.2">
      <c r="B103" s="288"/>
      <c r="C103" s="141"/>
      <c r="D103" s="935"/>
      <c r="E103" s="141"/>
      <c r="F103" s="141"/>
      <c r="G103" s="141"/>
      <c r="H103" s="141"/>
      <c r="I103" s="141"/>
      <c r="J103" s="141"/>
    </row>
    <row r="104" spans="1:18" s="141" customFormat="1" ht="12.75" customHeight="1" x14ac:dyDescent="0.2">
      <c r="B104" s="288"/>
      <c r="D104" s="935"/>
    </row>
    <row r="105" spans="1:18" s="141" customFormat="1" ht="12.75" customHeight="1" x14ac:dyDescent="0.2">
      <c r="B105" s="288"/>
      <c r="D105" s="935"/>
    </row>
    <row r="106" spans="1:18" s="141" customFormat="1" ht="12.75" customHeight="1" x14ac:dyDescent="0.2">
      <c r="B106" s="288"/>
      <c r="D106" s="935"/>
    </row>
    <row r="107" spans="1:18" s="141" customFormat="1" ht="12.75" customHeight="1" x14ac:dyDescent="0.2">
      <c r="B107" s="288"/>
      <c r="D107" s="935"/>
    </row>
    <row r="108" spans="1:18" s="141" customFormat="1" ht="12.75" customHeight="1" x14ac:dyDescent="0.2">
      <c r="B108" s="2"/>
      <c r="C108" s="2"/>
      <c r="D108" s="2"/>
      <c r="E108" s="2"/>
      <c r="F108" s="2"/>
      <c r="G108" s="2"/>
      <c r="H108" s="2"/>
      <c r="I108" s="2"/>
      <c r="J108" s="2"/>
    </row>
    <row r="109" spans="1:18" s="141" customFormat="1" ht="12.75" customHeight="1" x14ac:dyDescent="0.2">
      <c r="A109" s="2"/>
      <c r="B109" s="35"/>
      <c r="C109" s="36"/>
      <c r="D109" s="34"/>
      <c r="E109" s="17"/>
      <c r="J109" s="2"/>
      <c r="K109" s="2"/>
      <c r="L109" s="2"/>
      <c r="M109" s="2"/>
      <c r="N109" s="2"/>
    </row>
    <row r="110" spans="1:18" s="141" customFormat="1" ht="12.75" customHeight="1" x14ac:dyDescent="0.2">
      <c r="A110" s="2"/>
      <c r="B110" s="35"/>
      <c r="C110" s="36"/>
      <c r="D110" s="34"/>
      <c r="E110" s="36"/>
      <c r="F110" s="36"/>
      <c r="G110" s="36"/>
      <c r="H110" s="2"/>
      <c r="I110" s="2"/>
      <c r="J110" s="2"/>
      <c r="K110" s="2"/>
      <c r="L110" s="2"/>
      <c r="M110" s="2"/>
      <c r="N110" s="2"/>
    </row>
    <row r="111" spans="1:18" ht="12.75" customHeight="1" x14ac:dyDescent="0.2">
      <c r="B111" s="35"/>
      <c r="C111" s="36"/>
      <c r="D111" s="34"/>
      <c r="E111" s="36"/>
      <c r="F111" s="36"/>
      <c r="G111" s="36"/>
    </row>
    <row r="112" spans="1:18" ht="12.75" customHeight="1" x14ac:dyDescent="0.2">
      <c r="B112" s="35"/>
      <c r="C112" s="36"/>
      <c r="D112" s="34"/>
      <c r="E112" s="36"/>
      <c r="F112" s="36"/>
      <c r="G112" s="36"/>
      <c r="O112" s="240"/>
    </row>
    <row r="113" spans="2:15" ht="12.75" customHeight="1" x14ac:dyDescent="0.2">
      <c r="B113" s="35"/>
      <c r="C113" s="36"/>
      <c r="D113" s="37"/>
      <c r="E113" s="36"/>
      <c r="F113" s="36"/>
      <c r="G113" s="36"/>
      <c r="O113" s="240"/>
    </row>
    <row r="114" spans="2:15" ht="12.75" customHeight="1" x14ac:dyDescent="0.2">
      <c r="B114" s="35"/>
      <c r="C114" s="36"/>
      <c r="D114" s="37"/>
      <c r="E114" s="36"/>
      <c r="F114" s="36"/>
      <c r="G114" s="36"/>
      <c r="O114" s="240"/>
    </row>
    <row r="115" spans="2:15" ht="12.75" customHeight="1" x14ac:dyDescent="0.2">
      <c r="B115" s="35"/>
      <c r="C115" s="36"/>
      <c r="D115" s="37"/>
      <c r="E115" s="36"/>
      <c r="F115" s="36"/>
      <c r="G115" s="36"/>
      <c r="O115" s="240"/>
    </row>
    <row r="116" spans="2:15" ht="12.75" customHeight="1" x14ac:dyDescent="0.2">
      <c r="B116" s="35"/>
      <c r="C116" s="36"/>
      <c r="D116" s="37"/>
      <c r="E116" s="36"/>
      <c r="F116" s="36"/>
      <c r="G116" s="36"/>
      <c r="O116" s="240"/>
    </row>
    <row r="117" spans="2:15" ht="12.75" customHeight="1" x14ac:dyDescent="0.2">
      <c r="B117" s="35"/>
      <c r="C117" s="36"/>
      <c r="D117" s="37"/>
      <c r="E117" s="36"/>
      <c r="F117" s="36"/>
      <c r="G117" s="36"/>
      <c r="O117" s="240"/>
    </row>
    <row r="118" spans="2:15" ht="12.75" customHeight="1" x14ac:dyDescent="0.2">
      <c r="B118" s="6"/>
      <c r="D118" s="37"/>
      <c r="E118" s="36"/>
      <c r="F118" s="36"/>
      <c r="G118" s="36"/>
      <c r="O118" s="240"/>
    </row>
    <row r="119" spans="2:15" ht="12.75" customHeight="1" x14ac:dyDescent="0.2">
      <c r="B119" s="6"/>
      <c r="D119" s="37"/>
      <c r="E119" s="36"/>
      <c r="F119" s="36"/>
      <c r="O119" s="240"/>
    </row>
    <row r="120" spans="2:15" ht="12.75" customHeight="1" x14ac:dyDescent="0.2">
      <c r="B120" s="6"/>
      <c r="D120" s="37"/>
      <c r="O120" s="240"/>
    </row>
    <row r="121" spans="2:15" ht="12.75" customHeight="1" x14ac:dyDescent="0.2">
      <c r="B121" s="6"/>
      <c r="D121" s="37"/>
      <c r="O121" s="240"/>
    </row>
    <row r="122" spans="2:15" ht="12.75" customHeight="1" x14ac:dyDescent="0.2">
      <c r="B122" s="6"/>
      <c r="D122" s="37"/>
      <c r="O122" s="240"/>
    </row>
    <row r="123" spans="2:15" ht="12.75" customHeight="1" x14ac:dyDescent="0.2">
      <c r="B123" s="6"/>
      <c r="D123" s="37"/>
      <c r="O123" s="240"/>
    </row>
    <row r="124" spans="2:15" ht="12.75" customHeight="1" x14ac:dyDescent="0.2">
      <c r="B124" s="6"/>
      <c r="E124" s="7"/>
      <c r="F124" s="7"/>
      <c r="G124" s="7"/>
      <c r="O124" s="240"/>
    </row>
    <row r="125" spans="2:15" ht="12.75" customHeight="1" x14ac:dyDescent="0.2">
      <c r="B125" s="6"/>
      <c r="D125" s="37"/>
      <c r="O125" s="240"/>
    </row>
    <row r="126" spans="2:15" ht="12.75" customHeight="1" x14ac:dyDescent="0.2">
      <c r="B126" s="6"/>
      <c r="D126" s="37"/>
      <c r="O126" s="240"/>
    </row>
    <row r="127" spans="2:15" ht="12.75" customHeight="1" x14ac:dyDescent="0.2">
      <c r="B127" s="6"/>
      <c r="E127" s="7"/>
      <c r="F127" s="7"/>
      <c r="G127" s="7"/>
      <c r="O127" s="240"/>
    </row>
    <row r="128" spans="2:15" ht="12.75" customHeight="1" x14ac:dyDescent="0.2">
      <c r="B128" s="6"/>
      <c r="E128" s="7"/>
      <c r="F128" s="7"/>
      <c r="G128" s="7"/>
      <c r="O128" s="240"/>
    </row>
    <row r="129" spans="2:15" ht="12.75" customHeight="1" x14ac:dyDescent="0.2">
      <c r="B129" s="6"/>
      <c r="E129" s="7"/>
      <c r="F129" s="7"/>
      <c r="G129" s="7"/>
      <c r="O129" s="240"/>
    </row>
    <row r="130" spans="2:15" ht="12.75" customHeight="1" x14ac:dyDescent="0.2">
      <c r="B130" s="6"/>
      <c r="O130" s="240"/>
    </row>
    <row r="131" spans="2:15" ht="12.75" customHeight="1" x14ac:dyDescent="0.2">
      <c r="B131" s="6"/>
      <c r="E131" s="7"/>
      <c r="F131" s="7"/>
      <c r="G131" s="7"/>
      <c r="O131" s="240"/>
    </row>
    <row r="132" spans="2:15" ht="12.75" customHeight="1" x14ac:dyDescent="0.2">
      <c r="B132" s="6"/>
      <c r="E132" s="7"/>
      <c r="F132" s="7"/>
      <c r="G132" s="7"/>
      <c r="O132" s="240"/>
    </row>
    <row r="133" spans="2:15" ht="12.75" customHeight="1" x14ac:dyDescent="0.2">
      <c r="O133" s="240"/>
    </row>
    <row r="134" spans="2:15" ht="12.75" customHeight="1" x14ac:dyDescent="0.2">
      <c r="O134" s="240"/>
    </row>
    <row r="135" spans="2:15" ht="12.75" customHeight="1" x14ac:dyDescent="0.2">
      <c r="B135" s="6"/>
      <c r="O135" s="240"/>
    </row>
    <row r="136" spans="2:15" ht="12.75" customHeight="1" x14ac:dyDescent="0.2">
      <c r="B136" s="6"/>
      <c r="E136" s="7"/>
      <c r="F136" s="7"/>
      <c r="G136" s="7"/>
      <c r="O136" s="240"/>
    </row>
    <row r="137" spans="2:15" ht="12.75" customHeight="1" x14ac:dyDescent="0.2">
      <c r="B137" s="6"/>
      <c r="D137" s="7"/>
      <c r="E137" s="7"/>
      <c r="F137" s="7"/>
      <c r="G137" s="7"/>
      <c r="O137" s="240"/>
    </row>
    <row r="138" spans="2:15" ht="12.75" customHeight="1" x14ac:dyDescent="0.2">
      <c r="B138" s="6"/>
      <c r="O138" s="240"/>
    </row>
    <row r="139" spans="2:15" ht="12.75" customHeight="1" x14ac:dyDescent="0.2">
      <c r="B139" s="6"/>
      <c r="D139" s="18"/>
      <c r="E139" s="7"/>
      <c r="F139" s="7"/>
      <c r="G139" s="7"/>
      <c r="O139" s="240"/>
    </row>
    <row r="140" spans="2:15" ht="12.75" customHeight="1" x14ac:dyDescent="0.2">
      <c r="B140" s="6"/>
      <c r="D140" s="7"/>
      <c r="F140" s="7"/>
      <c r="G140" s="7"/>
      <c r="O140" s="240"/>
    </row>
    <row r="141" spans="2:15" ht="12.75" customHeight="1" x14ac:dyDescent="0.2">
      <c r="B141" s="6"/>
      <c r="F141" s="7"/>
      <c r="G141" s="7"/>
      <c r="O141" s="240"/>
    </row>
    <row r="142" spans="2:15" ht="12.75" customHeight="1" x14ac:dyDescent="0.2">
      <c r="O142" s="240"/>
    </row>
    <row r="143" spans="2:15" ht="12.75" customHeight="1" x14ac:dyDescent="0.2">
      <c r="O143" s="240"/>
    </row>
    <row r="144" spans="2:15" ht="12.75" customHeight="1" x14ac:dyDescent="0.2">
      <c r="B144" s="6"/>
      <c r="G144" s="7"/>
      <c r="O144" s="240"/>
    </row>
    <row r="145" spans="2:15" ht="12.75" customHeight="1" x14ac:dyDescent="0.2">
      <c r="B145" s="6"/>
      <c r="D145" s="7"/>
      <c r="F145" s="7"/>
      <c r="G145" s="7"/>
      <c r="O145" s="240"/>
    </row>
    <row r="146" spans="2:15" ht="12.75" customHeight="1" x14ac:dyDescent="0.2">
      <c r="B146" s="6"/>
      <c r="D146" s="7"/>
      <c r="F146" s="7"/>
      <c r="G146" s="7"/>
      <c r="O146" s="240"/>
    </row>
    <row r="147" spans="2:15" ht="12.75" customHeight="1" x14ac:dyDescent="0.2">
      <c r="B147" s="6"/>
      <c r="D147" s="18"/>
      <c r="F147" s="7"/>
      <c r="G147" s="7"/>
      <c r="O147" s="240"/>
    </row>
    <row r="148" spans="2:15" ht="12.75" customHeight="1" x14ac:dyDescent="0.2">
      <c r="B148" s="6"/>
      <c r="D148" s="7"/>
      <c r="F148" s="7"/>
      <c r="O148" s="240"/>
    </row>
    <row r="149" spans="2:15" ht="12.75" customHeight="1" x14ac:dyDescent="0.2">
      <c r="B149" s="6"/>
      <c r="F149" s="7"/>
      <c r="O149" s="240"/>
    </row>
    <row r="150" spans="2:15" ht="12.75" customHeight="1" x14ac:dyDescent="0.2">
      <c r="O150" s="240"/>
    </row>
    <row r="153" spans="2:15" ht="12.75" customHeight="1" x14ac:dyDescent="0.2">
      <c r="B153" s="6"/>
    </row>
    <row r="154" spans="2:15" ht="12.75" customHeight="1" x14ac:dyDescent="0.2">
      <c r="B154" s="6"/>
      <c r="D154" s="8"/>
      <c r="O154" s="240"/>
    </row>
    <row r="155" spans="2:15" ht="12.75" customHeight="1" x14ac:dyDescent="0.2">
      <c r="B155" s="6"/>
      <c r="D155" s="8"/>
      <c r="E155" s="8"/>
    </row>
    <row r="156" spans="2:15" ht="12.75" customHeight="1" x14ac:dyDescent="0.2">
      <c r="B156" s="6"/>
      <c r="D156" s="8"/>
      <c r="E156" s="8"/>
    </row>
    <row r="157" spans="2:15" ht="12.75" customHeight="1" x14ac:dyDescent="0.2">
      <c r="B157" s="6"/>
      <c r="D157" s="8"/>
      <c r="E157" s="8"/>
    </row>
    <row r="158" spans="2:15" ht="12.75" customHeight="1" x14ac:dyDescent="0.2">
      <c r="B158" s="6"/>
      <c r="D158" s="8"/>
    </row>
    <row r="159" spans="2:15" ht="12.75" customHeight="1" x14ac:dyDescent="0.2">
      <c r="B159" s="6"/>
      <c r="D159" s="7"/>
    </row>
    <row r="160" spans="2:15" ht="12.75" customHeight="1" x14ac:dyDescent="0.2">
      <c r="B160" s="6"/>
      <c r="D160" s="7"/>
    </row>
    <row r="161" spans="1:15" ht="12.75" customHeight="1" x14ac:dyDescent="0.2">
      <c r="B161" s="6"/>
    </row>
    <row r="162" spans="1:15" ht="12.75" customHeight="1" x14ac:dyDescent="0.2">
      <c r="B162" s="6"/>
    </row>
    <row r="163" spans="1:15" ht="12.75" customHeight="1" x14ac:dyDescent="0.2">
      <c r="B163" s="6"/>
      <c r="C163" s="4"/>
    </row>
    <row r="164" spans="1:15" ht="12.75" customHeight="1" x14ac:dyDescent="0.2">
      <c r="B164" s="9"/>
    </row>
    <row r="165" spans="1:15" ht="12.75" customHeight="1" x14ac:dyDescent="0.2">
      <c r="B165" s="6"/>
    </row>
    <row r="166" spans="1:15" ht="12.75" customHeight="1" x14ac:dyDescent="0.2">
      <c r="B166" s="6"/>
      <c r="O166" s="240"/>
    </row>
    <row r="167" spans="1:15" ht="12.75" customHeight="1" x14ac:dyDescent="0.2">
      <c r="B167" s="6"/>
      <c r="O167" s="240"/>
    </row>
    <row r="168" spans="1:15" ht="12.75" customHeight="1" x14ac:dyDescent="0.2">
      <c r="B168" s="6"/>
      <c r="O168" s="240"/>
    </row>
    <row r="169" spans="1:15" ht="12.75" customHeight="1" x14ac:dyDescent="0.2">
      <c r="B169" s="6"/>
      <c r="O169" s="240"/>
    </row>
    <row r="170" spans="1:15" ht="12.75" customHeight="1" x14ac:dyDescent="0.2">
      <c r="A170" s="7"/>
      <c r="O170" s="240"/>
    </row>
    <row r="171" spans="1:15" ht="12.75" customHeight="1" x14ac:dyDescent="0.2">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45406</v>
      </c>
      <c r="BY3" s="2"/>
      <c r="BZ3" s="2"/>
      <c r="CA3" s="2"/>
      <c r="CB3" s="2"/>
      <c r="CC3" s="2"/>
      <c r="CD3" s="2"/>
      <c r="CE3" s="2"/>
    </row>
    <row r="4" spans="1:83" ht="12.75" customHeight="1" x14ac:dyDescent="0.2">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3.283081708951598E-24</v>
      </c>
      <c r="CE4" s="2"/>
    </row>
    <row r="5" spans="1:83" ht="12.75" customHeight="1" x14ac:dyDescent="0.3">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3.437823812358734E-25</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1.0749118166925456E-20</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8.4425097593197189E-20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2">
      <c r="A11" s="17"/>
      <c r="B11" s="452" t="s">
        <v>136</v>
      </c>
      <c r="C11" s="453">
        <f>SUM(C12,C15:C17)</f>
        <v>33452.734739918604</v>
      </c>
      <c r="D11" s="446">
        <f t="shared" ref="D11:D17" si="0">C11/$C$103</f>
        <v>1.2832201024235786E-6</v>
      </c>
      <c r="E11" s="453">
        <f>SUM(E12,E15:E17)</f>
        <v>123524.4925784465</v>
      </c>
      <c r="F11" s="446">
        <f t="shared" ref="F11:F17" si="1">E11/$E$103</f>
        <v>5.7698318232708959E-5</v>
      </c>
      <c r="G11" s="445">
        <f>SUM(G12,G15:G17)</f>
        <v>98891.857421306893</v>
      </c>
      <c r="H11" s="446">
        <f t="shared" ref="H11:H17" si="2">G11/$G$103</f>
        <v>5.3707324228878533E-6</v>
      </c>
      <c r="I11" s="445">
        <f>SUM(I12,I15:I17)</f>
        <v>23759.071616656522</v>
      </c>
      <c r="J11" s="446">
        <f t="shared" ref="J11:J17" si="3">I11/$I$103</f>
        <v>2.0093410474949776E-6</v>
      </c>
      <c r="K11" s="445">
        <f>SUM(K12,K15:K17)</f>
        <v>41927.598265414745</v>
      </c>
      <c r="L11" s="461">
        <f t="shared" ref="L11:L17" si="4">K11/$K$103</f>
        <v>9.5635585061073003E-7</v>
      </c>
      <c r="M11" s="459">
        <f xml:space="preserve"> (M.aRG+M.aRS+M.aRA+M.aRP+M.cwRS+M.cwRA+M.cwRP)*(Molweight*1000)/(VOLUME.aR+VOLUME.cwR)</f>
        <v>1.4571910415089785E-7</v>
      </c>
      <c r="N11" s="459">
        <f xml:space="preserve"> (M.aCG+M.aCS+M.aCA+M.aCP+M.cwCS+M.cwCA+M.cwCP)*Molweight*1000/(VOLUME.aC+VOLUME.cwC)</f>
        <v>1.7157966812995471E-8</v>
      </c>
      <c r="O11" s="459">
        <f xml:space="preserve"> (M.aMG+M.aMS+M.aMA+M.aMP+M.cwMS+M.cwMA+M.cwMP)*Molweight*1000/(VOLUME.aM+VOLUME.cwM)</f>
        <v>1.2748530758629143E-9</v>
      </c>
      <c r="P11" s="459">
        <f xml:space="preserve"> (M.aAG+M.aAS+M.aAA+M.aAP+M.cwAS+M.cwAA+M.cwAP)*Molweight*1000/(VOLUME.aA+VOLUME.cwA)</f>
        <v>5.5903697921549793E-10</v>
      </c>
      <c r="Q11" s="459">
        <f xml:space="preserve"> (M.aTG+M.aTS+M.aTA+M.aTP+M.cwTS+M.cwTA+M.cwTP)*Molweight*1000/(VOLUME.aT+VOLUME.cwT)</f>
        <v>3.2884390796406679E-10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25">
      <c r="A12" s="17"/>
      <c r="B12" s="443" t="s">
        <v>140</v>
      </c>
      <c r="C12" s="295">
        <f>(M.aRG)*Molweight</f>
        <v>8.9621887827510443E-15</v>
      </c>
      <c r="D12" s="446">
        <f t="shared" si="0"/>
        <v>3.437823812358734E-25</v>
      </c>
      <c r="E12" s="296">
        <f>(M.aCG)*Molweight</f>
        <v>3.5783883767191585E-14</v>
      </c>
      <c r="F12" s="446">
        <f t="shared" si="1"/>
        <v>1.6714660146371227E-23</v>
      </c>
      <c r="G12" s="296">
        <f>(M.aMG)*Molweight</f>
        <v>1.7872937137083668E-12</v>
      </c>
      <c r="H12" s="446">
        <f t="shared" si="2"/>
        <v>9.7066397049682502E-23</v>
      </c>
      <c r="I12" s="296">
        <f>(M.aAG)*Molweight</f>
        <v>7.784082476533806E-14</v>
      </c>
      <c r="J12" s="446">
        <f t="shared" si="3"/>
        <v>6.5831176779738117E-24</v>
      </c>
      <c r="K12" s="296">
        <f>(M.aTG)*Molweight</f>
        <v>3.9880035552856886E-11</v>
      </c>
      <c r="L12" s="461">
        <f t="shared" si="4"/>
        <v>9.0965156368136476E-22</v>
      </c>
      <c r="M12" s="124">
        <f>(M.aRG)*(Molweight*1000)/(VOLUME.aR + VOLUME.cwR)</f>
        <v>3.9039024187619682E-26</v>
      </c>
      <c r="N12" s="124">
        <f>(M.aCG)*(Molweight*1000)/(VOLUME.aC + VOLUME.cwC)</f>
        <v>4.9705016171399526E-27</v>
      </c>
      <c r="O12" s="124">
        <f>(M.aMG)*(Molweight*1000)/(VOLUME.aM + VOLUME.cwM)</f>
        <v>2.3040692609143338E-26</v>
      </c>
      <c r="P12" s="124">
        <f>(M.aAG)*(Molweight*1000)/(VOLUME.aA + VOLUME.cwA)</f>
        <v>1.8315488180081195E-27</v>
      </c>
      <c r="Q12" s="124">
        <f>(M.aTG)*(Molweight*1000)/(VOLUME.aT + VOLUME.cwT)</f>
        <v>3.1278459257145473E-25</v>
      </c>
      <c r="R12" s="160" t="s">
        <v>137</v>
      </c>
      <c r="S12" s="163">
        <f>F.aR</f>
        <v>8.5753782491050516E-25</v>
      </c>
      <c r="T12" s="163">
        <f>F.aC</f>
        <v>1.0918288133923342E-25</v>
      </c>
      <c r="U12" s="163">
        <f>F.aM</f>
        <v>5.0611576071981331E-25</v>
      </c>
      <c r="V12" s="163">
        <f>F.aA</f>
        <v>3.7126475192614559E-26</v>
      </c>
      <c r="W12" s="162">
        <f>F.aT</f>
        <v>7.1840788084763949E-24</v>
      </c>
      <c r="X12" s="17"/>
      <c r="Y12" s="156"/>
      <c r="Z12" s="17"/>
      <c r="AA12" s="312" t="s">
        <v>141</v>
      </c>
      <c r="AB12" s="162" t="s">
        <v>110</v>
      </c>
      <c r="AC12" s="161">
        <f>E.aRG*Molweight</f>
        <v>0</v>
      </c>
      <c r="AD12" s="163">
        <f>k.aC.aR*M.aC*Molweight</f>
        <v>1.0749118166925456E-20</v>
      </c>
      <c r="AE12" s="163">
        <f>k.aR.aC*M.aR*Molweight</f>
        <v>8.4425097593197189E-20</v>
      </c>
      <c r="AF12" s="163">
        <f>kesc.aR*VOLUME.aR*C.aRG*Molweight</f>
        <v>3.283081708951598E-24</v>
      </c>
      <c r="AG12" s="163"/>
      <c r="AH12" s="162">
        <f>KDEG.aR*VOLUME.aR*C.aR*Molweight</f>
        <v>3.4131297729343234E-47</v>
      </c>
      <c r="AI12" s="163">
        <f>SUM(AI13:AI15,AK18:AK20)</f>
        <v>6.1532749465777191E-20</v>
      </c>
      <c r="AJ12" s="163">
        <f>SUM(AJ13:AJ15,AL18:AL20)</f>
        <v>1.352120119737579E-19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3.4131297729343234E-47</v>
      </c>
      <c r="BS12" s="113"/>
      <c r="BT12" s="113"/>
      <c r="BU12" s="113"/>
      <c r="BV12" s="113"/>
      <c r="BW12" s="113"/>
      <c r="BX12" s="2"/>
      <c r="BY12" s="2"/>
      <c r="BZ12" s="2"/>
      <c r="CA12" s="2"/>
      <c r="CB12" s="113"/>
      <c r="CC12" s="113"/>
      <c r="CD12" s="113"/>
      <c r="CE12" s="2"/>
    </row>
    <row r="13" spans="1:83" ht="12.75" customHeight="1" x14ac:dyDescent="0.2">
      <c r="A13" s="17"/>
      <c r="B13" s="159" t="s">
        <v>142</v>
      </c>
      <c r="C13" s="295">
        <f>FRgas.aR*C12</f>
        <v>3.7934483037281149E-27</v>
      </c>
      <c r="D13" s="446">
        <f t="shared" si="0"/>
        <v>1.4551363763512706E-37</v>
      </c>
      <c r="E13" s="296">
        <f>FRgas.aC*E12</f>
        <v>1.5146334948747722E-26</v>
      </c>
      <c r="F13" s="446">
        <f t="shared" si="1"/>
        <v>7.0748564571277225E-36</v>
      </c>
      <c r="G13" s="296">
        <f>FRgas.aC*G12</f>
        <v>7.565123287271045E-25</v>
      </c>
      <c r="H13" s="446">
        <f t="shared" si="2"/>
        <v>4.1085539276499105E-35</v>
      </c>
      <c r="I13" s="296">
        <f>FRgas.aC*I12</f>
        <v>3.2947882690798217E-26</v>
      </c>
      <c r="J13" s="446">
        <f t="shared" si="3"/>
        <v>2.7864528625881799E-36</v>
      </c>
      <c r="K13" s="296">
        <f>FRgas.aC*K12</f>
        <v>1.6880123470704653E-23</v>
      </c>
      <c r="L13" s="461">
        <f t="shared" si="4"/>
        <v>3.850305170844063E-34</v>
      </c>
      <c r="M13" s="124">
        <f>FRgas.aR*M12</f>
        <v>1.6524146463947625E-38</v>
      </c>
      <c r="N13" s="124">
        <f>FRgas.aC*N12</f>
        <v>2.1038767856025398E-39</v>
      </c>
      <c r="O13" s="124">
        <f>FRgas.aM*O12</f>
        <v>9.7524922107304871E-39</v>
      </c>
      <c r="P13" s="124">
        <f>FRgas.aA*P12</f>
        <v>4.0295795013043112E-44</v>
      </c>
      <c r="Q13" s="124">
        <f>FRgas.aT*Q12</f>
        <v>5.2481503004879692E-37</v>
      </c>
      <c r="R13" s="160" t="s">
        <v>137</v>
      </c>
      <c r="S13" s="163">
        <f>S12*FRgas.aR</f>
        <v>3.6297220312412348E-37</v>
      </c>
      <c r="T13" s="163">
        <f>T12*FRgas.aC</f>
        <v>4.621411421388582E-38</v>
      </c>
      <c r="U13" s="163">
        <f>U12*FRgas.aM</f>
        <v>2.1422489757053502E-37</v>
      </c>
      <c r="V13" s="163">
        <f>V12*FRgas.aA</f>
        <v>8.1681734017083371E-43</v>
      </c>
      <c r="W13" s="162">
        <f>W12*FRgas.aT</f>
        <v>1.2054022561492212E-35</v>
      </c>
      <c r="X13" s="17"/>
      <c r="Y13" s="156"/>
      <c r="Z13" s="17"/>
      <c r="AA13" s="312" t="s">
        <v>143</v>
      </c>
      <c r="AB13" s="162" t="s">
        <v>144</v>
      </c>
      <c r="AC13" s="938">
        <f>E.w0RD*Molweight</f>
        <v>0</v>
      </c>
      <c r="AD13" s="163">
        <f>k.w1R.w0R*M.w1RD*Molweight</f>
        <v>0</v>
      </c>
      <c r="AE13" s="163">
        <f>(k.w0R.w1R+k.w0R.w2R)*M.w0RD*Molweight</f>
        <v>4.5112574131194044E-3</v>
      </c>
      <c r="AF13" s="163"/>
      <c r="AG13" s="163">
        <f>(kdis.w0S.w0D*M.w0RS+kdis.w0A.w0D*M.w0RA+kdis.w0P.w0D*M.w0RP)*Molweight</f>
        <v>5.052094992057482E-4</v>
      </c>
      <c r="AH13" s="162">
        <f>KDEG.w0R*M.w0RD*Molweight</f>
        <v>7.2945447267858639E-15</v>
      </c>
      <c r="AI13" s="163">
        <f>k.aRG.w0RD*M.aRG*Molweight</f>
        <v>1.5316178665979821E-22</v>
      </c>
      <c r="AJ13" s="163">
        <f>k.w0RD.aRG*M.w0R*Molweight</f>
        <v>1.0035983724304475E-21</v>
      </c>
      <c r="AK13" s="163"/>
      <c r="AL13" s="163"/>
      <c r="AM13" s="163"/>
      <c r="AN13" s="163">
        <f>k.w0RD.sd0RD*M.w0RD*Molweight</f>
        <v>2.5208025823710761E-2</v>
      </c>
      <c r="AO13" s="162">
        <f>k.sd0RD.w0RD*M.sd0RD*Molweight</f>
        <v>0</v>
      </c>
      <c r="AP13" s="909">
        <f>SUM(AC13,AD13,AI13,AM13,AO13,AG13)-SUM(AF13,AE13,AH13,AJ13,AN13)</f>
        <v>-2.9214073737631709E-2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2">
      <c r="A14" s="17"/>
      <c r="B14" s="159" t="s">
        <v>145</v>
      </c>
      <c r="C14" s="295">
        <f>(1-FRgas.aR)*C12</f>
        <v>8.9621887827472515E-15</v>
      </c>
      <c r="D14" s="446">
        <f t="shared" si="0"/>
        <v>3.4378238123572788E-25</v>
      </c>
      <c r="E14" s="296">
        <f>(1-FRgas.aC)*E12</f>
        <v>3.5783883767176439E-14</v>
      </c>
      <c r="F14" s="446">
        <f t="shared" si="1"/>
        <v>1.6714660146364154E-23</v>
      </c>
      <c r="G14" s="296">
        <f>(1-FRgas.aC)*G12</f>
        <v>1.7872937137076103E-12</v>
      </c>
      <c r="H14" s="446">
        <f t="shared" si="2"/>
        <v>9.7066397049641407E-23</v>
      </c>
      <c r="I14" s="296">
        <f>(1-FRgas.aC)*I12</f>
        <v>7.7840824765305117E-14</v>
      </c>
      <c r="J14" s="446">
        <f t="shared" si="3"/>
        <v>6.5831176779710257E-24</v>
      </c>
      <c r="K14" s="296">
        <f>(1-FRgas.aC)*K12</f>
        <v>3.9880035552840007E-11</v>
      </c>
      <c r="L14" s="461">
        <f t="shared" si="4"/>
        <v>9.0965156368097976E-22</v>
      </c>
      <c r="M14" s="124">
        <f>(1-FRgas.aR)*M12</f>
        <v>3.9039024187603157E-26</v>
      </c>
      <c r="N14" s="124">
        <f>(1-FRgas.aC)*N12</f>
        <v>4.970501617137849E-27</v>
      </c>
      <c r="O14" s="124">
        <f>(1-FRgas.aM)*O12</f>
        <v>2.3040692609133586E-26</v>
      </c>
      <c r="P14" s="124">
        <f>(1-FRgas.aA)*P12</f>
        <v>1.8315488180081195E-27</v>
      </c>
      <c r="Q14" s="124">
        <f>(1-FRgas.aT)*Q12</f>
        <v>3.1278459257092993E-25</v>
      </c>
      <c r="R14" s="160" t="s">
        <v>137</v>
      </c>
      <c r="S14" s="163">
        <f>S12*(1-FRgas.aR)</f>
        <v>8.5753782491014222E-25</v>
      </c>
      <c r="T14" s="163">
        <f>T12*(1-FRgas.aC)</f>
        <v>1.0918288133918721E-25</v>
      </c>
      <c r="U14" s="163">
        <f>U12*(1-FRgas.aM)</f>
        <v>5.0611576071959915E-25</v>
      </c>
      <c r="V14" s="163">
        <f>V12*(1-FRgas.aA)</f>
        <v>3.7126475192614559E-26</v>
      </c>
      <c r="W14" s="162">
        <f>W12*(1-FRgas.aT)</f>
        <v>7.1840788084643402E-24</v>
      </c>
      <c r="X14" s="17"/>
      <c r="Y14" s="156"/>
      <c r="Z14" s="17"/>
      <c r="AA14" s="312" t="s">
        <v>146</v>
      </c>
      <c r="AB14" s="162" t="s">
        <v>111</v>
      </c>
      <c r="AC14" s="161">
        <f>E.w1RD*Molweight</f>
        <v>0</v>
      </c>
      <c r="AD14" s="163">
        <f>(WATERflow.w0R.w1R*C.w0R+WATERflow.w1C.w1R*C.w1C)*Molweight</f>
        <v>4.5112574131194044E-3</v>
      </c>
      <c r="AE14" s="163">
        <f>(WATERflow.w1R.w0R+WATERflow.w1R.w2R)*C.w1R*Molweight</f>
        <v>6.2806186317762164E-2</v>
      </c>
      <c r="AF14" s="163"/>
      <c r="AG14" s="163">
        <f>(kdis.w1S.w1D*M.w1RS+kdis.w1A.w1D*M.w1RA+kdis.w1P.w1D*M.w1RP)*Molweight</f>
        <v>0.15722572769008825</v>
      </c>
      <c r="AH14" s="162">
        <f>KDEG.w1R*VOLUME.w1R*C.w1R*Molweight</f>
        <v>1.4478082235876079E-15</v>
      </c>
      <c r="AI14" s="163">
        <f>k.aRG.w1RD*M.aRG*Molweight</f>
        <v>1.6847796532577808E-21</v>
      </c>
      <c r="AJ14" s="163">
        <f>k.w1RD.aRG*M.w1R*Molweight</f>
        <v>6.6397471498959131E-21</v>
      </c>
      <c r="AK14" s="163"/>
      <c r="AL14" s="163"/>
      <c r="AM14" s="163">
        <f>(k.s1RD.w1RD*M.s1R+k.s2RD.w1RD*M.s2R+k.s3RD.w1RD*M.s3R)*Molweight</f>
        <v>0.32135481111394892</v>
      </c>
      <c r="AN14" s="163">
        <f>k.w1RD.sd1RD*M.w1R*Molweight</f>
        <v>4.9842152091523841</v>
      </c>
      <c r="AO14" s="162">
        <f>k.sd1RD.w1RD*M.sd1R*Molweight</f>
        <v>4.563929599252992</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3.7090711286275303E-21</v>
      </c>
      <c r="BY14" s="113"/>
      <c r="BZ14" s="138">
        <f>IF(AL20&lt;0,"",AL20)</f>
        <v>1.3737292709178179E-21</v>
      </c>
      <c r="CA14" s="113"/>
      <c r="CB14" s="136">
        <f>IF(AL19&lt;0,"",AL19)</f>
        <v>1.2211717101850333E-19</v>
      </c>
      <c r="CC14" s="140"/>
      <c r="CD14" s="113"/>
      <c r="CE14" s="2"/>
    </row>
    <row r="15" spans="1:83" ht="12.75" customHeight="1" x14ac:dyDescent="0.25">
      <c r="A15" s="17"/>
      <c r="B15" s="159" t="s">
        <v>147</v>
      </c>
      <c r="C15" s="295">
        <f>(M.aRS+M.cwRS)*Molweight</f>
        <v>6088.0683598167625</v>
      </c>
      <c r="D15" s="446">
        <f t="shared" si="0"/>
        <v>2.3353342454611002E-7</v>
      </c>
      <c r="E15" s="296">
        <f>(M.aCS+M.cwCS)*Molweight</f>
        <v>1256.9291759152388</v>
      </c>
      <c r="F15" s="446">
        <f t="shared" si="1"/>
        <v>5.8711190043445996E-7</v>
      </c>
      <c r="G15" s="296">
        <f>(M.aMS+M.cwMS)*Molweight</f>
        <v>38.559002500769992</v>
      </c>
      <c r="H15" s="446">
        <f t="shared" si="2"/>
        <v>2.0941065354130997E-9</v>
      </c>
      <c r="I15" s="296">
        <f>(M.aAS+M.cwAS)*Molweight</f>
        <v>0.34113600913169323</v>
      </c>
      <c r="J15" s="446">
        <f t="shared" si="3"/>
        <v>2.8850394366688365E-11</v>
      </c>
      <c r="K15" s="296">
        <f>(M.aTS+M.cwTS)*Molweight</f>
        <v>0.55636457232859671</v>
      </c>
      <c r="L15" s="461">
        <f t="shared" si="4"/>
        <v>1.2690507823766633E-11</v>
      </c>
      <c r="M15" s="124">
        <f>(M.aRS+M.cwRS)*(Molweight*1000)/(VOLUME.aR + VOLUME.cwR)</f>
        <v>2.6519442260823758E-8</v>
      </c>
      <c r="N15" s="124">
        <f>(M.aCS+M.cwCS)*(Molweight*1000)/(VOLUME.aC + VOLUME.cwC)</f>
        <v>1.745916832885859E-10</v>
      </c>
      <c r="O15" s="124">
        <f>(M.aMS+M.cwMS)*(Molweight*1000)/(VOLUME.aM + VOLUME.cwM)</f>
        <v>4.9707897315437845E-13</v>
      </c>
      <c r="P15" s="124">
        <f>(M.aAS+M.cwAS)*(Molweight*1000)/(VOLUME.aA + VOLUME.cwA)</f>
        <v>8.0267296266287968E-15</v>
      </c>
      <c r="Q15" s="124">
        <f>(M.aTS+M.cwTS)*(Molweight*1000)/(VOLUME.aT + VOLUME.cwT)</f>
        <v>4.3636437045384053E-15</v>
      </c>
      <c r="R15" s="160" t="s">
        <v>137</v>
      </c>
      <c r="S15" s="163"/>
      <c r="T15" s="163"/>
      <c r="U15" s="163"/>
      <c r="V15" s="163"/>
      <c r="W15" s="162"/>
      <c r="X15" s="17"/>
      <c r="Y15" s="156"/>
      <c r="Z15" s="17"/>
      <c r="AA15" s="312" t="s">
        <v>148</v>
      </c>
      <c r="AB15" s="162" t="s">
        <v>112</v>
      </c>
      <c r="AC15" s="161">
        <f>E.w2RD*Molweight</f>
        <v>0</v>
      </c>
      <c r="AD15" s="163">
        <f>(k.w1R.w2R*M.w1R+k.w2C.w2R*M.w2C)*Molweight</f>
        <v>6.4126638547695666E-2</v>
      </c>
      <c r="AE15" s="163">
        <f>k.w2R.w2C*M.w2R*Molweight</f>
        <v>0.13334469490710132</v>
      </c>
      <c r="AF15" s="163"/>
      <c r="AG15" s="163">
        <f>(kdis.w2S.w2D*M.w2RS+kdis.w2A.w2D*M.w2RA+kdis.w2P.w2D*M.w2RP)*Molweight</f>
        <v>7.7679724630738897E-2</v>
      </c>
      <c r="AH15" s="162">
        <f>KDEG.w2R*M.w2RD*Molweight</f>
        <v>2.6798194232240179E-16</v>
      </c>
      <c r="AI15" s="163">
        <f>k.aRG.w2RD*M.aRG*Molweight</f>
        <v>2.6803480187215892E-22</v>
      </c>
      <c r="AJ15" s="163">
        <f>k.w2RD.aRG*M.w2R*Molweight</f>
        <v>3.6869503338286624E-22</v>
      </c>
      <c r="AK15" s="163"/>
      <c r="AL15" s="163"/>
      <c r="AM15" s="163"/>
      <c r="AN15" s="163">
        <f>k.w2RD.sd2RD*M.w2R*Molweight</f>
        <v>9.2404746672635735E-2</v>
      </c>
      <c r="AO15" s="162">
        <f>k.sd2RD.w2RD*M.sd2R*Molweight</f>
        <v>8.3943078401302759E-2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1.0035983724304475E-21</v>
      </c>
      <c r="BW15" s="2"/>
      <c r="BX15" s="137"/>
      <c r="BY15" s="113"/>
      <c r="BZ15" s="113"/>
      <c r="CA15" s="113"/>
      <c r="CB15" s="2"/>
      <c r="CC15" s="137"/>
      <c r="CD15" s="113"/>
      <c r="CE15" s="2"/>
    </row>
    <row r="16" spans="1:83" ht="12.75" customHeight="1" thickBot="1" x14ac:dyDescent="0.25">
      <c r="A16" s="17"/>
      <c r="B16" s="159" t="s">
        <v>150</v>
      </c>
      <c r="C16" s="295">
        <f>(M.aRA+M.cwRA)*Molweight</f>
        <v>27342.755103268799</v>
      </c>
      <c r="D16" s="446">
        <f t="shared" si="0"/>
        <v>1.0488461788533821E-6</v>
      </c>
      <c r="E16" s="296">
        <f>(M.aCA+M.cwCA)*Molweight</f>
        <v>122259.89672923597</v>
      </c>
      <c r="F16" s="446">
        <f t="shared" si="1"/>
        <v>5.7107625227455977E-5</v>
      </c>
      <c r="G16" s="296">
        <f>(M.aMA+M.cwMA)*Molweight</f>
        <v>98853.005599950135</v>
      </c>
      <c r="H16" s="446">
        <f t="shared" si="2"/>
        <v>5.3686224136101429E-6</v>
      </c>
      <c r="I16" s="296">
        <f>(M.aAA+M.cwAA)*Molweight</f>
        <v>23758.723130855171</v>
      </c>
      <c r="J16" s="446">
        <f t="shared" si="3"/>
        <v>2.0093115755174348E-6</v>
      </c>
      <c r="K16" s="296">
        <f>(M.aTA+M.cwTA)*Molweight</f>
        <v>41927.03924675053</v>
      </c>
      <c r="L16" s="461">
        <f t="shared" si="4"/>
        <v>9.5634309956387218E-7</v>
      </c>
      <c r="M16" s="124">
        <f>(M.aRA+M.cwRA)*(Molweight*1000)/(VOLUME.aR + VOLUME.cwR)</f>
        <v>1.1910421702866776E-7</v>
      </c>
      <c r="N16" s="124">
        <f>(M.aCA+M.cwCA)*(Molweight*1000)/(VOLUME.aC + VOLUME.cwC)</f>
        <v>1.6982310203041565E-8</v>
      </c>
      <c r="O16" s="124">
        <f>(M.aMA+M.cwMA)*(Molweight*1000)/(VOLUME.aM + VOLUME.cwM)</f>
        <v>1.2743522220489493E-9</v>
      </c>
      <c r="P16" s="124">
        <f>(M.aAA+M.cwAA)*(Molweight*1000)/(VOLUME.aA + VOLUME.cwA)</f>
        <v>5.5902877954958364E-10</v>
      </c>
      <c r="Q16" s="124">
        <f>(M.aTA+M.cwTA)*(Molweight*1000)/(VOLUME.aT + VOLUME.cwT)</f>
        <v>3.2883952350395528E-10</v>
      </c>
      <c r="R16" s="160" t="s">
        <v>137</v>
      </c>
      <c r="S16" s="163"/>
      <c r="T16" s="163"/>
      <c r="U16" s="163"/>
      <c r="V16" s="163"/>
      <c r="W16" s="162"/>
      <c r="X16" s="17"/>
      <c r="Y16" s="156"/>
      <c r="Z16" s="17"/>
      <c r="AA16" s="312" t="s">
        <v>151</v>
      </c>
      <c r="AB16" s="162" t="s">
        <v>113</v>
      </c>
      <c r="AC16" s="161"/>
      <c r="AD16" s="163"/>
      <c r="AE16" s="163"/>
      <c r="AF16" s="163">
        <f>NETsedrate.w1R*SYSTEMAREA.R*AREAFRAC.w1R*C.sd1R*Molweight</f>
        <v>0.4976436524196266</v>
      </c>
      <c r="AG16" s="163">
        <f>(kdis.sd1S.sd1D*M.sd1RS+kdis.sd1A.sd1D*M.sd1RA+kdis.sd1P.sd1D*M.sd1RP)*Molweight</f>
        <v>7.7358042520932216E-2</v>
      </c>
      <c r="AH16" s="162">
        <f>KDEG.sd1R*VOLUME.sd1R*C.sd1R*Molweight</f>
        <v>6.9803253578889285E-13</v>
      </c>
      <c r="AI16" s="163"/>
      <c r="AJ16" s="163"/>
      <c r="AK16" s="163"/>
      <c r="AL16" s="163"/>
      <c r="AM16" s="163"/>
      <c r="AN16" s="163">
        <f>k.w1RD.sd1RD*M.w1R*Molweight</f>
        <v>4.9842152091523841</v>
      </c>
      <c r="AO16" s="162">
        <f>k.sd1RD.w1RD*M.sd1R*Molweight</f>
        <v>4.563929599252992</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3.6869503338286624E-22</v>
      </c>
      <c r="BR16" s="113"/>
      <c r="BS16" s="113"/>
      <c r="BT16" s="138">
        <f>IF(AJ14&lt;0,"",AJ14)</f>
        <v>6.6397471498959131E-21</v>
      </c>
      <c r="BU16" s="113"/>
      <c r="BV16" s="113"/>
      <c r="BW16" s="2"/>
      <c r="BX16" s="137"/>
      <c r="BY16" s="113"/>
      <c r="BZ16" s="113"/>
      <c r="CA16" s="113"/>
      <c r="CB16" s="2"/>
      <c r="CC16" s="137"/>
      <c r="CD16" s="113"/>
      <c r="CE16" s="2"/>
    </row>
    <row r="17" spans="1:83" ht="12.75" customHeight="1" x14ac:dyDescent="0.2">
      <c r="A17" s="17"/>
      <c r="B17" s="159" t="s">
        <v>152</v>
      </c>
      <c r="C17" s="295">
        <f>(M.aRP+M.cwRP)*Molweight</f>
        <v>21.911276833047808</v>
      </c>
      <c r="D17" s="446">
        <f t="shared" si="0"/>
        <v>8.4049902408676463E-10</v>
      </c>
      <c r="E17" s="296">
        <f>(M.aCP+M.cwCP)*Molweight</f>
        <v>7.6666732952935508</v>
      </c>
      <c r="F17" s="446">
        <f t="shared" si="1"/>
        <v>3.5811048185211817E-9</v>
      </c>
      <c r="G17" s="296">
        <f>(M.aMP+M.cwMP)*Molweight</f>
        <v>0.29281885598445917</v>
      </c>
      <c r="H17" s="446">
        <f t="shared" si="2"/>
        <v>1.590274229726244E-11</v>
      </c>
      <c r="I17" s="296">
        <f>(M.aAP+M.cwAP)*Molweight</f>
        <v>7.3497922188262574E-3</v>
      </c>
      <c r="J17" s="446">
        <f t="shared" si="3"/>
        <v>6.2158317606540548E-13</v>
      </c>
      <c r="K17" s="296">
        <f>(M.aTP+M.cwTP)*Molweight</f>
        <v>2.6540918450999396E-3</v>
      </c>
      <c r="L17" s="461">
        <f t="shared" si="4"/>
        <v>6.0539033217490836E-14</v>
      </c>
      <c r="M17" s="124">
        <f>(M.aRP+M.cwRP)*(Molweight*1000)/(VOLUME.aR + VOLUME.cwR)</f>
        <v>9.5444861406323903E-11</v>
      </c>
      <c r="N17" s="124">
        <f>(M.aCP+M.cwCP)*(Molweight*1000)/(VOLUME.aC + VOLUME.cwC)</f>
        <v>1.0649266653185041E-12</v>
      </c>
      <c r="O17" s="124">
        <f>(M.aMP+M.cwMP)*(Molweight*1000)/(VOLUME.aM + VOLUME.cwM)</f>
        <v>3.7748408105237731E-15</v>
      </c>
      <c r="P17" s="124">
        <f>(M.aAP+M.cwAP)*(Molweight*1000)/(VOLUME.aA + VOLUME.cwA)</f>
        <v>1.7293628750180983E-16</v>
      </c>
      <c r="Q17" s="124">
        <f>(M.aTP+M.cwTP)*(Molweight*1000)/(VOLUME.aT + VOLUME.cwT)</f>
        <v>2.081640662823669E-17</v>
      </c>
      <c r="R17" s="160" t="s">
        <v>137</v>
      </c>
      <c r="S17" s="163"/>
      <c r="T17" s="163"/>
      <c r="U17" s="163"/>
      <c r="V17" s="163"/>
      <c r="W17" s="162"/>
      <c r="X17" s="17"/>
      <c r="Y17" s="156"/>
      <c r="Z17" s="17"/>
      <c r="AA17" s="312" t="s">
        <v>153</v>
      </c>
      <c r="AB17" s="162" t="s">
        <v>114</v>
      </c>
      <c r="AC17" s="161"/>
      <c r="AD17" s="163"/>
      <c r="AE17" s="163"/>
      <c r="AF17" s="163">
        <f>NETsedrate.w2R*SYSTEMAREA.R*AREAFRAC.w2R*C.sd2R*Molweight</f>
        <v>8.5966021211995886E-3</v>
      </c>
      <c r="AG17" s="163">
        <f>(kdis.sd2S.sd2D*M.sd2RS+kdis.sd2A.sd2D*M.sd2RA+kdis.sd2P.sd2D*M.sd2RP)*Molweight</f>
        <v>1.3493384990481111E-4</v>
      </c>
      <c r="AH17" s="162">
        <f>KDEG.sd2R*VOLUME.sd2R*C.sd2R*Molweight</f>
        <v>3.8185837737075851E-14</v>
      </c>
      <c r="AI17" s="163"/>
      <c r="AJ17" s="163"/>
      <c r="AK17" s="163"/>
      <c r="AL17" s="163"/>
      <c r="AM17" s="163"/>
      <c r="AN17" s="163">
        <f>k.w2RD.sd2RD*M.w2R*Molweight</f>
        <v>9.2404746672635735E-2</v>
      </c>
      <c r="AO17" s="162">
        <f>k.sd2RD.w2RD*M.sd2R*Molweight</f>
        <v>8.3943078401302759E-2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1.1702466319704589E-5</v>
      </c>
      <c r="AG18" s="163">
        <f>(kdis.s1S.s1D*M.s1RS+kdis.s1A.s1D*M.s1RA+kdis.s1P.s1D*M.s1RP)*Molweight</f>
        <v>1.0234070561875405E-2</v>
      </c>
      <c r="AH18" s="162">
        <f>KDEG.s1R*VOLUME.s1R*C.s1R*Molweight</f>
        <v>1.4254046725586445E-12</v>
      </c>
      <c r="AI18" s="163"/>
      <c r="AJ18" s="163"/>
      <c r="AK18" s="163">
        <f>k.aRG.s1RD*M.aR*Molweight</f>
        <v>1.6541472959254244E-20</v>
      </c>
      <c r="AL18" s="163">
        <f>k.s1RD.aRG*M.s1R*Molweight</f>
        <v>3.7090711286275303E-21</v>
      </c>
      <c r="AM18" s="163">
        <f>k.s1RD.w1RD*M.s1R*Molweight</f>
        <v>9.3705040862861032E-3</v>
      </c>
      <c r="AN18" s="163"/>
      <c r="AO18" s="162"/>
      <c r="AP18" s="909">
        <f>SUM(AC18,AD18,AK18,AG18)-SUM(AE18,AF18,AH18,AL18,AM18,AP17)</f>
        <v>8.518640078441931E-4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157</v>
      </c>
      <c r="C19" s="295">
        <f>SUM(C20,C23:C25)</f>
        <v>1885666.1513064757</v>
      </c>
      <c r="D19" s="446">
        <f t="shared" ref="D19:D25" si="5">C19/$C$103</f>
        <v>7.2332642775801319E-5</v>
      </c>
      <c r="E19" s="295">
        <f>SUM(E20,E23:E25)</f>
        <v>165295.85755706334</v>
      </c>
      <c r="F19" s="446">
        <f t="shared" ref="F19:F25" si="6">E19/$E$103</f>
        <v>7.7209732198002247E-5</v>
      </c>
      <c r="G19" s="296"/>
      <c r="H19" s="446"/>
      <c r="I19" s="296"/>
      <c r="J19" s="446"/>
      <c r="K19" s="296"/>
      <c r="L19" s="461"/>
      <c r="M19" s="459">
        <f>(M.w0RD+M.w0RS+M.w0RA+M.w0RP)*Molweight/(VOLUME.w0R)</f>
        <v>3.2999363893887666E-5</v>
      </c>
      <c r="N19" s="459">
        <f>(M.w0CD+M.w0CS+M.w0CA+M.w0CP)*Molweight/(VOLUME.w0C)</f>
        <v>1.8967693015980462E-7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3.8529109616467259E-4</v>
      </c>
      <c r="AG19" s="163">
        <f>(kdis.s2S.s2D*M.s2RS+kdis.s2A.s2D*M.s2RA+kdis.s2P.s2D*M.s2RP)*Molweight</f>
        <v>0.33694574784034115</v>
      </c>
      <c r="AH19" s="162">
        <f>KDEG.s2R*VOLUME.s2R*C.s2R*Molweight</f>
        <v>1.0313037373356345E-10</v>
      </c>
      <c r="AI19" s="163"/>
      <c r="AJ19" s="163"/>
      <c r="AK19" s="163">
        <f>k.aRG.s2RD*M.aR*Molweight</f>
        <v>3.6758828798342752E-20</v>
      </c>
      <c r="AL19" s="163">
        <f>k.s2RD.aRG*M.s2R*Molweight</f>
        <v>1.2211717101850333E-19</v>
      </c>
      <c r="AM19" s="163">
        <f>k.s2RD.w1RD*M.s2R*Molweight</f>
        <v>0.30851375192095887</v>
      </c>
      <c r="AN19" s="163"/>
      <c r="AO19" s="162"/>
      <c r="AP19" s="909">
        <f>SUM(AC19,AD19,AK19,AG19)-SUM(AE19,AF19,AH19,AL19,AM19,AP18)</f>
        <v>2.719484071224304E-2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0.32135481111394892</v>
      </c>
      <c r="BU19" s="137"/>
      <c r="BV19" s="140"/>
      <c r="BW19" s="113"/>
      <c r="BX19" s="2"/>
      <c r="BY19" s="113"/>
      <c r="BZ19" s="140"/>
      <c r="CA19" s="137"/>
      <c r="CB19" s="2"/>
      <c r="CC19" s="2"/>
      <c r="CD19" s="78"/>
      <c r="CE19" s="2"/>
    </row>
    <row r="20" spans="1:83" ht="12.75" customHeight="1" x14ac:dyDescent="0.2">
      <c r="A20" s="17"/>
      <c r="B20" s="443" t="s">
        <v>140</v>
      </c>
      <c r="C20" s="295">
        <f>M.w0RD*Molweight</f>
        <v>1881838.8066155233</v>
      </c>
      <c r="D20" s="446">
        <f t="shared" si="5"/>
        <v>7.218582889990992E-5</v>
      </c>
      <c r="E20" s="295">
        <f>M.w0CD*Molweight</f>
        <v>163330.57926433985</v>
      </c>
      <c r="F20" s="446">
        <f t="shared" si="6"/>
        <v>7.6291750265978662E-5</v>
      </c>
      <c r="G20" s="296"/>
      <c r="H20" s="446"/>
      <c r="I20" s="296"/>
      <c r="J20" s="446"/>
      <c r="K20" s="296"/>
      <c r="L20" s="461"/>
      <c r="M20" s="124">
        <f>C.w0R*Molweight</f>
        <v>3.2932384943177549E-5</v>
      </c>
      <c r="N20" s="124">
        <f>C.w0C*Molweight</f>
        <v>1.8742177410820904E-7</v>
      </c>
      <c r="O20" s="124"/>
      <c r="P20" s="124"/>
      <c r="Q20" s="124"/>
      <c r="R20" s="160" t="s">
        <v>158</v>
      </c>
      <c r="S20" s="163">
        <f>F.w0R</f>
        <v>8.1820678355569299E-24</v>
      </c>
      <c r="T20" s="163">
        <f>F.w0C</f>
        <v>4.6565035367457686E-26</v>
      </c>
      <c r="U20" s="163"/>
      <c r="V20" s="163"/>
      <c r="W20" s="162"/>
      <c r="X20" s="17"/>
      <c r="Y20" s="156"/>
      <c r="Z20" s="17"/>
      <c r="AA20" s="312" t="s">
        <v>160</v>
      </c>
      <c r="AB20" s="162" t="s">
        <v>117</v>
      </c>
      <c r="AC20" s="161">
        <f>E.s3RD*Molweight</f>
        <v>0</v>
      </c>
      <c r="AD20" s="163"/>
      <c r="AE20" s="163"/>
      <c r="AF20" s="163">
        <f>(FRACinf.s3R*RAINrate.R/Ks3w.R*SYSTEMAREA.R*AREAFRAC.s3R*CORRleach.s3R)*C.s3R*Molweight</f>
        <v>4.3342443344451912E-6</v>
      </c>
      <c r="AG20" s="163">
        <f>(kdis.s3S.s3D*M.s3RS+kdis.s3A.s3D*M.s3RA+kdis.s3P.s3D*M.s3RP)*Molweight</f>
        <v>3.7903943612666181E-3</v>
      </c>
      <c r="AH20" s="162">
        <f>KDEG.s3R*VOLUME.s3R*C.s3R*Molweight</f>
        <v>5.2792735800712513E-13</v>
      </c>
      <c r="AI20" s="163"/>
      <c r="AJ20" s="163"/>
      <c r="AK20" s="163">
        <f>k.aRG.s3RD*M.aR*Molweight</f>
        <v>6.1264714663904594E-21</v>
      </c>
      <c r="AL20" s="163">
        <f>k.s3RD.aRG*M.s3R*Molweight</f>
        <v>1.3737292709178179E-21</v>
      </c>
      <c r="AM20" s="163">
        <f>k.s3RD.w1RD*M.s3R*Molweight</f>
        <v>3.470555106703892E-3</v>
      </c>
      <c r="AN20" s="163"/>
      <c r="AO20" s="162"/>
      <c r="AP20" s="909">
        <f>SUM(AC20,AD20,AK20,AG20)-SUM(AE20,AF20,AH20,AL20,AM20,AP19)</f>
        <v>-2.6879335702542688E-2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2.6803480187215892E-22</v>
      </c>
      <c r="BR20" s="113"/>
      <c r="BS20" s="113"/>
      <c r="BT20" s="138">
        <f>IF(AI14&lt;0,"",AI14)</f>
        <v>1.6847796532577808E-21</v>
      </c>
      <c r="BU20" s="137"/>
      <c r="BV20" s="136">
        <f>IF(AI13&lt;0,"",AI13)</f>
        <v>1.5316178665979821E-22</v>
      </c>
      <c r="BW20" s="114"/>
      <c r="BX20" s="299">
        <f>IF(AK18&lt;0,"",AK18)</f>
        <v>1.6541472959254244E-20</v>
      </c>
      <c r="BY20" s="113"/>
      <c r="BZ20" s="138">
        <f>IF(AK20&lt;0,"",AK20)</f>
        <v>6.1264714663904594E-21</v>
      </c>
      <c r="CA20" s="137"/>
      <c r="CB20" s="136">
        <f>IF(AK19&lt;0,"",AK19)</f>
        <v>3.6758828798342752E-20</v>
      </c>
      <c r="CC20" s="140"/>
      <c r="CD20" s="2"/>
      <c r="CE20" s="2"/>
    </row>
    <row r="21" spans="1:83" ht="12.75" customHeight="1" thickBot="1" x14ac:dyDescent="0.25">
      <c r="A21" s="17"/>
      <c r="B21" s="159" t="s">
        <v>161</v>
      </c>
      <c r="C21" s="295">
        <f>FRwD.w0R*C20</f>
        <v>1796127.5976554069</v>
      </c>
      <c r="D21" s="446">
        <f t="shared" si="5"/>
        <v>6.8898015595683873E-5</v>
      </c>
      <c r="E21" s="295">
        <f>FRw.w0C*E20</f>
        <v>155891.43975903851</v>
      </c>
      <c r="F21" s="446">
        <f t="shared" si="6"/>
        <v>7.2816926531877455E-5</v>
      </c>
      <c r="G21" s="296"/>
      <c r="H21" s="446"/>
      <c r="I21" s="296"/>
      <c r="J21" s="446"/>
      <c r="K21" s="296"/>
      <c r="L21" s="461"/>
      <c r="M21" s="124">
        <f>M20*FRwD.w0R</f>
        <v>3.1432429411653445E-5</v>
      </c>
      <c r="N21" s="124">
        <f>N20*FRw.w0C</f>
        <v>1.788853645136191E-7</v>
      </c>
      <c r="O21" s="124"/>
      <c r="P21" s="124"/>
      <c r="Q21" s="124"/>
      <c r="R21" s="160" t="s">
        <v>158</v>
      </c>
      <c r="S21" s="163">
        <f>S20*FRwD.w0R</f>
        <v>7.8094031187310814E-24</v>
      </c>
      <c r="T21" s="163">
        <f>T20*FRw.w0C</f>
        <v>4.4444160049877523E-26</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4.5112574131194044E-3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163</v>
      </c>
      <c r="C22" s="295">
        <f>(1-FRwD.w0R)*C20</f>
        <v>85711.208960116288</v>
      </c>
      <c r="D22" s="446">
        <f t="shared" si="5"/>
        <v>3.2878133042260448E-6</v>
      </c>
      <c r="E22" s="295">
        <f>(1-FRw.w0C)*E20</f>
        <v>7439.1395053013403</v>
      </c>
      <c r="F22" s="446">
        <f t="shared" si="6"/>
        <v>3.4748237341012032E-6</v>
      </c>
      <c r="G22" s="296"/>
      <c r="H22" s="446"/>
      <c r="I22" s="296"/>
      <c r="J22" s="446"/>
      <c r="K22" s="296"/>
      <c r="L22" s="461"/>
      <c r="M22" s="124">
        <f>M21*Kp.susp1R</f>
        <v>2.9860807941070773</v>
      </c>
      <c r="N22" s="124">
        <f>N21*Kp.susp1C</f>
        <v>1.6994109628793816E-2</v>
      </c>
      <c r="O22" s="124"/>
      <c r="P22" s="124"/>
      <c r="Q22" s="124"/>
      <c r="R22" s="160" t="s">
        <v>164</v>
      </c>
      <c r="S22" s="163">
        <f>S20*(1-FRwD.w0R)</f>
        <v>3.7266471682584838E-25</v>
      </c>
      <c r="T22" s="163">
        <f>T20*(1-FRw.w0C)</f>
        <v>2.1208753175801622E-27</v>
      </c>
      <c r="U22" s="163"/>
      <c r="V22" s="163"/>
      <c r="W22" s="162"/>
      <c r="X22" s="17"/>
      <c r="Y22" s="156"/>
      <c r="Z22" s="17"/>
      <c r="AA22" s="312" t="s">
        <v>141</v>
      </c>
      <c r="AB22" s="162" t="s">
        <v>118</v>
      </c>
      <c r="AC22" s="161">
        <f>E.aCG*Molweight</f>
        <v>0</v>
      </c>
      <c r="AD22" s="163">
        <f>(k.aR.aC*M.aR+k.aM.aC*M.aM)*Molweight</f>
        <v>3.1362983263207653E-19</v>
      </c>
      <c r="AE22" s="163">
        <f>(k.aC.aM+k.aC.aR)*M.aC*Molweight</f>
        <v>6.0194789158377576E-20</v>
      </c>
      <c r="AF22" s="163">
        <f>kesc.aC*VOLUME.aC*C.aC*Molweight</f>
        <v>1.3108562776252347E-23</v>
      </c>
      <c r="AG22" s="163"/>
      <c r="AH22" s="162">
        <f>KDEG.aC*VOLUME.aC*C.aC*Molweight</f>
        <v>1.362781370016311E-46</v>
      </c>
      <c r="AI22" s="163">
        <f>SUM(AI23:AI25,AK28:AK30)</f>
        <v>2.7901129904116926E-19</v>
      </c>
      <c r="AJ22" s="163">
        <f>SUM(AJ23:AJ25,AL28:AL30)</f>
        <v>2.5589364130246428E-20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6.2806186317762164E-2</v>
      </c>
      <c r="BO22" s="113"/>
      <c r="BP22" s="113"/>
      <c r="BQ22" s="137"/>
      <c r="BR22" s="113"/>
      <c r="BS22" s="130">
        <f>AD14</f>
        <v>4.5112574131194044E-3</v>
      </c>
      <c r="BT22" s="113"/>
      <c r="BU22" s="137"/>
      <c r="BV22" s="137"/>
      <c r="BW22" s="113"/>
      <c r="BX22" s="137"/>
      <c r="BY22" s="113"/>
      <c r="BZ22" s="137"/>
      <c r="CA22" s="137"/>
      <c r="CB22" s="113"/>
      <c r="CC22" s="137"/>
      <c r="CD22" s="113"/>
      <c r="CE22" s="2"/>
    </row>
    <row r="23" spans="1:83" ht="12.75" customHeight="1" x14ac:dyDescent="0.2">
      <c r="A23" s="17"/>
      <c r="B23" s="159" t="s">
        <v>147</v>
      </c>
      <c r="C23" s="295">
        <f>M.w0RS*Molweight</f>
        <v>0.20211887180655064</v>
      </c>
      <c r="D23" s="446">
        <f t="shared" si="5"/>
        <v>7.7531179856529473E-12</v>
      </c>
      <c r="E23" s="295">
        <f>M.w0CS*Molweight</f>
        <v>2.0276722699537262E-2</v>
      </c>
      <c r="F23" s="446">
        <f t="shared" si="6"/>
        <v>9.4712617280439919E-12</v>
      </c>
      <c r="G23" s="296"/>
      <c r="H23" s="446"/>
      <c r="I23" s="296"/>
      <c r="J23" s="446"/>
      <c r="K23" s="296"/>
      <c r="L23" s="461"/>
      <c r="M23" s="124">
        <f>C.w0RS*Molweight</f>
        <v>3.5371023635044082E-12</v>
      </c>
      <c r="N23" s="124">
        <f>C.w0CS*Molweight</f>
        <v>2.3267531154083106E-14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3.9154590919533532E-4</v>
      </c>
      <c r="AF23" s="163"/>
      <c r="AG23" s="163">
        <f>(kdis.w0S.w0D*M.w0CS+kdis.w0A.w0D*M.w0CA+kdis.w0P.w0D*M.w0CP)*Molweight</f>
        <v>2.5941673463950271E-4</v>
      </c>
      <c r="AH23" s="162">
        <f>KDEG.w0C*VOLUME.w0C*C.w0C*Molweight</f>
        <v>6.331159775785138E-16</v>
      </c>
      <c r="AI23" s="163">
        <f>k.aC.w0C*M.aC*Molweight</f>
        <v>3.3773960712913354E-22</v>
      </c>
      <c r="AJ23" s="163">
        <f>k.w0C.aC*M.w0C*Molweight</f>
        <v>8.7105390186218888E-23</v>
      </c>
      <c r="AK23" s="163"/>
      <c r="AL23" s="163"/>
      <c r="AM23" s="163"/>
      <c r="AN23" s="163">
        <f>k.w0C.sd0C*M.w0CD*Molweight</f>
        <v>2.1878821105310036E-3</v>
      </c>
      <c r="AO23" s="162">
        <f>k.sd0C.w0C*M.sd0CD*Molweight</f>
        <v>0</v>
      </c>
      <c r="AP23" s="909">
        <f>SUM(AC23,AD23,AI23,AM23,AO23,AG23)-SUM(AF23,AE23,AH23,AJ23,AN23)</f>
        <v>-2.3200112850874696E-3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0.13334469490710132</v>
      </c>
      <c r="BO23" s="132"/>
      <c r="BP23" s="130">
        <f>AD15</f>
        <v>6.4126638547695666E-2</v>
      </c>
      <c r="BQ23" s="301"/>
      <c r="BR23" s="134"/>
      <c r="BS23" s="135"/>
      <c r="BT23" s="55">
        <f>AH14</f>
        <v>1.4478082235876079E-15</v>
      </c>
      <c r="BU23" s="113"/>
      <c r="BV23" s="940">
        <f>AH13</f>
        <v>7.2945447267858639E-15</v>
      </c>
      <c r="BW23" s="113"/>
      <c r="BX23" s="137"/>
      <c r="BY23" s="113"/>
      <c r="BZ23" s="2"/>
      <c r="CA23" s="113"/>
      <c r="CB23" s="2"/>
      <c r="CC23" s="141"/>
      <c r="CD23" s="113"/>
      <c r="CE23" s="2"/>
    </row>
    <row r="24" spans="1:83" ht="12.75" customHeight="1" thickBot="1" x14ac:dyDescent="0.3">
      <c r="A24" s="17"/>
      <c r="B24" s="159" t="s">
        <v>150</v>
      </c>
      <c r="C24" s="295">
        <f>M.w0RA*Molweight</f>
        <v>3820.4969736415601</v>
      </c>
      <c r="D24" s="446">
        <f t="shared" si="5"/>
        <v>1.4655120294171873E-7</v>
      </c>
      <c r="E24" s="295">
        <f>M.w0CA*Molweight</f>
        <v>1964.2612461343579</v>
      </c>
      <c r="F24" s="446">
        <f t="shared" si="6"/>
        <v>9.1750686933332212E-7</v>
      </c>
      <c r="G24" s="296"/>
      <c r="H24" s="446"/>
      <c r="I24" s="296"/>
      <c r="J24" s="446"/>
      <c r="K24" s="296"/>
      <c r="L24" s="461"/>
      <c r="M24" s="124">
        <f>C.w0RA*Molweight</f>
        <v>6.6859114908195469E-8</v>
      </c>
      <c r="N24" s="124">
        <f>C.w0CA*Molweight</f>
        <v>2.2539889910430287E-9</v>
      </c>
      <c r="O24" s="124"/>
      <c r="P24" s="124"/>
      <c r="Q24" s="124"/>
      <c r="R24" s="160" t="s">
        <v>158</v>
      </c>
      <c r="S24" s="163"/>
      <c r="T24" s="163"/>
      <c r="U24" s="163"/>
      <c r="V24" s="163"/>
      <c r="W24" s="162"/>
      <c r="X24" s="17"/>
      <c r="Y24" s="156"/>
      <c r="Z24" s="17"/>
      <c r="AA24" s="312" t="s">
        <v>146</v>
      </c>
      <c r="AB24" s="162" t="s">
        <v>119</v>
      </c>
      <c r="AC24" s="161">
        <f>E.w1CD*Molweight</f>
        <v>0</v>
      </c>
      <c r="AD24" s="163">
        <f>k.w0C.w1C*M.w0C*Molweight</f>
        <v>3.9154590919533532E-4</v>
      </c>
      <c r="AE24" s="163">
        <f>(k.w1C.w0C+k.w1C.w1R+k.w1C.w2C)*M.w1C*Molweight</f>
        <v>3.1842163139792008E-3</v>
      </c>
      <c r="AF24" s="163"/>
      <c r="AG24" s="163">
        <f>(kdis.w1S.w1D*M.w1CS+kdis.w1A.w1D*M.w1CA+kdis.w1P.w1D*M.w1CP)*Molweight</f>
        <v>1.7516165432441373E-3</v>
      </c>
      <c r="AH24" s="162">
        <f>KDEG.w1C*VOLUME.w1C*C.w1C*Molweight</f>
        <v>7.3402555310974482E-17</v>
      </c>
      <c r="AI24" s="163">
        <f>k.aC.w1C*M.aC*Molweight</f>
        <v>3.7151356784204684E-21</v>
      </c>
      <c r="AJ24" s="163">
        <f>k.w1C.aC*M.w1C*Molweight</f>
        <v>3.3662911943781249E-22</v>
      </c>
      <c r="AK24" s="163"/>
      <c r="AL24" s="163"/>
      <c r="AM24" s="163">
        <f>(k.s1C.w1C*M.s1C+k.s2C.w1C*M.s2C+k.s3C.w1C*M.s3C)*Molweight</f>
        <v>2.5520124135962163E-2</v>
      </c>
      <c r="AN24" s="163">
        <f>k.w1C.sd1C*M.w1C*Molweight</f>
        <v>0.25269516128664965</v>
      </c>
      <c r="AO24" s="162">
        <f>k.sd1C.w1C*M.sd1C*Molweight</f>
        <v>0.22821609101222734</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152</v>
      </c>
      <c r="C25" s="295">
        <f>M.w0RP*Molweight</f>
        <v>6.645598439271823</v>
      </c>
      <c r="D25" s="446">
        <f t="shared" si="5"/>
        <v>2.5491983170309602E-10</v>
      </c>
      <c r="E25" s="295">
        <f>M.w0CP*Molweight</f>
        <v>0.99676986644767229</v>
      </c>
      <c r="F25" s="446">
        <f t="shared" si="6"/>
        <v>4.6559142853834094E-10</v>
      </c>
      <c r="G25" s="296"/>
      <c r="H25" s="446"/>
      <c r="I25" s="296"/>
      <c r="J25" s="446"/>
      <c r="K25" s="296"/>
      <c r="L25" s="461"/>
      <c r="M25" s="124">
        <f>C.w0RP*Molweight</f>
        <v>1.1629869955412911E-10</v>
      </c>
      <c r="N25" s="124">
        <f>C.w0CP*Molweight</f>
        <v>1.1437930214211464E-12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2.7748389292479785</v>
      </c>
      <c r="AE25" s="163">
        <f>(k.w2C.w2M+k.w2C.w2R)*M.w2C*Molweight</f>
        <v>2.5221841274668013</v>
      </c>
      <c r="AF25" s="163"/>
      <c r="AG25" s="163">
        <f>(kdis.w2S.w2D*M.w2CS+kdis.w2A.w2D*M.w2CA+kdis.w2P.w2D*M.w2CP)*Molweight</f>
        <v>9.770033573575479E-2</v>
      </c>
      <c r="AH25" s="162">
        <f>KDEG.w2C*VOLUME.w2C*C.w2C*Molweight</f>
        <v>2.189842456904874E-13</v>
      </c>
      <c r="AI25" s="163">
        <f>k.aC.w2C*M.aC*Molweight</f>
        <v>1.4391545618954348E-19</v>
      </c>
      <c r="AJ25" s="163">
        <f>k.w2C.aC*M.w2C*Molweight</f>
        <v>1.5064150045983666E-20</v>
      </c>
      <c r="AK25" s="163"/>
      <c r="AL25" s="163"/>
      <c r="AM25" s="163"/>
      <c r="AN25" s="163">
        <f>k.w2C.sd2C*M.w2C*Molweight</f>
        <v>3.7754752378022745</v>
      </c>
      <c r="AO25" s="162">
        <f>k.sd2C.w2C*M.sd2C*Molweight</f>
        <v>3.4251201002855631</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2.4682983282317543E-2</v>
      </c>
      <c r="AG26" s="163">
        <f>(kdis.sd1S.sd1D*M.sd1CS+kdis.sd1A.sd1D*M.sd1CA+kdis.sd1P.sd1D*M.sd1CP)*Molweight</f>
        <v>2.0391300793009276E-4</v>
      </c>
      <c r="AH26" s="162">
        <f>KDEG.sd1C*VOLUME.sd1C*C.sd1C*Molweight</f>
        <v>3.4876860088935613E-14</v>
      </c>
      <c r="AI26" s="163"/>
      <c r="AJ26" s="163"/>
      <c r="AK26" s="163"/>
      <c r="AL26" s="163"/>
      <c r="AM26" s="163"/>
      <c r="AN26" s="163">
        <f>k.w1C.sd1C*M.w1C*Molweight</f>
        <v>0.25269516128664965</v>
      </c>
      <c r="AO26" s="162">
        <f>k.sd1C.w1C*M.sd1C*Molweight</f>
        <v>0.22821609101222734</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4.563929599252992</v>
      </c>
      <c r="BT26" s="82">
        <f>IF(ISERROR(D36),0,D36)</f>
        <v>3.3164289850711923E-5</v>
      </c>
      <c r="BU26" s="113"/>
      <c r="BV26" s="82">
        <f>IF(ISERROR(F36),0,D20)</f>
        <v>7.218582889990992E-5</v>
      </c>
      <c r="BW26" s="2"/>
      <c r="BX26" s="76" t="s">
        <v>171</v>
      </c>
      <c r="BY26" s="42"/>
      <c r="BZ26" s="76" t="s">
        <v>172</v>
      </c>
      <c r="CA26" s="113"/>
      <c r="CB26" s="113"/>
      <c r="CC26" s="76" t="s">
        <v>173</v>
      </c>
      <c r="CD26" s="94"/>
      <c r="CE26" s="2"/>
    </row>
    <row r="27" spans="1:83" ht="12.75" customHeight="1" x14ac:dyDescent="0.25">
      <c r="A27" s="17"/>
      <c r="B27" s="104" t="s">
        <v>174</v>
      </c>
      <c r="C27" s="295">
        <f>SUM(C28,C31:C33)</f>
        <v>8707650.5229822248</v>
      </c>
      <c r="D27" s="446">
        <f t="shared" ref="D27:D33" si="7">C27/$C$103</f>
        <v>3.3401849752619559E-4</v>
      </c>
      <c r="E27" s="295">
        <f>SUM(E28,E31:E33)</f>
        <v>761644.08686654421</v>
      </c>
      <c r="F27" s="446">
        <f t="shared" ref="F27:F33" si="8">E27/$E$103</f>
        <v>3.557641240758665E-4</v>
      </c>
      <c r="G27" s="296"/>
      <c r="H27" s="446"/>
      <c r="I27" s="296"/>
      <c r="J27" s="446"/>
      <c r="K27" s="296"/>
      <c r="L27" s="461"/>
      <c r="M27" s="459">
        <f>((M.sd0RD+M.sd0RS+M.sd0RA+M.sd0RP)*Molweight*1000/(VOLUME.sd0R))/(FRACw.sdR*1000+FRACs.sdR*RHOsolid)</f>
        <v>0.39073035014722413</v>
      </c>
      <c r="N27" s="459">
        <f>((M.sd0CD+M.sd0CS+M.sd0CA+M.sd0CP)*Molweight*1000/(VOLUME.sd0C))/(FRACw.sdC*1000+FRACs.sdC*RHOsolid)</f>
        <v>2.2409904712414361E-3</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0.35036026435333717</v>
      </c>
      <c r="AG27" s="163">
        <f>(kdis.sd2S.sd2D*M.sd2CS+kdis.sd2A.sd2D*M.sd2CA+kdis.sd2P.sd2D*M.sd2CP)*Molweight</f>
        <v>5.1268381829885751E-6</v>
      </c>
      <c r="AH27" s="162">
        <f>KDEG.sd2C*VOLUME.sd2C*C.sd2C*Molweight</f>
        <v>1.5579249870930778E-12</v>
      </c>
      <c r="AI27" s="163"/>
      <c r="AJ27" s="163"/>
      <c r="AK27" s="163"/>
      <c r="AL27" s="163"/>
      <c r="AM27" s="163"/>
      <c r="AN27" s="163">
        <f>k.w2C.sd2C*M.w2C*Molweight</f>
        <v>3.7754752378022745</v>
      </c>
      <c r="AO27" s="162">
        <f>k.sd2C.w2C*M.sd2C*Molweight</f>
        <v>3.4251201002855631</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1.3463150482782573E-2</v>
      </c>
      <c r="BY27" s="42"/>
      <c r="BZ27" s="96">
        <f>IF(ISERROR(D92),0,D92)</f>
        <v>4.9863492113221847E-3</v>
      </c>
      <c r="CA27" s="113"/>
      <c r="CB27" s="113"/>
      <c r="CC27" s="96">
        <f>IF(ISERROR(D84),0,D84)</f>
        <v>0.97408109265437204</v>
      </c>
      <c r="CD27" s="2"/>
      <c r="CE27" s="2"/>
    </row>
    <row r="28" spans="1:83" ht="12.75" customHeight="1" x14ac:dyDescent="0.2">
      <c r="A28" s="17"/>
      <c r="B28" s="443" t="s">
        <v>140</v>
      </c>
      <c r="C28" s="295">
        <f>M.sd0RD*Molweight</f>
        <v>8707622.1373652499</v>
      </c>
      <c r="D28" s="446">
        <f t="shared" si="7"/>
        <v>3.3401740867667088E-4</v>
      </c>
      <c r="E28" s="295">
        <f>M.sd0CD*Molweight</f>
        <v>761634.76743643754</v>
      </c>
      <c r="F28" s="446">
        <f t="shared" si="8"/>
        <v>3.5575977096797011E-4</v>
      </c>
      <c r="G28" s="296"/>
      <c r="H28" s="446"/>
      <c r="I28" s="296"/>
      <c r="J28" s="446"/>
      <c r="K28" s="296"/>
      <c r="L28" s="461"/>
      <c r="M28" s="124">
        <f>C.sd0RD*(Molweight*1000)/(FRACw.sdR*1000+FRACs.sdR*RHOsolid)</f>
        <v>0.39072907642568111</v>
      </c>
      <c r="N28" s="124">
        <f>C.sd0CD*(Molweight*1000)/(FRACw.sdC*1000+FRACs.sdC*RHOsolid)</f>
        <v>2.2409630506201425E-3</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8.7883108135822771E-6</v>
      </c>
      <c r="AG28" s="163">
        <f>(kdis.s1S.s1D*M.s1CS+kdis.s1A.s1D*M.s1CA+kdis.s1P.s1D*M.s1CP)*Molweight</f>
        <v>7.6855758887724853E-3</v>
      </c>
      <c r="AH28" s="162">
        <f>KDEG.s1C*VOLUME.s1C*C.s1C*Molweight</f>
        <v>1.0704495065698308E-12</v>
      </c>
      <c r="AI28" s="163"/>
      <c r="AJ28" s="163"/>
      <c r="AK28" s="163">
        <f>k.aC.s1C*M.aC*Molweight</f>
        <v>3.6475877569938729E-20</v>
      </c>
      <c r="AL28" s="163">
        <f>k.s1C.aC*M.s1C*Molweight</f>
        <v>2.7854359087688438E-21</v>
      </c>
      <c r="AM28" s="163">
        <f>k.s1C.w1C*M.s1C*Molweight</f>
        <v>7.0370552788144164E-3</v>
      </c>
      <c r="AN28" s="163"/>
      <c r="AO28" s="162"/>
      <c r="AP28" s="909">
        <f>SUM(AC28,AD28,AK28,AG28)-SUM(AE28,AF28,AH28,AL28,AM28,AP27)</f>
        <v>6.397322980740373E-4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4.9842152091523841</v>
      </c>
      <c r="BT28" s="22">
        <f>AH16</f>
        <v>6.9803253578889285E-13</v>
      </c>
      <c r="BU28" s="113"/>
      <c r="BV28" s="113"/>
      <c r="BW28" s="113"/>
      <c r="BX28" s="2"/>
      <c r="BY28" s="42"/>
      <c r="BZ28" s="113"/>
      <c r="CA28" s="113"/>
      <c r="CB28" s="113"/>
      <c r="CC28" s="113"/>
      <c r="CD28" s="2"/>
      <c r="CE28" s="2"/>
    </row>
    <row r="29" spans="1:83" ht="12.75" customHeight="1" thickBot="1" x14ac:dyDescent="0.3">
      <c r="A29" s="17"/>
      <c r="B29" s="159" t="s">
        <v>178</v>
      </c>
      <c r="C29" s="295">
        <f>C28*FRACw.sdR</f>
        <v>6966097.7098922003</v>
      </c>
      <c r="D29" s="446">
        <f t="shared" si="7"/>
        <v>2.6721392694133671E-4</v>
      </c>
      <c r="E29" s="295">
        <f>E28*FRACw.sdC</f>
        <v>609307.81394915003</v>
      </c>
      <c r="F29" s="446">
        <f t="shared" si="8"/>
        <v>2.8460781677437609E-4</v>
      </c>
      <c r="G29" s="296"/>
      <c r="H29" s="446"/>
      <c r="I29" s="296"/>
      <c r="J29" s="446"/>
      <c r="K29" s="296"/>
      <c r="L29" s="461"/>
      <c r="M29" s="124">
        <f>M30/Kp.sd0R</f>
        <v>2.1386555373014197E-2</v>
      </c>
      <c r="N29" s="124">
        <f>N30/Kp.sd0C</f>
        <v>1.2265910899027344E-4</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1.9827872349417168E-5</v>
      </c>
      <c r="AG29" s="163">
        <f>(kdis.s2S.s2D*M.s2CS+kdis.s2A.s2D*M.s2CA+kdis.s2P.s2D*M.s2CP)*Molweight</f>
        <v>1.7339921278642204E-2</v>
      </c>
      <c r="AH29" s="162">
        <f>KDEG.s2C*VOLUME.s2C*C.s2C*Molweight</f>
        <v>5.3073011707044843E-12</v>
      </c>
      <c r="AI29" s="163"/>
      <c r="AJ29" s="163"/>
      <c r="AK29" s="163">
        <f>k.aC.s2C*M.aC*Molweight</f>
        <v>8.1057505710974922E-20</v>
      </c>
      <c r="AL29" s="163">
        <f>k.s2C.aC*M.s2C*Molweight</f>
        <v>6.2844008146815837E-21</v>
      </c>
      <c r="AM29" s="163">
        <f>k.s2C.w1C*M.s2C*Molweight</f>
        <v>1.5876752284236698E-2</v>
      </c>
      <c r="AN29" s="163"/>
      <c r="AO29" s="162"/>
      <c r="AP29" s="909">
        <f>SUM(AC29,AD29,AK29,AG29)-SUM(AE29,AF29,AH29,AL29,AM29,AP28)</f>
        <v>8.0360881867475031E-4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1.4254046725586445E-12</v>
      </c>
      <c r="BY29" s="42"/>
      <c r="BZ29" s="55">
        <f>AH20</f>
        <v>5.2792735800712513E-13</v>
      </c>
      <c r="CA29" s="2"/>
      <c r="CB29" s="113"/>
      <c r="CC29" s="22">
        <f>AH19</f>
        <v>1.0313037373356345E-10</v>
      </c>
      <c r="CD29" s="2"/>
      <c r="CE29" s="2"/>
    </row>
    <row r="30" spans="1:83" ht="12.75" customHeight="1" x14ac:dyDescent="0.2">
      <c r="A30" s="17"/>
      <c r="B30" s="159" t="s">
        <v>179</v>
      </c>
      <c r="C30" s="295">
        <f>C28*FRACs.sdR</f>
        <v>1741524.4274730496</v>
      </c>
      <c r="D30" s="446">
        <f t="shared" si="7"/>
        <v>6.6803481735334163E-5</v>
      </c>
      <c r="E30" s="295">
        <f>E28*FRACs.sdC</f>
        <v>152326.95348728748</v>
      </c>
      <c r="F30" s="446">
        <f t="shared" si="8"/>
        <v>7.1151954193594008E-5</v>
      </c>
      <c r="G30" s="296"/>
      <c r="H30" s="446"/>
      <c r="I30" s="296"/>
      <c r="J30" s="446"/>
      <c r="K30" s="296"/>
      <c r="L30" s="461"/>
      <c r="M30" s="124">
        <f>C.sd0RD*FRACs.sdR/(FRACw.sdR/(Kp.sd0R*RHOsolid/1000)+FRACs.sdR)*(Molweight*1000*1000)/(FRACs.sdR*RHOsolid)</f>
        <v>1015.8613802181744</v>
      </c>
      <c r="N30" s="124">
        <f>C.sd0CD*FRACs.sdC/(FRACw.sdC/(Kp.sd0C*RHOsolid/1000)+FRACs.sdC)*(Molweight*1000*1000)/(FRACs.sdC*RHOsolid)</f>
        <v>5.8263076770379882</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3.2549296849053415E-6</v>
      </c>
      <c r="AG30" s="163">
        <f>(kdis.s3S.s3D*M.s3CS+kdis.s3A.s3D*M.s3CA+kdis.s3P.s3D*M.s3CP)*Molweight</f>
        <v>2.8465093732570582E-3</v>
      </c>
      <c r="AH30" s="162">
        <f>KDEG.s3C*VOLUME.s3C*C.s3C*Molweight</f>
        <v>3.9646275024109874E-13</v>
      </c>
      <c r="AI30" s="163"/>
      <c r="AJ30" s="163"/>
      <c r="AK30" s="163">
        <f>k.aC.s3C*M.aC*Molweight</f>
        <v>1.3509584285162487E-20</v>
      </c>
      <c r="AL30" s="163">
        <f>k.s3C.aC*M.s3C*Molweight</f>
        <v>1.031642851188301E-21</v>
      </c>
      <c r="AM30" s="163">
        <f>k.s3C.w1C*M.s3C*Molweight</f>
        <v>2.6063165729110498E-3</v>
      </c>
      <c r="AN30" s="163"/>
      <c r="AO30" s="162"/>
      <c r="AP30" s="909">
        <f>SUM(AC30,AD30,AK30,AG30)-SUM(AE30,AF30,AH30,AL30,AM30,AP29)</f>
        <v>-5.6667094841011002E-4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2">
      <c r="A31" s="17"/>
      <c r="B31" s="159" t="s">
        <v>147</v>
      </c>
      <c r="C31" s="295">
        <f>M.sd0RS*Molweight</f>
        <v>1.3189736069516908E-10</v>
      </c>
      <c r="D31" s="446">
        <f t="shared" si="7"/>
        <v>5.0594770806192809E-21</v>
      </c>
      <c r="E31" s="295">
        <f>M.sd0CS*Molweight</f>
        <v>1.3232046027425181E-11</v>
      </c>
      <c r="F31" s="446">
        <f t="shared" si="8"/>
        <v>6.1806916719400956E-21</v>
      </c>
      <c r="G31" s="296"/>
      <c r="H31" s="446"/>
      <c r="I31" s="296"/>
      <c r="J31" s="446"/>
      <c r="K31" s="296"/>
      <c r="L31" s="461"/>
      <c r="M31" s="124">
        <f>C.sd0RS*(Molweight*1000)/(FRACw.sdR*1000+FRACs.sdR*RHOsolid)</f>
        <v>5.918508303921665E-18</v>
      </c>
      <c r="N31" s="124">
        <f>C.sd0CS*(Molweight*1000)/(FRACw.sdC*1000+FRACs.sdC*RHOsolid)</f>
        <v>3.8932737185004531E-20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6.5930168829424346E-3</v>
      </c>
      <c r="BU31" s="113"/>
      <c r="BV31" s="113"/>
      <c r="BW31" s="113"/>
      <c r="BX31" s="113"/>
      <c r="BY31" s="113"/>
      <c r="BZ31" s="2"/>
      <c r="CA31" s="113"/>
      <c r="CB31" s="2"/>
      <c r="CC31" s="2"/>
      <c r="CD31" s="2"/>
      <c r="CE31" s="2"/>
    </row>
    <row r="32" spans="1:83" ht="12.75" customHeight="1" thickBot="1" x14ac:dyDescent="0.25">
      <c r="A32" s="17"/>
      <c r="B32" s="159" t="s">
        <v>150</v>
      </c>
      <c r="C32" s="295">
        <f>M.sd0RA*Molweight</f>
        <v>13.896614554470014</v>
      </c>
      <c r="D32" s="446">
        <f t="shared" si="7"/>
        <v>5.3306300039646316E-10</v>
      </c>
      <c r="E32" s="295">
        <f>M.sd0CA*Molweight</f>
        <v>7.1458918530906059</v>
      </c>
      <c r="F32" s="446">
        <f t="shared" si="8"/>
        <v>3.3378476898765775E-9</v>
      </c>
      <c r="G32" s="296"/>
      <c r="H32" s="446"/>
      <c r="I32" s="296"/>
      <c r="J32" s="446"/>
      <c r="K32" s="296"/>
      <c r="L32" s="461"/>
      <c r="M32" s="124">
        <f>C.sd0RA*(Molweight*1000)/(FRACw.sdR*1000+FRACs.sdR*RHOsolid)</f>
        <v>6.2356993501267134E-7</v>
      </c>
      <c r="N32" s="124">
        <f>C.sd0CA*(Molweight*1000)/(FRACw.sdC*1000+FRACs.sdC*RHOsolid)</f>
        <v>2.1025405208855536E-8</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1.6044335683149356E-17</v>
      </c>
      <c r="AE32" s="163">
        <f>(k.aM.aA+k.aM.aC+k.aM.aT)*M.aM*Molweight</f>
        <v>2.0814300571253774E-18</v>
      </c>
      <c r="AF32" s="163">
        <f>kesc.aM*VOLUME.aM*C.aM*Molweight</f>
        <v>6.5473194576011996E-22</v>
      </c>
      <c r="AG32" s="163"/>
      <c r="AH32" s="162">
        <f>KDEG.aM*VOLUME.aM*C.aM*Molweight</f>
        <v>6.8066691464669592E-45</v>
      </c>
      <c r="AI32" s="163">
        <f>SUM(AI33,AK36)</f>
        <v>1.4134757714761213E-17</v>
      </c>
      <c r="AJ32" s="163">
        <f>SUM(AJ33,AL36)</f>
        <v>1.7250682068299319E-19</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2.6798194232240179E-16</v>
      </c>
      <c r="BR32" s="113"/>
      <c r="BS32" s="113"/>
      <c r="BT32" s="113"/>
      <c r="BU32" s="113"/>
      <c r="BV32" s="113"/>
      <c r="BW32" s="55"/>
      <c r="BX32" s="2"/>
      <c r="BY32" s="55"/>
      <c r="BZ32" s="55"/>
      <c r="CA32" s="2"/>
      <c r="CB32" s="55"/>
      <c r="CC32" s="113"/>
      <c r="CD32" s="113"/>
      <c r="CE32" s="2"/>
    </row>
    <row r="33" spans="1:83" ht="12.75" customHeight="1" thickBot="1" x14ac:dyDescent="0.25">
      <c r="A33" s="17"/>
      <c r="B33" s="159" t="s">
        <v>152</v>
      </c>
      <c r="C33" s="295">
        <f>M.sd0RP*Molweight</f>
        <v>14.489002419950253</v>
      </c>
      <c r="D33" s="446">
        <f t="shared" si="7"/>
        <v>5.5578652429745372E-10</v>
      </c>
      <c r="E33" s="295">
        <f>M.sd0CP*Molweight</f>
        <v>2.1735382535322478</v>
      </c>
      <c r="F33" s="446">
        <f t="shared" si="8"/>
        <v>1.0152602065021758E-9</v>
      </c>
      <c r="G33" s="296"/>
      <c r="H33" s="446"/>
      <c r="I33" s="296"/>
      <c r="J33" s="446"/>
      <c r="K33" s="296"/>
      <c r="L33" s="461"/>
      <c r="M33" s="124">
        <f>C.sd0RP*(Molweight*1000)/(FRACw.sdR*1000+FRACs.sdR*RHOsolid)</f>
        <v>6.5015160793249681E-7</v>
      </c>
      <c r="N33" s="124">
        <f>C.sd0CP*(Molweight*1000)/(FRACw.sdC*1000+FRACs.sdC*RHOsolid)</f>
        <v>6.3952160845673299E-9</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127.66994058751061</v>
      </c>
      <c r="AE33" s="163">
        <f>(k.w2M.w2C+k.w2M.w2A+k.w2M.w2T+k.w2M.w3M)*M.w2M*Molweight</f>
        <v>127.7570401258959</v>
      </c>
      <c r="AF33" s="163"/>
      <c r="AG33" s="163">
        <f>(kdis.w2S.w2D*M.w2MS+kdis.w2A.w2D*M.w2MA+kdis.w2P.w2D*M.w2MP)*Molweight</f>
        <v>6.5505203813125426E-2</v>
      </c>
      <c r="AH33" s="162">
        <f>KDEG.w2M*VOLUME.w2M*C.w2M*Molweight</f>
        <v>1.1968971749324633E-12</v>
      </c>
      <c r="AI33" s="163">
        <f>k.aM.w2M*M.aM*Molweight</f>
        <v>7.0673788573813432E-18</v>
      </c>
      <c r="AJ33" s="163">
        <f>k.w2M.aM*M.w2M*Molweight</f>
        <v>1.6467155959959375E-19</v>
      </c>
      <c r="AK33" s="163"/>
      <c r="AL33" s="163"/>
      <c r="AM33" s="163">
        <f>k.sM.w2M*M.sM*Molweight</f>
        <v>2.1594334573400539E-2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125.13414227232211</v>
      </c>
      <c r="AE34" s="163">
        <f>(k.w3M.w2M+k.w3M.w3A+k.w3M.w3T)*M.w3M*Molweight</f>
        <v>125.12301396800706</v>
      </c>
      <c r="AF34" s="163"/>
      <c r="AG34" s="163">
        <f>(kdis.w2S.w2D*M.w3MS+kdis.w2A.w2D*M.w3MA+kdis.w2P.w2D*M.w3MP)*Molweight</f>
        <v>1.3847395468442312E-3</v>
      </c>
      <c r="AH34" s="162">
        <f>KDEG.w3M*M.w3MD*Molweight</f>
        <v>3.5908144641868629E-11</v>
      </c>
      <c r="AI34" s="163"/>
      <c r="AJ34" s="163"/>
      <c r="AK34" s="163"/>
      <c r="AL34" s="163"/>
      <c r="AM34" s="163"/>
      <c r="AN34" s="163">
        <f>k.w3M.sdM*M.w3M*Molweight</f>
        <v>41.272470082136323</v>
      </c>
      <c r="AO34" s="162">
        <f>k.sdM.w3M*M.sdM*Molweight</f>
        <v>41.259957038310311</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8.3943078401302759E-2</v>
      </c>
      <c r="BQ34" s="96">
        <f>IF(ISERROR(D52),0,D52)</f>
        <v>3.7339701701286437E-6</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204</v>
      </c>
      <c r="C35" s="295">
        <f>SUM(C36,C39:C41)</f>
        <v>2055676.0138778354</v>
      </c>
      <c r="D35" s="446">
        <f t="shared" ref="D35:D41" si="9">C35/$C$103</f>
        <v>7.8854084892804443E-5</v>
      </c>
      <c r="E35" s="295">
        <f>SUM(E36,E39:E41)</f>
        <v>57102.83429945205</v>
      </c>
      <c r="F35" s="446">
        <f t="shared" ref="F35:F41" si="10">E35/$E$103</f>
        <v>2.6672746729212825E-5</v>
      </c>
      <c r="G35" s="296"/>
      <c r="H35" s="446"/>
      <c r="I35" s="296"/>
      <c r="J35" s="446"/>
      <c r="K35" s="296"/>
      <c r="L35" s="461"/>
      <c r="M35" s="459">
        <f>(M.w1RD+M.w1RS+M.w1RA+M.w1RP)*Molweight/(VOLUME.w1R)</f>
        <v>1.0901380328433755E-4</v>
      </c>
      <c r="N35" s="459">
        <f>(M.w1CD+M.w1CS+M.w1CA+M.w1CP)*Molweight/(VOLUME.w1C)</f>
        <v>1.985620588627376E-7</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1.2513046011277965E-2</v>
      </c>
      <c r="AG35" s="163">
        <f>(kdis.sd2S.sd2D*M.sdMS+kdis.sd2A.sd2D*M.sdMA+kdis.sd2P.sd2D*M.sdMP)*Molweight</f>
        <v>2.2022925079667967E-9</v>
      </c>
      <c r="AH35" s="162">
        <f>KDEG.sdM*M.sdMD*Molweight</f>
        <v>1.7030789783902366E-11</v>
      </c>
      <c r="AI35" s="163"/>
      <c r="AJ35" s="163"/>
      <c r="AK35" s="163"/>
      <c r="AL35" s="163"/>
      <c r="AM35" s="163"/>
      <c r="AN35" s="163">
        <f>k.w3M.sdM*M.w3M*Molweight</f>
        <v>41.272470082136323</v>
      </c>
      <c r="AO35" s="162">
        <f>k.sdM.w3M*M.sdM*Molweight</f>
        <v>41.259957038310311</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25">
      <c r="A36" s="17"/>
      <c r="B36" s="443" t="s">
        <v>140</v>
      </c>
      <c r="C36" s="295">
        <f>M.w1RD*Molweight</f>
        <v>864572.01622565172</v>
      </c>
      <c r="D36" s="446">
        <f t="shared" si="9"/>
        <v>3.3164289850711923E-5</v>
      </c>
      <c r="E36" s="295">
        <f>M.w1CD*Molweight</f>
        <v>43833.012002147967</v>
      </c>
      <c r="F36" s="446">
        <f t="shared" si="10"/>
        <v>2.0474409753125995E-5</v>
      </c>
      <c r="G36" s="296"/>
      <c r="H36" s="446"/>
      <c r="I36" s="296"/>
      <c r="J36" s="446"/>
      <c r="K36" s="296"/>
      <c r="L36" s="461"/>
      <c r="M36" s="124">
        <f>C.w1R*Molweight</f>
        <v>4.5848802566982421E-5</v>
      </c>
      <c r="N36" s="124">
        <f>C.w1C*Molweight</f>
        <v>1.5241928384253791E-7</v>
      </c>
      <c r="O36" s="124"/>
      <c r="P36" s="124"/>
      <c r="Q36" s="124"/>
      <c r="R36" s="160" t="s">
        <v>158</v>
      </c>
      <c r="S36" s="163">
        <f>F.w1R</f>
        <v>1.1391158381920421E-23</v>
      </c>
      <c r="T36" s="163">
        <f>F.w1C</f>
        <v>3.7868648808716428E-26</v>
      </c>
      <c r="U36" s="163"/>
      <c r="V36" s="163"/>
      <c r="W36" s="162"/>
      <c r="X36" s="17"/>
      <c r="Y36" s="156"/>
      <c r="Z36" s="17"/>
      <c r="AA36" s="312" t="s">
        <v>206</v>
      </c>
      <c r="AB36" s="162" t="s">
        <v>192</v>
      </c>
      <c r="AC36" s="161">
        <f>E.sMD*Molweight</f>
        <v>0</v>
      </c>
      <c r="AD36" s="163"/>
      <c r="AE36" s="163"/>
      <c r="AF36" s="163">
        <f>(FRACinf.sM*RAINrate.M/Kslw.M*SYSTEMAREA.M*AREAFRAC.sM*CORRleach.sM)*C.sM*Molweight</f>
        <v>2.4720981548958015E-5</v>
      </c>
      <c r="AG36" s="163">
        <f>(kdis.s1S.s1D*M.sMS+kdis.s1A.s1D*M.sMA+kdis.s1P.s1D*M.sMP)*Molweight</f>
        <v>2.1619055557960593E-2</v>
      </c>
      <c r="AH36" s="162">
        <f>KDEG.sM*VOLUME.sM*C.sM*Molweight</f>
        <v>3.0111090814068931E-12</v>
      </c>
      <c r="AI36" s="163"/>
      <c r="AJ36" s="163"/>
      <c r="AK36" s="163">
        <f>k.aM.sM*M.aM*Molweight</f>
        <v>7.0673788573798718E-18</v>
      </c>
      <c r="AL36" s="163">
        <f>k.sM.aM*M.sM*Molweight</f>
        <v>7.8352610833994398E-21</v>
      </c>
      <c r="AM36" s="163">
        <f>k.sM.w2M*M.sM*Molweight</f>
        <v>2.1594334573400539E-2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161</v>
      </c>
      <c r="C37" s="295">
        <f>FRwD.w1R*C36</f>
        <v>356492.20121294219</v>
      </c>
      <c r="D37" s="446">
        <f t="shared" si="9"/>
        <v>1.3674755218376858E-5</v>
      </c>
      <c r="E37" s="295">
        <f>FRw.w1C*E36</f>
        <v>18073.829179269494</v>
      </c>
      <c r="F37" s="446">
        <f t="shared" si="10"/>
        <v>8.4422896698551036E-6</v>
      </c>
      <c r="G37" s="296"/>
      <c r="H37" s="446"/>
      <c r="I37" s="296"/>
      <c r="J37" s="446"/>
      <c r="K37" s="296"/>
      <c r="L37" s="461"/>
      <c r="M37" s="124">
        <f>M36*FRwD.w1R</f>
        <v>1.8905007614559678E-5</v>
      </c>
      <c r="N37" s="124">
        <f>N36*FRw.w1C</f>
        <v>6.2847611285795891E-8</v>
      </c>
      <c r="O37" s="124"/>
      <c r="P37" s="124"/>
      <c r="Q37" s="124"/>
      <c r="R37" s="160" t="s">
        <v>158</v>
      </c>
      <c r="S37" s="163">
        <f>S36*FRwD.w1R</f>
        <v>4.696958783912561E-24</v>
      </c>
      <c r="T37" s="163">
        <f>T36*FRw.w1C</f>
        <v>1.5614521077970834E-26</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9.2404746672635735E-2</v>
      </c>
      <c r="BQ37" s="55">
        <f>AH17</f>
        <v>3.8185837737075851E-14</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163</v>
      </c>
      <c r="C38" s="295">
        <f>(1-FRwD.w1R)*C36</f>
        <v>508079.81501270947</v>
      </c>
      <c r="D38" s="446">
        <f t="shared" si="9"/>
        <v>1.9489534632335066E-5</v>
      </c>
      <c r="E38" s="295">
        <f>(1-FRw.w1C)*E36</f>
        <v>25759.182822878469</v>
      </c>
      <c r="F38" s="446">
        <f t="shared" si="10"/>
        <v>1.203212008327089E-5</v>
      </c>
      <c r="G38" s="296"/>
      <c r="H38" s="446"/>
      <c r="I38" s="296"/>
      <c r="J38" s="446"/>
      <c r="K38" s="296"/>
      <c r="L38" s="461"/>
      <c r="M38" s="124">
        <f>M37*Kp.susp1R</f>
        <v>1.7959757233831695</v>
      </c>
      <c r="N38" s="124">
        <f>N37*Kp.susp1C</f>
        <v>5.9705230721506094E-3</v>
      </c>
      <c r="O38" s="124"/>
      <c r="P38" s="124"/>
      <c r="Q38" s="124"/>
      <c r="R38" s="160" t="s">
        <v>164</v>
      </c>
      <c r="S38" s="163">
        <f>S36*(1-FRwD.w1R)</f>
        <v>6.6941995980078604E-24</v>
      </c>
      <c r="T38" s="163">
        <f>T36*(1-FRw.w1C)</f>
        <v>2.2254127730745591E-26</v>
      </c>
      <c r="U38" s="163"/>
      <c r="V38" s="163"/>
      <c r="W38" s="162"/>
      <c r="X38" s="17"/>
      <c r="Y38" s="156"/>
      <c r="Z38" s="17"/>
      <c r="AA38" s="312" t="s">
        <v>141</v>
      </c>
      <c r="AB38" s="162" t="s">
        <v>193</v>
      </c>
      <c r="AC38" s="161">
        <f>E.aAG*Molweight</f>
        <v>0</v>
      </c>
      <c r="AD38" s="163">
        <f>k.aM.aA*M.aM*Molweight</f>
        <v>6.7796152141647242E-19</v>
      </c>
      <c r="AE38" s="163">
        <f>k.aA.aM*M.aA*Molweight</f>
        <v>5.3892460798360251E-20</v>
      </c>
      <c r="AF38" s="163">
        <f>kesc.aA*VOLUME.aA*C.aA*Molweight</f>
        <v>2.8515108774392675E-23</v>
      </c>
      <c r="AG38" s="163"/>
      <c r="AH38" s="162">
        <f>KDEG.aA*VOLUME.aA*C.aA*Molweight</f>
        <v>1.2886111846792867E-50</v>
      </c>
      <c r="AI38" s="163">
        <f>SUM(AI39,AK42)</f>
        <v>6.2404084272476062E-19</v>
      </c>
      <c r="AJ38" s="163">
        <f>SUM(AJ39,AL42)</f>
        <v>2.9721542269945935E-25</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147</v>
      </c>
      <c r="C39" s="295">
        <f>M.w1RS*Molweight</f>
        <v>223.84334269431812</v>
      </c>
      <c r="D39" s="446">
        <f t="shared" si="9"/>
        <v>8.5864512833469483E-9</v>
      </c>
      <c r="E39" s="295">
        <f>M.w1CS*Molweight</f>
        <v>8.2994512148115054E-2</v>
      </c>
      <c r="F39" s="446">
        <f t="shared" si="10"/>
        <v>3.8766755268792185E-11</v>
      </c>
      <c r="G39" s="296"/>
      <c r="H39" s="446"/>
      <c r="I39" s="296"/>
      <c r="J39" s="446"/>
      <c r="K39" s="296"/>
      <c r="L39" s="461"/>
      <c r="M39" s="124">
        <f>C.w1RS*Molweight</f>
        <v>1.1870554485361192E-8</v>
      </c>
      <c r="N39" s="124">
        <f>C.w1CS*Molweight</f>
        <v>2.8859445259788711E-13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93.85016977862395</v>
      </c>
      <c r="AE39" s="163">
        <f>(k.w2A.w2M+k.w2A.w3A)*M.w2A*Molweight</f>
        <v>93.871018163833384</v>
      </c>
      <c r="AF39" s="163"/>
      <c r="AG39" s="163">
        <f>(kdis.w2S.w2D*M.w2AS+kdis.w2A.w2D*M.w2AA+kdis.w2P.w2D*M.w2AP)*Molweight</f>
        <v>1.7394264260357336E-2</v>
      </c>
      <c r="AH39" s="162">
        <f>KDEG.w2A*VOLUME.w2A*C.w2A*Molweight</f>
        <v>2.0887954402349396E-13</v>
      </c>
      <c r="AI39" s="163">
        <f>k.aA.w2A*M.aA*Molweight</f>
        <v>3.744245056348564E-19</v>
      </c>
      <c r="AJ39" s="163">
        <f>k.w2A.aA*M.w2A*Molweight</f>
        <v>2.9408194410684623E-25</v>
      </c>
      <c r="AK39" s="163"/>
      <c r="AL39" s="163"/>
      <c r="AM39" s="163">
        <f>k.sA.w2A*M.sA*Molweight</f>
        <v>3.4541209492904906E-3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3.606706850781832E-4</v>
      </c>
      <c r="BR39" s="113"/>
      <c r="BS39" s="113"/>
      <c r="BT39" s="113"/>
      <c r="BU39" s="113"/>
      <c r="BV39" s="2"/>
      <c r="BW39" s="113"/>
      <c r="BX39" s="2"/>
      <c r="BY39" s="113"/>
      <c r="BZ39" s="2"/>
      <c r="CA39" s="2"/>
      <c r="CB39" s="113"/>
      <c r="CC39" s="2"/>
      <c r="CD39" s="2"/>
      <c r="CE39" s="2"/>
    </row>
    <row r="40" spans="1:83" ht="12.75" customHeight="1" x14ac:dyDescent="0.2">
      <c r="A40" s="17"/>
      <c r="B40" s="159" t="s">
        <v>150</v>
      </c>
      <c r="C40" s="295">
        <f>M.w1RA*Molweight</f>
        <v>1183205.1299714774</v>
      </c>
      <c r="D40" s="446">
        <f t="shared" si="9"/>
        <v>4.5386800806402393E-5</v>
      </c>
      <c r="E40" s="295">
        <f>M.w1CA*Molweight</f>
        <v>13266.437787656305</v>
      </c>
      <c r="F40" s="446">
        <f t="shared" si="10"/>
        <v>6.1967560708700339E-6</v>
      </c>
      <c r="G40" s="296"/>
      <c r="H40" s="446"/>
      <c r="I40" s="296"/>
      <c r="J40" s="446"/>
      <c r="K40" s="296"/>
      <c r="L40" s="461"/>
      <c r="M40" s="124">
        <f>C.w1RA*Molweight</f>
        <v>6.2746118752638743E-5</v>
      </c>
      <c r="N40" s="124">
        <f>C.w1CA*Molweight</f>
        <v>4.6131006161225449E-8</v>
      </c>
      <c r="O40" s="124"/>
      <c r="P40" s="124"/>
      <c r="Q40" s="124"/>
      <c r="R40" s="160" t="s">
        <v>158</v>
      </c>
      <c r="S40" s="163"/>
      <c r="T40" s="163"/>
      <c r="U40" s="163"/>
      <c r="V40" s="163"/>
      <c r="W40" s="162"/>
      <c r="X40" s="17"/>
      <c r="Y40" s="156"/>
      <c r="Z40" s="17"/>
      <c r="AA40" s="312" t="s">
        <v>189</v>
      </c>
      <c r="AB40" s="162" t="s">
        <v>195</v>
      </c>
      <c r="AC40" s="161"/>
      <c r="AD40" s="163">
        <f>(k.w2A.w3A*M.w2A+k.w3M.w3A*M.w3M)*Molweight</f>
        <v>93.871018163833384</v>
      </c>
      <c r="AE40" s="163">
        <f>(k.w3A.w2A+k.w3A.w3M)*M.w3A*Molweight</f>
        <v>93.865581943077061</v>
      </c>
      <c r="AF40" s="163"/>
      <c r="AG40" s="163">
        <f>(kdis.w2S.w2D*M.w3AS+kdis.w2A.w2D*M.w3AA+kdis.w2P.w2D*M.w3AP)*Molweight</f>
        <v>3.9727231486183436E-4</v>
      </c>
      <c r="AH40" s="162">
        <f>KDEG.w3A*VOLUME.w3A*C.w3A*Molweight</f>
        <v>5.1425649533791017E-12</v>
      </c>
      <c r="AI40" s="163"/>
      <c r="AJ40" s="163"/>
      <c r="AK40" s="163"/>
      <c r="AL40" s="163"/>
      <c r="AM40" s="163"/>
      <c r="AN40" s="163">
        <f>k.w3A.sdA*M.w3A*Molweight</f>
        <v>27.1589685216478</v>
      </c>
      <c r="AO40" s="162">
        <f>k.sdA.w3A*M.sdA*Molweight</f>
        <v>27.153135028581744</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152</v>
      </c>
      <c r="C41" s="295">
        <f>M.w1RP*Molweight</f>
        <v>7675.0243380118891</v>
      </c>
      <c r="D41" s="446">
        <f t="shared" si="9"/>
        <v>2.9440778440677763E-7</v>
      </c>
      <c r="E41" s="295">
        <f>M.w1CP*Molweight</f>
        <v>3.3015151356197534</v>
      </c>
      <c r="F41" s="446">
        <f t="shared" si="10"/>
        <v>1.5421384615210497E-9</v>
      </c>
      <c r="G41" s="296"/>
      <c r="H41" s="446"/>
      <c r="I41" s="296"/>
      <c r="J41" s="446"/>
      <c r="K41" s="296"/>
      <c r="L41" s="461"/>
      <c r="M41" s="124">
        <f>C.w1RP*Molweight</f>
        <v>4.0701141023103535E-7</v>
      </c>
      <c r="N41" s="124">
        <f>C.w1CP*Molweight</f>
        <v>1.1480264521676106E-11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5.8334936176449755E-3</v>
      </c>
      <c r="AG41" s="163">
        <f>(kdis.sd2S.sd2D*M.sdAS+kdis.sd2A.sd2D*M.sdAA+kdis.sd2P.sd2D*M.sdAP)*Molweight</f>
        <v>5.5402902121505581E-10</v>
      </c>
      <c r="AH41" s="162">
        <f>KDEG.sdA*VOLUME.sdA*C.sdA*Molweight</f>
        <v>2.4390550818402569E-12</v>
      </c>
      <c r="AI41" s="163"/>
      <c r="AJ41" s="163"/>
      <c r="AK41" s="163"/>
      <c r="AL41" s="163"/>
      <c r="AM41" s="163"/>
      <c r="AN41" s="163">
        <f>k.w3A.sdA*M.w3A*Molweight</f>
        <v>27.1589685216478</v>
      </c>
      <c r="AO41" s="162">
        <f>k.sdA.w3A*M.sdA*Molweight</f>
        <v>27.153135028581744</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1.5853904419119674E-6</v>
      </c>
      <c r="AG42" s="163">
        <f>(kdis.s1S.s1D*M.sAS+kdis.s1A.s1D*M.sAA+kdis.s1P.s1D*M.sAP)*Molweight</f>
        <v>3.4557063398500793E-3</v>
      </c>
      <c r="AH42" s="162">
        <f>KDEG.sA*VOLUME.sA*C.sA*Molweight</f>
        <v>1.1767631352302948E-13</v>
      </c>
      <c r="AI42" s="163"/>
      <c r="AJ42" s="163"/>
      <c r="AK42" s="163">
        <f>k.aA.sA*M.aA*Molweight</f>
        <v>2.4961633708990422E-19</v>
      </c>
      <c r="AL42" s="163">
        <f>k.sA.aA*M.sA*Molweight</f>
        <v>3.1334785926131421E-27</v>
      </c>
      <c r="AM42" s="163">
        <f>k.sA.w2A*M.sA*Molweight</f>
        <v>3.4541209492904906E-3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209</v>
      </c>
      <c r="C43" s="295">
        <f>SUM(C44,C47:C49)</f>
        <v>172461817.13056991</v>
      </c>
      <c r="D43" s="446">
        <f t="shared" ref="D43:D49" si="11">C43/$C$103</f>
        <v>6.615497129398064E-3</v>
      </c>
      <c r="E43" s="295">
        <f>SUM(E44,E47:E49)</f>
        <v>8589235.0862156916</v>
      </c>
      <c r="F43" s="446">
        <f t="shared" ref="F43:F49" si="12">E43/$E$103</f>
        <v>4.0120336383109795E-3</v>
      </c>
      <c r="G43" s="296"/>
      <c r="H43" s="446"/>
      <c r="I43" s="296"/>
      <c r="J43" s="446"/>
      <c r="K43" s="296"/>
      <c r="L43" s="461"/>
      <c r="M43" s="459">
        <f>((M.sd1RD+M.sd1RS+M.sd1RA+M.sd1RP)*Molweight*1000/(VOLUME.sd1R))/(FRACw.sdR*1000+FRACs.sdR*RHOsolid)</f>
        <v>0.70351996804524852</v>
      </c>
      <c r="N43" s="459">
        <f>((M.sd1CD+M.sd1CS+M.sd1CA+M.sd1CP)*Molweight*1000/(VOLUME.sd1C))/(FRACw.sdC*1000+FRACs.sdC*RHOsolid)</f>
        <v>2.2974694199958449E-3</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8.5966021211995886E-3</v>
      </c>
      <c r="BQ43" s="113"/>
      <c r="BR43" s="113"/>
      <c r="BS43" s="22">
        <f>AF16</f>
        <v>0.4976436524196266</v>
      </c>
      <c r="BT43" s="113"/>
      <c r="BU43" s="113"/>
      <c r="BV43" s="113"/>
      <c r="BW43" s="22">
        <f>AF18</f>
        <v>1.1702466319704589E-5</v>
      </c>
      <c r="BX43" s="2"/>
      <c r="BY43" s="113"/>
      <c r="BZ43" s="22">
        <f>AF20</f>
        <v>4.3342443344451912E-6</v>
      </c>
      <c r="CA43" s="113"/>
      <c r="CB43" s="112">
        <f>AF19</f>
        <v>3.8529109616467259E-4</v>
      </c>
      <c r="CC43" s="113"/>
      <c r="CD43" s="113"/>
      <c r="CE43" s="2"/>
    </row>
    <row r="44" spans="1:83" ht="12.75" customHeight="1" x14ac:dyDescent="0.2">
      <c r="A44" s="17"/>
      <c r="B44" s="443" t="s">
        <v>140</v>
      </c>
      <c r="C44" s="295">
        <f>M.sd1RD*Molweight</f>
        <v>171875771.35389617</v>
      </c>
      <c r="D44" s="446">
        <f t="shared" si="11"/>
        <v>6.5930168829424346E-3</v>
      </c>
      <c r="E44" s="295">
        <f>M.sd1CD*Molweight</f>
        <v>8587690.2907010708</v>
      </c>
      <c r="F44" s="446">
        <f t="shared" si="12"/>
        <v>4.0113120639790681E-3</v>
      </c>
      <c r="G44" s="296"/>
      <c r="H44" s="446"/>
      <c r="I44" s="296"/>
      <c r="J44" s="446"/>
      <c r="K44" s="296"/>
      <c r="L44" s="461"/>
      <c r="M44" s="124">
        <f>C.sd1R*(Molweight*1000)/(FRACw.sdR*1000+FRACs.sdR*RHOsolid)</f>
        <v>0.70112932347859402</v>
      </c>
      <c r="N44" s="124">
        <f>C.sd1C*(Molweight*1000)/(FRACw.sdC*1000+FRACs.sdC*RHOsolid)</f>
        <v>2.2970562143472197E-3</v>
      </c>
      <c r="O44" s="124"/>
      <c r="P44" s="124"/>
      <c r="Q44" s="124"/>
      <c r="R44" s="160" t="s">
        <v>175</v>
      </c>
      <c r="S44" s="163">
        <f>F.sd1R</f>
        <v>9.5346143884673306E-24</v>
      </c>
      <c r="T44" s="163">
        <f>F.sd1C</f>
        <v>3.1237525658990599E-26</v>
      </c>
      <c r="U44" s="163"/>
      <c r="V44" s="163"/>
      <c r="W44" s="162"/>
      <c r="X44" s="17"/>
      <c r="Y44" s="156"/>
      <c r="Z44" s="17"/>
      <c r="AA44" s="312" t="s">
        <v>141</v>
      </c>
      <c r="AB44" s="162" t="s">
        <v>198</v>
      </c>
      <c r="AC44" s="161">
        <f>E.aTG*Molweight</f>
        <v>0</v>
      </c>
      <c r="AD44" s="163">
        <f>k.aM.aT*M.aM*Molweight</f>
        <v>1.174263800670026E-18</v>
      </c>
      <c r="AE44" s="163">
        <f>k.aT.aM*M.aT*Molweight</f>
        <v>1.5940997551359543E-17</v>
      </c>
      <c r="AF44" s="163">
        <f>kesc.aT*VOLUME.aT*C.aT*Molweight</f>
        <v>1.4609089191238126E-20</v>
      </c>
      <c r="AG44" s="163"/>
      <c r="AH44" s="162">
        <f>KDEG.aT*VOLUME.aT*C.aT*Molweight</f>
        <v>6.69139163312156E-43</v>
      </c>
      <c r="AI44" s="163">
        <f>SUM(AI45,AK48)</f>
        <v>3.2248686474538243E-16</v>
      </c>
      <c r="AJ44" s="163">
        <f>SUM(AJ45,AL48)</f>
        <v>3.3726820758526327E-16</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178</v>
      </c>
      <c r="C45" s="295">
        <f>C44*FRACw.sdR</f>
        <v>137500617.08311695</v>
      </c>
      <c r="D45" s="446">
        <f t="shared" si="11"/>
        <v>5.2744135063539479E-3</v>
      </c>
      <c r="E45" s="295">
        <f>E44*FRACw.sdC</f>
        <v>6870152.2325608572</v>
      </c>
      <c r="F45" s="446">
        <f t="shared" si="12"/>
        <v>3.2090496511832543E-3</v>
      </c>
      <c r="G45" s="296"/>
      <c r="H45" s="446"/>
      <c r="I45" s="296"/>
      <c r="J45" s="446"/>
      <c r="K45" s="296"/>
      <c r="L45" s="461"/>
      <c r="M45" s="124">
        <f>M46/Kp.sd1R</f>
        <v>3.837631239883172E-2</v>
      </c>
      <c r="N45" s="124">
        <f>N46/Kp.sd1C</f>
        <v>1.2572936821712898E-4</v>
      </c>
      <c r="O45" s="124"/>
      <c r="P45" s="124"/>
      <c r="Q45" s="124"/>
      <c r="R45" s="160" t="s">
        <v>158</v>
      </c>
      <c r="S45" s="163">
        <f>S44*FRACw.sdR</f>
        <v>7.6276915107738642E-24</v>
      </c>
      <c r="T45" s="163">
        <f>T44*FRACw.sdC</f>
        <v>2.499002052719248E-26</v>
      </c>
      <c r="U45" s="163"/>
      <c r="V45" s="163"/>
      <c r="W45" s="162"/>
      <c r="X45" s="17"/>
      <c r="Y45" s="156"/>
      <c r="Z45" s="17"/>
      <c r="AA45" s="312" t="s">
        <v>186</v>
      </c>
      <c r="AB45" s="162" t="s">
        <v>199</v>
      </c>
      <c r="AC45" s="161">
        <f>E.w2TD*Molweight</f>
        <v>0</v>
      </c>
      <c r="AD45" s="163">
        <f>(k.w2M.w2T*M.w2M+k.w3T.w2T*M.w3T)*Molweight</f>
        <v>244.49781512933438</v>
      </c>
      <c r="AE45" s="163">
        <f>(k.w2T.w2M+k.w2T.w3T)*M.w2T*Molweight</f>
        <v>244.54502335168286</v>
      </c>
      <c r="AF45" s="163"/>
      <c r="AG45" s="163">
        <f>(kdis.w2S.w2D*M.w2TS+kdis.w2A.w2D*M.w2TA+kdis.w2P.w2D*M.w2TP)*Molweight</f>
        <v>4.1074874603458905E-2</v>
      </c>
      <c r="AH45" s="162">
        <f>KDEG.w2T*VOLUME.w2T*C.w2T*Molweight</f>
        <v>6.7923673961531592E-12</v>
      </c>
      <c r="AI45" s="163">
        <f>k.aT.w2T*M.aT*Molweight</f>
        <v>2.2574080532182236E-16</v>
      </c>
      <c r="AJ45" s="163">
        <f>k.w2T.aT*M.w2T*Molweight</f>
        <v>3.3555077015250718E-16</v>
      </c>
      <c r="AK45" s="163"/>
      <c r="AL45" s="163"/>
      <c r="AM45" s="163">
        <f>k.sT.w2T*M.sT*Molweight</f>
        <v>6.1333477518282975E-3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25">
      <c r="A46" s="17"/>
      <c r="B46" s="159" t="s">
        <v>179</v>
      </c>
      <c r="C46" s="295">
        <f>C44*FRACs.sdR</f>
        <v>34375154.27077923</v>
      </c>
      <c r="D46" s="446">
        <f t="shared" si="11"/>
        <v>1.3186033765884867E-3</v>
      </c>
      <c r="E46" s="295">
        <f>E44*FRACs.sdC</f>
        <v>1717538.0581402138</v>
      </c>
      <c r="F46" s="446">
        <f t="shared" si="12"/>
        <v>8.0226241279581336E-4</v>
      </c>
      <c r="G46" s="296"/>
      <c r="H46" s="446"/>
      <c r="I46" s="296"/>
      <c r="J46" s="446"/>
      <c r="K46" s="296"/>
      <c r="L46" s="461"/>
      <c r="M46" s="124">
        <f>C.sd1R*FRACs.sdR/(FRACw.sdR/(Kp.sd1R*RHOsolid/1000)+FRACs.sdR)*(Molweight*1000*1000)/(FRACs.sdR*RHOsolid)</f>
        <v>1822.8748389445066</v>
      </c>
      <c r="N46" s="124">
        <f>C.sd1C*FRACs.sdC/(FRACw.sdC/(Kp.sd1C*RHOsolid/1000)+FRACs.sdC)*(Molweight*1000*1000)/(FRACs.sdC*RHOsolid)</f>
        <v>5.9721449903136259</v>
      </c>
      <c r="O46" s="124"/>
      <c r="P46" s="124"/>
      <c r="Q46" s="124"/>
      <c r="R46" s="160" t="s">
        <v>164</v>
      </c>
      <c r="S46" s="163">
        <f>S44*(1-FRACw.sdR)</f>
        <v>1.9069228776934657E-24</v>
      </c>
      <c r="T46" s="163">
        <f>T44*(1-FRACw.sdC)</f>
        <v>6.2475051317981185E-27</v>
      </c>
      <c r="U46" s="163"/>
      <c r="V46" s="163"/>
      <c r="W46" s="162"/>
      <c r="X46" s="17"/>
      <c r="Y46" s="156"/>
      <c r="Z46" s="17"/>
      <c r="AA46" s="312" t="s">
        <v>189</v>
      </c>
      <c r="AB46" s="162" t="s">
        <v>200</v>
      </c>
      <c r="AC46" s="161"/>
      <c r="AD46" s="163">
        <f>(k.w2T.w3T*M.w2T+k.w3M.w3T*M.w3M)*Molweight</f>
        <v>244.51896040741622</v>
      </c>
      <c r="AE46" s="163">
        <f>(k.w3T.w2T+k.w3T.w3M)*M.w3T*Molweight</f>
        <v>244.49781512933438</v>
      </c>
      <c r="AF46" s="163"/>
      <c r="AG46" s="163">
        <f>(kdis.w2S.w2D*M.w3TS+kdis.w2A.w2D*M.w3TA+kdis.w2P.w2D*M.w3TP)*Molweight</f>
        <v>7.9237345038689247E-4</v>
      </c>
      <c r="AH46" s="162">
        <f>KDEG.w3T*VOLUME.w3T*C.w3T*Molweight</f>
        <v>2.1879943322762099E-10</v>
      </c>
      <c r="AI46" s="163"/>
      <c r="AJ46" s="163"/>
      <c r="AK46" s="163"/>
      <c r="AL46" s="163"/>
      <c r="AM46" s="163"/>
      <c r="AN46" s="163">
        <f>k.w3T.sdT*M.w3T*Molweight</f>
        <v>102.13502365135412</v>
      </c>
      <c r="AO46" s="162">
        <f>k.sdT.w3T*M.sdT*Molweight</f>
        <v>102.11308600004067</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3.9039024187619682E-26</v>
      </c>
      <c r="BX46" s="120" t="s">
        <v>137</v>
      </c>
      <c r="BY46" s="2"/>
      <c r="BZ46" s="2"/>
      <c r="CA46" s="2"/>
      <c r="CB46" s="2"/>
      <c r="CC46" s="2"/>
      <c r="CD46" s="2"/>
      <c r="CE46" s="2"/>
    </row>
    <row r="47" spans="1:83" ht="12.75" customHeight="1" x14ac:dyDescent="0.2">
      <c r="A47" s="17"/>
      <c r="B47" s="159" t="s">
        <v>147</v>
      </c>
      <c r="C47" s="295">
        <f>M.sd1RS*Molweight</f>
        <v>4.2264580235586224E-6</v>
      </c>
      <c r="D47" s="446">
        <f t="shared" si="11"/>
        <v>1.6212354356213831E-16</v>
      </c>
      <c r="E47" s="295">
        <f>M.sd1CS*Molweight</f>
        <v>1.5670460312002756E-9</v>
      </c>
      <c r="F47" s="446">
        <f t="shared" si="12"/>
        <v>7.3196755320469565E-19</v>
      </c>
      <c r="G47" s="296"/>
      <c r="H47" s="446"/>
      <c r="I47" s="296"/>
      <c r="J47" s="446"/>
      <c r="K47" s="296"/>
      <c r="L47" s="461"/>
      <c r="M47" s="124">
        <f>C.sd1RS*(Molweight*1000)/(FRACw.sdR*1000+FRACs.sdR*RHOsolid)</f>
        <v>1.7240903889046953E-14</v>
      </c>
      <c r="N47" s="124">
        <f>C.sd1CS*(Molweight*1000)/(FRACw.sdC*1000+FRACs.sdC*RHOsolid)</f>
        <v>4.1915727073139264E-19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2.1937652312790504E-2</v>
      </c>
      <c r="AG47" s="163">
        <f>(kdis.sd2S.sd2D*M.sdTS+kdis.sd2A.sd2D*M.sdTA+kdis.sd2P.sd2D*M.sdTP)*Molweight</f>
        <v>1.1031348025741494E-9</v>
      </c>
      <c r="AH47" s="162">
        <f>KDEG.sdT*VOLUME.sdT*C.sdT*Molweight</f>
        <v>1.037738705004237E-10</v>
      </c>
      <c r="AI47" s="163"/>
      <c r="AJ47" s="163"/>
      <c r="AK47" s="163"/>
      <c r="AL47" s="163"/>
      <c r="AM47" s="163"/>
      <c r="AN47" s="163">
        <f>k.w3T.sdT*M.w3T*Molweight</f>
        <v>102.13502365135412</v>
      </c>
      <c r="AO47" s="162">
        <f>k.sdT.w3T*M.sdT*Molweight</f>
        <v>102.11308600004067</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150</v>
      </c>
      <c r="C48" s="295">
        <f>M.sd1RA*Molweight</f>
        <v>119892.93598988524</v>
      </c>
      <c r="D48" s="446">
        <f t="shared" si="11"/>
        <v>4.5989969668225229E-6</v>
      </c>
      <c r="E48" s="295">
        <f>M.sd1CA*Molweight</f>
        <v>1344.2735997389248</v>
      </c>
      <c r="F48" s="446">
        <f t="shared" si="12"/>
        <v>6.2791050042410276E-7</v>
      </c>
      <c r="G48" s="296"/>
      <c r="H48" s="446"/>
      <c r="I48" s="296"/>
      <c r="J48" s="446"/>
      <c r="K48" s="296"/>
      <c r="L48" s="461"/>
      <c r="M48" s="124">
        <f>C.sd1RA*(Molweight*1000)/(FRACw.sdR*1000+FRACs.sdR*RHOsolid)</f>
        <v>4.890768049405185E-4</v>
      </c>
      <c r="N48" s="124">
        <f>C.sd1CA*(Molweight*1000)/(FRACw.sdC*1000+FRACs.sdC*RHOsolid)</f>
        <v>3.5956956079410739E-7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1.1382150536186424E-5</v>
      </c>
      <c r="AG48" s="163">
        <f>(kdis.s1S.s1D*M.sTS+kdis.s1A.s1D*M.sTA+kdis.s1P.s1D*M.sTP)*Molweight</f>
        <v>6.1447299042025295E-3</v>
      </c>
      <c r="AH48" s="162">
        <f>KDEG.sT*VOLUME.sT*C.sT*Molweight</f>
        <v>1.8381408445293043E-12</v>
      </c>
      <c r="AI48" s="163"/>
      <c r="AJ48" s="163"/>
      <c r="AK48" s="163">
        <f>k.aT.sT*M.aT*Molweight</f>
        <v>9.6746059423560048E-17</v>
      </c>
      <c r="AL48" s="163">
        <f>k.sT.aT*M.sT*Molweight</f>
        <v>1.7174374327560924E-18</v>
      </c>
      <c r="AM48" s="163">
        <f>k.sT.w2T*M.sT*Molweight</f>
        <v>6.1333477518282975E-3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3.2932384943177549E-5</v>
      </c>
      <c r="BX48" s="304" t="s">
        <v>158</v>
      </c>
      <c r="BY48" s="2"/>
      <c r="BZ48" s="2"/>
      <c r="CA48" s="2"/>
      <c r="CB48" s="2"/>
      <c r="CC48" s="2"/>
      <c r="CD48" s="2"/>
      <c r="CE48" s="2"/>
    </row>
    <row r="49" spans="1:83" ht="12.75" customHeight="1" thickBot="1" x14ac:dyDescent="0.25">
      <c r="A49" s="17"/>
      <c r="B49" s="159" t="s">
        <v>152</v>
      </c>
      <c r="C49" s="295">
        <f>M.sd1RP*Molweight</f>
        <v>466152.84067961731</v>
      </c>
      <c r="D49" s="446">
        <f t="shared" si="11"/>
        <v>1.7881249488644832E-5</v>
      </c>
      <c r="E49" s="295">
        <f>M.sd1CP*Molweight</f>
        <v>200.52191488142324</v>
      </c>
      <c r="F49" s="446">
        <f t="shared" si="12"/>
        <v>9.3663831487613171E-8</v>
      </c>
      <c r="G49" s="296"/>
      <c r="H49" s="446"/>
      <c r="I49" s="296"/>
      <c r="J49" s="446"/>
      <c r="K49" s="296"/>
      <c r="L49" s="461"/>
      <c r="M49" s="124">
        <f>C.sd1RP*(Molweight*1000)/(FRACw.sdR*1000+FRACs.sdR*RHOsolid)</f>
        <v>1.9015677616967164E-3</v>
      </c>
      <c r="N49" s="124">
        <f>C.sd1CP*(Molweight*1000)/(FRACw.sdC*1000+FRACs.sdC*RHOsolid)</f>
        <v>5.3636087830267441E-8</v>
      </c>
      <c r="O49" s="124"/>
      <c r="P49" s="124"/>
      <c r="Q49" s="124"/>
      <c r="R49" s="160" t="s">
        <v>175</v>
      </c>
      <c r="S49" s="163"/>
      <c r="T49" s="163"/>
      <c r="U49" s="163"/>
      <c r="V49" s="163"/>
      <c r="W49" s="162"/>
      <c r="X49" s="17"/>
      <c r="Y49" s="156"/>
      <c r="Z49" s="17"/>
      <c r="AA49" s="927"/>
      <c r="AB49" s="928"/>
      <c r="AC49" s="912">
        <f>SUM(AC11:AC48)</f>
        <v>0</v>
      </c>
      <c r="AD49" s="913"/>
      <c r="AE49" s="913"/>
      <c r="AF49" s="914">
        <f>SUM(AF11:AF48)</f>
        <v>0.92203858156038832</v>
      </c>
      <c r="AG49" s="914"/>
      <c r="AH49" s="915">
        <f>SUM(AH11:AH48)</f>
        <v>5.1067456905507213E-10</v>
      </c>
      <c r="AI49" s="929"/>
      <c r="AJ49" s="930"/>
      <c r="AK49" s="930"/>
      <c r="AL49" s="929"/>
      <c r="AM49" s="929"/>
      <c r="AN49" s="929"/>
      <c r="AO49" s="486"/>
      <c r="AP49" s="931">
        <f>SUM(AP12:AP48)</f>
        <v>-2.9490045836835954E-2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4.5848802566982421E-5</v>
      </c>
      <c r="BX49" s="120" t="s">
        <v>158</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9.7342235671156924E-6</v>
      </c>
      <c r="BX50" s="120" t="s">
        <v>158</v>
      </c>
      <c r="BY50" s="2"/>
      <c r="BZ50" s="2"/>
      <c r="CA50" s="2"/>
      <c r="CB50" s="2"/>
      <c r="CC50" s="2"/>
      <c r="CD50" s="2"/>
      <c r="CE50" s="2"/>
    </row>
    <row r="51" spans="1:83" ht="12.75" customHeight="1" thickBot="1" x14ac:dyDescent="0.3">
      <c r="A51" s="17"/>
      <c r="B51" s="104" t="s">
        <v>220</v>
      </c>
      <c r="C51" s="295">
        <f>SUM(C52,C55:C57)</f>
        <v>103925.26318223659</v>
      </c>
      <c r="D51" s="446">
        <f t="shared" ref="D51:D57" si="13">C51/$C$103</f>
        <v>3.9864898311578665E-6</v>
      </c>
      <c r="E51" s="295">
        <f>SUM(E52,E55:E57)</f>
        <v>79552505.197875857</v>
      </c>
      <c r="F51" s="446">
        <f t="shared" ref="F51:F57" si="14">E51/$E$103</f>
        <v>3.7158993049101433E-2</v>
      </c>
      <c r="G51" s="296">
        <f>SUM(G52,G55:G57)</f>
        <v>434768602.36094302</v>
      </c>
      <c r="H51" s="446">
        <f t="shared" ref="H51:H57" si="15">G51/$G$103</f>
        <v>2.3611911941401727E-2</v>
      </c>
      <c r="I51" s="296">
        <f>SUM(I52,I55:I57)</f>
        <v>348625799.73137939</v>
      </c>
      <c r="J51" s="446">
        <f t="shared" ref="J51:J57" si="16">I51/$I$103</f>
        <v>2.9483817420076563E-2</v>
      </c>
      <c r="K51" s="296">
        <f>SUM(K52,K55:K57)</f>
        <v>1002027103.9368832</v>
      </c>
      <c r="L51" s="461">
        <f t="shared" ref="L51:L57" si="17">K51/$K$103</f>
        <v>2.2855935540458627E-2</v>
      </c>
      <c r="M51" s="459">
        <f>(M.w2RD+M.w2RS+M.w2RA+M.w2RP)*Molweight/(VOLUME.w2R)</f>
        <v>1.039252631822365E-5</v>
      </c>
      <c r="N51" s="459">
        <f>(M.w2CD+M.w2CS+M.w2CA+M.w2CP)*Molweight/(VOLUME.w2C)</f>
        <v>1.0711516530342171E-7</v>
      </c>
      <c r="O51" s="459">
        <f>(M.w2MD+M.w2MS+M.w2MA+M.w2MP)*Molweight/(VOLUME.w2M)</f>
        <v>1.120953948002191E-7</v>
      </c>
      <c r="P51" s="459">
        <f>(M.w2AD+M.w2AS+M.w2AA+M.w2AP)*Molweight/(VOLUME.w2A)</f>
        <v>1.3671599989465855E-7</v>
      </c>
      <c r="Q51" s="459">
        <f>(M.w2TD+M.w2TS+M.w2TA+M.w2TP)*Molweight/(VOLUME.w2T)</f>
        <v>1.1227194441869843E-7</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140</v>
      </c>
      <c r="C52" s="295">
        <f>M.w2RD*Molweight</f>
        <v>97342.235671157032</v>
      </c>
      <c r="D52" s="446">
        <f t="shared" si="13"/>
        <v>3.7339701701286437E-6</v>
      </c>
      <c r="E52" s="295">
        <f>M.w2CD*Molweight</f>
        <v>79544225.508406729</v>
      </c>
      <c r="F52" s="446">
        <f t="shared" si="14"/>
        <v>3.71551256042904E-2</v>
      </c>
      <c r="G52" s="296">
        <f>M.w2MD*Molweight</f>
        <v>434763051.07248425</v>
      </c>
      <c r="H52" s="446">
        <f t="shared" si="15"/>
        <v>2.3611610455660719E-2</v>
      </c>
      <c r="I52" s="296">
        <f>M.w2AD*Molweight</f>
        <v>348624325.64118779</v>
      </c>
      <c r="J52" s="446">
        <f t="shared" si="16"/>
        <v>2.9483692754013111E-2</v>
      </c>
      <c r="K52" s="296">
        <f>M.w2TD*Molweight</f>
        <v>1002023623.0153067</v>
      </c>
      <c r="L52" s="461">
        <f t="shared" si="17"/>
        <v>2.2855856141689012E-2</v>
      </c>
      <c r="M52" s="124">
        <f>C.w2R*Molweight</f>
        <v>9.7342235671156924E-6</v>
      </c>
      <c r="N52" s="124">
        <f>C.w2C*Molweight</f>
        <v>1.0710401693915664E-7</v>
      </c>
      <c r="O52" s="124">
        <f>C.w2M*Molweight</f>
        <v>1.1209396352420688E-7</v>
      </c>
      <c r="P52" s="124">
        <f>C.w2A*Molweight</f>
        <v>1.3671542182007362E-7</v>
      </c>
      <c r="Q52" s="124">
        <f>C.w2T*Molweight</f>
        <v>1.1227155439947416E-7</v>
      </c>
      <c r="R52" s="160" t="s">
        <v>158</v>
      </c>
      <c r="S52" s="163">
        <f>F.w2R</f>
        <v>2.4184728099723451E-24</v>
      </c>
      <c r="T52" s="163">
        <f>F.w2C</f>
        <v>2.6610047634535616E-26</v>
      </c>
      <c r="U52" s="163">
        <f>F.w2M</f>
        <v>2.7849802408601706E-26</v>
      </c>
      <c r="V52" s="163">
        <f>F.w2A</f>
        <v>6.9809252958074027E-32</v>
      </c>
      <c r="W52" s="162">
        <f>F.w2T</f>
        <v>2.578667466177936E-23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0.70112932347859402</v>
      </c>
      <c r="BX52" s="120" t="s">
        <v>175</v>
      </c>
      <c r="BY52" s="2"/>
      <c r="BZ52" s="2"/>
      <c r="CA52" s="2"/>
      <c r="CB52" s="2"/>
      <c r="CC52" s="2"/>
      <c r="CD52" s="2"/>
      <c r="CE52" s="2"/>
    </row>
    <row r="53" spans="1:83" ht="12.75" customHeight="1" x14ac:dyDescent="0.2">
      <c r="A53" s="17"/>
      <c r="B53" s="159" t="s">
        <v>161</v>
      </c>
      <c r="C53" s="295">
        <f>FRwD.w2R*C52</f>
        <v>65984.894233508909</v>
      </c>
      <c r="D53" s="446">
        <f t="shared" si="13"/>
        <v>2.5311276759592762E-6</v>
      </c>
      <c r="E53" s="295">
        <f>FRw.w2C*E52</f>
        <v>53920246.138478816</v>
      </c>
      <c r="F53" s="446">
        <f t="shared" si="14"/>
        <v>2.5186159084265664E-2</v>
      </c>
      <c r="G53" s="296">
        <f>FRw.w2M*G52</f>
        <v>294710654.05328304</v>
      </c>
      <c r="H53" s="446">
        <f t="shared" si="15"/>
        <v>1.6005484236697384E-2</v>
      </c>
      <c r="I53" s="296">
        <f>FRw.w2A*I52</f>
        <v>236320227.24826655</v>
      </c>
      <c r="J53" s="446">
        <f t="shared" si="16"/>
        <v>1.9985963282773491E-2</v>
      </c>
      <c r="K53" s="296">
        <f>FRw.w2T*K52</f>
        <v>679236739.61531615</v>
      </c>
      <c r="L53" s="461">
        <f t="shared" si="17"/>
        <v>1.5493184841372142E-2</v>
      </c>
      <c r="M53" s="124">
        <f>M52*FRwD.w2R</f>
        <v>6.5984894233508841E-6</v>
      </c>
      <c r="N53" s="124">
        <f>N52*FRw.w2C</f>
        <v>7.2602064057670474E-8</v>
      </c>
      <c r="O53" s="124">
        <f>O52*FRw.w2M</f>
        <v>7.5984574181618242E-8</v>
      </c>
      <c r="P53" s="124">
        <f>P52*FRw.w2A</f>
        <v>9.2674598920888819E-8</v>
      </c>
      <c r="Q53" s="124">
        <f>Q52*FRw.w2T</f>
        <v>7.6104956819643268E-8</v>
      </c>
      <c r="R53" s="160" t="s">
        <v>158</v>
      </c>
      <c r="S53" s="163">
        <f>S52*FRwD.w2R</f>
        <v>1.6393980626430939E-24</v>
      </c>
      <c r="T53" s="163">
        <f>T52*FRw.w2C</f>
        <v>1.8038019844182978E-26</v>
      </c>
      <c r="U53" s="163">
        <f>U52*FRw.w2M</f>
        <v>1.887840620965124E-26</v>
      </c>
      <c r="V53" s="163">
        <f>V52*FRw.w2A</f>
        <v>4.7321249005622228E-32</v>
      </c>
      <c r="W53" s="162">
        <f>W52*FRw.w2T</f>
        <v>1.747988412696368E-23</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0.24108861948151986</v>
      </c>
      <c r="BX53" s="120" t="s">
        <v>175</v>
      </c>
      <c r="BY53" s="2"/>
      <c r="BZ53" s="2"/>
      <c r="CA53" s="2"/>
      <c r="CB53" s="2"/>
      <c r="CC53" s="2"/>
      <c r="CD53" s="2"/>
      <c r="CE53" s="2"/>
    </row>
    <row r="54" spans="1:83" ht="12.75" customHeight="1" thickBot="1" x14ac:dyDescent="0.25">
      <c r="A54" s="17"/>
      <c r="B54" s="159" t="s">
        <v>163</v>
      </c>
      <c r="C54" s="295">
        <f>(1-FRwD.w2R)*C52</f>
        <v>31357.341437648116</v>
      </c>
      <c r="D54" s="446">
        <f t="shared" si="13"/>
        <v>1.2028424941693676E-6</v>
      </c>
      <c r="E54" s="295">
        <f>(1-FRw.w2C)*E52</f>
        <v>25623979.369927909</v>
      </c>
      <c r="F54" s="446">
        <f t="shared" si="14"/>
        <v>1.1968966520024733E-2</v>
      </c>
      <c r="G54" s="296">
        <f>(1-FRw.w2M)*G52</f>
        <v>140052397.01920122</v>
      </c>
      <c r="H54" s="446">
        <f t="shared" si="15"/>
        <v>7.606126218963334E-3</v>
      </c>
      <c r="I54" s="296">
        <f>(1-FRw.w2A)*I52</f>
        <v>112304098.39292125</v>
      </c>
      <c r="J54" s="446">
        <f t="shared" si="16"/>
        <v>9.4977294712396219E-3</v>
      </c>
      <c r="K54" s="296">
        <f>(1-FRw.w2T)*K52</f>
        <v>322786883.39999062</v>
      </c>
      <c r="L54" s="461">
        <f t="shared" si="17"/>
        <v>7.3626713003168706E-3</v>
      </c>
      <c r="M54" s="124">
        <f>M53*Kp.susp2R</f>
        <v>0.62685649521833398</v>
      </c>
      <c r="N54" s="124">
        <f>N53*Kp.susp2C</f>
        <v>6.8971960854786948E-3</v>
      </c>
      <c r="O54" s="124">
        <f>O53*Kp.susp2M</f>
        <v>7.2185345472537332E-3</v>
      </c>
      <c r="P54" s="124">
        <f>P53*Kp.susp2A</f>
        <v>8.8040868974844384E-3</v>
      </c>
      <c r="Q54" s="124">
        <f>Q53*Kp.susp2T</f>
        <v>7.2299708978661101E-3</v>
      </c>
      <c r="R54" s="160" t="s">
        <v>164</v>
      </c>
      <c r="S54" s="163">
        <f>S52*(1-FRwD.w2R)</f>
        <v>7.7907474732925131E-25</v>
      </c>
      <c r="T54" s="163">
        <f>T52*(1-FRw.w2C)</f>
        <v>8.5720277903526382E-27</v>
      </c>
      <c r="U54" s="163">
        <f>U52*(1-FRw.w2M)</f>
        <v>8.9713961989504657E-27</v>
      </c>
      <c r="V54" s="163">
        <f>V52*(1-FRw.w2A)</f>
        <v>2.2488003952451801E-32</v>
      </c>
      <c r="W54" s="162">
        <f>W52*(1-FRw.w2T)</f>
        <v>8.3067905348156818E-24</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2">
      <c r="A55" s="17"/>
      <c r="B55" s="159" t="s">
        <v>147</v>
      </c>
      <c r="C55" s="295">
        <f>M.w2RS*Molweight</f>
        <v>5.2486419509383833E-2</v>
      </c>
      <c r="D55" s="446">
        <f t="shared" si="13"/>
        <v>2.0133370004667761E-12</v>
      </c>
      <c r="E55" s="295">
        <f>M.w2CS*Molweight</f>
        <v>1.1524946452766434</v>
      </c>
      <c r="F55" s="446">
        <f t="shared" si="14"/>
        <v>5.3833050771234417E-10</v>
      </c>
      <c r="G55" s="296">
        <f>M.w2MS*Molweight</f>
        <v>3.4280358210597627E-2</v>
      </c>
      <c r="H55" s="446">
        <f t="shared" si="15"/>
        <v>1.8617370136502124E-12</v>
      </c>
      <c r="I55" s="296">
        <f>M.w2AS*Molweight</f>
        <v>3.6113147491108186E-4</v>
      </c>
      <c r="J55" s="446">
        <f t="shared" si="16"/>
        <v>3.054144150870463E-14</v>
      </c>
      <c r="K55" s="296">
        <f>M.w2TS*Molweight</f>
        <v>7.0398102543726472E-4</v>
      </c>
      <c r="L55" s="461">
        <f t="shared" si="17"/>
        <v>1.6057594526019517E-14</v>
      </c>
      <c r="M55" s="124">
        <f>C.w2RS*Molweight</f>
        <v>5.2486419509383767E-12</v>
      </c>
      <c r="N55" s="124">
        <f>C.w2CS*Molweight</f>
        <v>1.5518009663310049E-15</v>
      </c>
      <c r="O55" s="124">
        <f>C.w2MS*Molweight</f>
        <v>8.8384263873767622E-18</v>
      </c>
      <c r="P55" s="124">
        <f>C.w2AS*Molweight</f>
        <v>1.4162018623963995E-19</v>
      </c>
      <c r="Q55" s="124">
        <f>C.w2TS*Molweight</f>
        <v>7.8877425819301376E-20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6.6907569564652922E-2</v>
      </c>
      <c r="BX55" s="120" t="s">
        <v>175</v>
      </c>
      <c r="BY55" s="2"/>
      <c r="BZ55" s="2"/>
      <c r="CA55" s="2"/>
      <c r="CB55" s="2"/>
      <c r="CC55" s="2"/>
      <c r="CD55" s="2"/>
      <c r="CE55" s="2"/>
    </row>
    <row r="56" spans="1:83" ht="12.75" customHeight="1" x14ac:dyDescent="0.2">
      <c r="A56" s="17"/>
      <c r="B56" s="159" t="s">
        <v>150</v>
      </c>
      <c r="C56" s="295">
        <f>M.w2RA*Molweight</f>
        <v>6547.9815709151862</v>
      </c>
      <c r="D56" s="446">
        <f t="shared" si="13"/>
        <v>2.5117532684318698E-7</v>
      </c>
      <c r="E56" s="295">
        <f>M.w2CA*Molweight</f>
        <v>8257.4201319040385</v>
      </c>
      <c r="F56" s="446">
        <f t="shared" si="14"/>
        <v>3.8570427986110141E-6</v>
      </c>
      <c r="G56" s="296">
        <f>M.w2MA*Molweight</f>
        <v>5550.6213133158917</v>
      </c>
      <c r="H56" s="446">
        <f t="shared" si="15"/>
        <v>3.0144950890744482E-7</v>
      </c>
      <c r="I56" s="296">
        <f>M.w2AA*Molweight</f>
        <v>1474.081590228717</v>
      </c>
      <c r="J56" s="446">
        <f t="shared" si="16"/>
        <v>1.2466533601955819E-7</v>
      </c>
      <c r="K56" s="296">
        <f>M.w2TA*Molweight</f>
        <v>3480.9075817617454</v>
      </c>
      <c r="L56" s="461">
        <f t="shared" si="17"/>
        <v>7.9398450399652603E-8</v>
      </c>
      <c r="M56" s="124">
        <f>C.w2RA*Molweight</f>
        <v>6.5479815709151783E-7</v>
      </c>
      <c r="N56" s="124">
        <f>C.w2CA*Molweight</f>
        <v>1.1118379241592014E-11</v>
      </c>
      <c r="O56" s="124">
        <f>C.w2MA*Molweight</f>
        <v>1.4311040036559692E-12</v>
      </c>
      <c r="P56" s="124">
        <f>C.w2AA*Molweight</f>
        <v>5.7807121185439883E-13</v>
      </c>
      <c r="Q56" s="124">
        <f>C.w2TA*Molweight</f>
        <v>3.9001765621980346E-13</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0.5445981857715958</v>
      </c>
      <c r="BX56" s="120" t="s">
        <v>175</v>
      </c>
      <c r="BY56" s="2"/>
      <c r="BZ56" s="2"/>
      <c r="CA56" s="2"/>
      <c r="CB56" s="2"/>
      <c r="CC56" s="2"/>
      <c r="CD56" s="2"/>
      <c r="CE56" s="2"/>
    </row>
    <row r="57" spans="1:83" ht="12.75" customHeight="1" thickBot="1" x14ac:dyDescent="0.25">
      <c r="A57" s="17"/>
      <c r="B57" s="159" t="s">
        <v>152</v>
      </c>
      <c r="C57" s="295">
        <f>M.w2RP*Molweight</f>
        <v>34.993453744873172</v>
      </c>
      <c r="D57" s="446">
        <f t="shared" si="13"/>
        <v>1.3423208490356199E-9</v>
      </c>
      <c r="E57" s="295">
        <f>M.w2CP*Molweight</f>
        <v>21.116842582445923</v>
      </c>
      <c r="F57" s="446">
        <f t="shared" si="14"/>
        <v>9.8636819140804249E-9</v>
      </c>
      <c r="G57" s="296">
        <f>M.w2MP*Molweight</f>
        <v>0.63286506533854847</v>
      </c>
      <c r="H57" s="446">
        <f t="shared" si="15"/>
        <v>3.437036187161812E-11</v>
      </c>
      <c r="I57" s="296">
        <f>M.w2AP*Molweight</f>
        <v>8.2401955143209665E-3</v>
      </c>
      <c r="J57" s="446">
        <f t="shared" si="16"/>
        <v>6.9688594543826417E-13</v>
      </c>
      <c r="K57" s="296">
        <f>M.w2TP*Molweight</f>
        <v>1.3290821543171604E-2</v>
      </c>
      <c r="L57" s="461">
        <f t="shared" si="17"/>
        <v>3.0315962440233901E-13</v>
      </c>
      <c r="M57" s="124">
        <f>C.w2RP*Molweight</f>
        <v>3.4993453744873127E-9</v>
      </c>
      <c r="N57" s="124">
        <f>C.w2CP*Molweight</f>
        <v>2.8433222539991438E-14</v>
      </c>
      <c r="O57" s="124">
        <f>C.w2MP*Molweight</f>
        <v>1.6317015297138666E-16</v>
      </c>
      <c r="P57" s="124">
        <f>C.w2AP*Molweight</f>
        <v>3.2314492213023402E-18</v>
      </c>
      <c r="Q57" s="124">
        <f>C.w2TP*Molweight</f>
        <v>1.4891676799071828E-18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6.6907531734380618E-2</v>
      </c>
      <c r="BX57" s="120" t="s">
        <v>175</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2">
      <c r="A59" s="17"/>
      <c r="B59" s="104" t="s">
        <v>233</v>
      </c>
      <c r="C59" s="295"/>
      <c r="D59" s="446"/>
      <c r="E59" s="296"/>
      <c r="F59" s="446"/>
      <c r="G59" s="296">
        <f>SUM(G60,G63:G65)</f>
        <v>13043338216.742502</v>
      </c>
      <c r="H59" s="446">
        <f t="shared" ref="H59:H65" si="18">G59/$G$103</f>
        <v>0.70837257272769127</v>
      </c>
      <c r="I59" s="296">
        <f>SUM(I60,I63:I65)</f>
        <v>8583048447.1400595</v>
      </c>
      <c r="J59" s="446">
        <f t="shared" ref="J59:J65" si="19">I59/$I$103</f>
        <v>0.72588154266877525</v>
      </c>
      <c r="K59" s="296">
        <f>SUM(K60,K63:K65)</f>
        <v>32277730055.755405</v>
      </c>
      <c r="L59" s="461">
        <f t="shared" ref="L59:L65" si="20">K59/$K$103</f>
        <v>0.73624527185757549</v>
      </c>
      <c r="M59" s="459"/>
      <c r="N59" s="459"/>
      <c r="O59" s="459">
        <f>(M.w3MD+M.w3MS+M.w3MA+M.w3MP)*Molweight/(VOLUME.w3M)</f>
        <v>1.1209780244623928E-7</v>
      </c>
      <c r="P59" s="459">
        <f>(M.w3AD+M.w3AS+M.w3AA+M.w3AP)*Molweight/(VOLUME.w3A)</f>
        <v>1.1219671172732105E-7</v>
      </c>
      <c r="Q59" s="459">
        <f>(M.w3TD+M.w3TS+M.w3TA+M.w3TP)*Molweight/(VOLUME.w3T)</f>
        <v>1.2055174623998284E-7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140</v>
      </c>
      <c r="C60" s="295"/>
      <c r="D60" s="446"/>
      <c r="E60" s="296"/>
      <c r="F60" s="446"/>
      <c r="G60" s="296">
        <f>M.w3MD*Molweight</f>
        <v>13043338099.391693</v>
      </c>
      <c r="H60" s="446">
        <f t="shared" si="18"/>
        <v>0.70837256635446888</v>
      </c>
      <c r="I60" s="296">
        <f>M.w3AD*Molweight</f>
        <v>8583048413.4729137</v>
      </c>
      <c r="J60" s="446">
        <f t="shared" si="19"/>
        <v>0.72588153982149328</v>
      </c>
      <c r="K60" s="296">
        <f>M.w3TD*Molweight</f>
        <v>32277729988.60511</v>
      </c>
      <c r="L60" s="461">
        <f t="shared" si="20"/>
        <v>0.73624527032589748</v>
      </c>
      <c r="M60" s="124"/>
      <c r="N60" s="124"/>
      <c r="O60" s="124">
        <f>C.w3M*Molweight</f>
        <v>1.1209780143769625E-7</v>
      </c>
      <c r="P60" s="124">
        <f>C.w3A*Molweight</f>
        <v>1.1219671128722763E-7</v>
      </c>
      <c r="Q60" s="124">
        <f>C.w3T*Molweight</f>
        <v>1.2055174598918809E-7</v>
      </c>
      <c r="R60" s="160" t="s">
        <v>158</v>
      </c>
      <c r="S60" s="163"/>
      <c r="T60" s="163"/>
      <c r="U60" s="163">
        <f>F.w3M</f>
        <v>2.7850755940165578E-26</v>
      </c>
      <c r="V60" s="163">
        <f>F.w3A</f>
        <v>5.7289576369972211E-32</v>
      </c>
      <c r="W60" s="162">
        <f>F.w3T</f>
        <v>2.7688479689804825E-23</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161</v>
      </c>
      <c r="C61" s="295"/>
      <c r="D61" s="446"/>
      <c r="E61" s="296"/>
      <c r="F61" s="446"/>
      <c r="G61" s="296">
        <f>FRw.w3M*G60</f>
        <v>8841622333.8835506</v>
      </c>
      <c r="H61" s="446">
        <f t="shared" si="18"/>
        <v>0.48018096714691288</v>
      </c>
      <c r="I61" s="296">
        <f>FRw.w3A*I60</f>
        <v>5818148081.9626312</v>
      </c>
      <c r="J61" s="446">
        <f t="shared" si="19"/>
        <v>0.49204968738323313</v>
      </c>
      <c r="K61" s="296">
        <f>FRw.w3T*K60</f>
        <v>21879943322.7621</v>
      </c>
      <c r="L61" s="461">
        <f t="shared" si="20"/>
        <v>0.49907489752436746</v>
      </c>
      <c r="M61" s="124"/>
      <c r="N61" s="124"/>
      <c r="O61" s="124">
        <f>O60*FRw.w3M</f>
        <v>7.5987175768831931E-8</v>
      </c>
      <c r="P61" s="124">
        <f>P60*FRw.w3A</f>
        <v>7.6054223293629175E-8</v>
      </c>
      <c r="Q61" s="124">
        <f>Q60*FRw.w3T</f>
        <v>8.1717808861856589E-8</v>
      </c>
      <c r="R61" s="160" t="s">
        <v>158</v>
      </c>
      <c r="S61" s="163"/>
      <c r="T61" s="163"/>
      <c r="U61" s="163">
        <f>U60*FRw.w3M</f>
        <v>1.887905257532136E-26</v>
      </c>
      <c r="V61" s="163">
        <f>V60*FRw.w3A</f>
        <v>3.883459848020784E-32</v>
      </c>
      <c r="W61" s="162">
        <f>W60*FRw.w3T</f>
        <v>1.8769051185453574E-23</v>
      </c>
      <c r="X61" s="17"/>
      <c r="Y61" s="156"/>
      <c r="Z61" s="17"/>
      <c r="AA61" s="312" t="s">
        <v>141</v>
      </c>
      <c r="AB61" s="162" t="s">
        <v>110</v>
      </c>
      <c r="AC61" s="161">
        <f>E.aRS*Molweight</f>
        <v>0.31709791983764585</v>
      </c>
      <c r="AD61" s="163">
        <f>k.aC.aR*(M.aCS+M.aCA+M.aCP)*Molweight</f>
        <v>3.7012896220577608E-2</v>
      </c>
      <c r="AE61" s="163">
        <f>k.aR.aC*(M.aRS+M.aRA+M.aRP)*Molweight</f>
        <v>0.31367704280162101</v>
      </c>
      <c r="AF61" s="163">
        <f>kesc.aR*VOLUME.aR*(C.aRS+C.aRA+C.aRP)*Molweight</f>
        <v>1.2198118700463435E-5</v>
      </c>
      <c r="AG61" s="163"/>
      <c r="AH61" s="162">
        <f>(kdegS.a*C.aRS+kdegA.a*C.aRA+kdegP.a*C.aRP)*VOLUME.aR*Molweight</f>
        <v>0</v>
      </c>
      <c r="AI61" s="163">
        <f>SUM(AI62:AI64)</f>
        <v>2.7755342334020855E-3</v>
      </c>
      <c r="AJ61" s="163">
        <f>SUM(AJ62:AJ64)</f>
        <v>0</v>
      </c>
      <c r="AK61" s="163">
        <f>SUM(AK67:AK69)</f>
        <v>3.7646040904499932E-2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163</v>
      </c>
      <c r="C62" s="295"/>
      <c r="D62" s="446"/>
      <c r="E62" s="296"/>
      <c r="F62" s="446"/>
      <c r="G62" s="296">
        <f>(1-FRw.w3M)*G60</f>
        <v>4201715765.5081425</v>
      </c>
      <c r="H62" s="446">
        <f t="shared" si="18"/>
        <v>0.22819159920755602</v>
      </c>
      <c r="I62" s="296">
        <f>(1-FRw.w3A)*I60</f>
        <v>2764900331.5102825</v>
      </c>
      <c r="J62" s="446">
        <f t="shared" si="19"/>
        <v>0.23383185243826013</v>
      </c>
      <c r="K62" s="296">
        <f>(1-FRw.w3T)*K60</f>
        <v>10397786665.843008</v>
      </c>
      <c r="L62" s="461">
        <f t="shared" si="20"/>
        <v>0.23717037280152997</v>
      </c>
      <c r="M62" s="124"/>
      <c r="N62" s="124"/>
      <c r="O62" s="124">
        <f>O61*Kp.susp3M</f>
        <v>7.2187816980390333E-3</v>
      </c>
      <c r="P62" s="124">
        <f>P61*Kp.susp3A</f>
        <v>7.2251512128947712E-3</v>
      </c>
      <c r="Q62" s="124">
        <f>Q61*Kp.susp3T</f>
        <v>7.7631918418763759E-3</v>
      </c>
      <c r="R62" s="160" t="s">
        <v>164</v>
      </c>
      <c r="S62" s="163"/>
      <c r="T62" s="163"/>
      <c r="U62" s="163">
        <f>U60*(1-FRw.w3M)</f>
        <v>8.971703364844219E-27</v>
      </c>
      <c r="V62" s="163">
        <f>V60*(1-FRw.w3A)</f>
        <v>1.8454977889764374E-32</v>
      </c>
      <c r="W62" s="162">
        <f>W60*(1-FRw.w3T)</f>
        <v>8.9194285043512502E-24</v>
      </c>
      <c r="X62" s="17"/>
      <c r="Y62" s="156"/>
      <c r="Z62" s="17"/>
      <c r="AA62" s="312" t="s">
        <v>143</v>
      </c>
      <c r="AB62" s="162" t="s">
        <v>144</v>
      </c>
      <c r="AC62" s="161">
        <f>E.w0RS*Molweight</f>
        <v>0</v>
      </c>
      <c r="AD62" s="163">
        <f>k.w1R.w0R*(M.w1RS+M.w1RA+M.w1RP)*Molweight</f>
        <v>0</v>
      </c>
      <c r="AE62" s="163">
        <f>(k.w0R.w1R+k.w0R.w2R)*(M.w0RS+M.w0RA+M.w0RP)*Molweight</f>
        <v>9.1751413824207086E-6</v>
      </c>
      <c r="AF62" s="163"/>
      <c r="AG62" s="163">
        <f>(kdis.w0S.w0D*M.w0RS+kdis.w0A.w0D*M.w0RA+kdis.w0P.w0D*M.w0RP)*Molweight</f>
        <v>5.052094992057482E-4</v>
      </c>
      <c r="AH62" s="162">
        <f>(kdegS.w0*M.w0RS+kdegA.w0*M.w0RA+kdegP.w0*M.w0RP)*Molweight</f>
        <v>0</v>
      </c>
      <c r="AI62" s="163">
        <f>((k.aRS.w0RS*M.aRS+k.aRA.w0RA*M.aRA+k.aRP.w0RP*M.aRP)+(k.cwRS.w0RS*M.cwRS+k.cwRA.w0RA*M.cwRA+k.cwRP.w0RP*M.cwRP))*Molweight</f>
        <v>2.0583922042823193E-4</v>
      </c>
      <c r="AJ62" s="163"/>
      <c r="AK62" s="163"/>
      <c r="AL62" s="163"/>
      <c r="AM62" s="163"/>
      <c r="AN62" s="163">
        <f>(k.w0RS.sd0RS*M.w0RS+k.w0RA.sd0RA*M.w0RA+k.w0RP.sd0RP*M.w0RP)*Molweight</f>
        <v>3.8290882549668858E-6</v>
      </c>
      <c r="AO62" s="162">
        <f>(k.sd0RS.w0RS*M.sd0RS+k.sd0RA.w0RA*M.sd0RA+k.sd0RP.w0RP*M.sd0RP)*Molweight</f>
        <v>0</v>
      </c>
      <c r="AP62" s="909">
        <f>SUM(AC62,AD62,AI62,AM62,AO62)-SUM(AF62,AE62,AH62,AJ62,AN62,AG62)</f>
        <v>-3.1237450841490385E-4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147</v>
      </c>
      <c r="C63" s="295"/>
      <c r="D63" s="446"/>
      <c r="E63" s="296"/>
      <c r="F63" s="446"/>
      <c r="G63" s="296">
        <f>M.w3MS*Molweight</f>
        <v>2.8195670761753062E-6</v>
      </c>
      <c r="H63" s="446">
        <f t="shared" si="18"/>
        <v>1.5312828284747269E-16</v>
      </c>
      <c r="I63" s="296">
        <f>M.w3AS*Molweight</f>
        <v>3.4757800986499968E-8</v>
      </c>
      <c r="J63" s="446">
        <f t="shared" si="19"/>
        <v>2.939520422753961E-18</v>
      </c>
      <c r="K63" s="296">
        <f>M.w3TS*Molweight</f>
        <v>5.0542242321483554E-8</v>
      </c>
      <c r="L63" s="461">
        <f t="shared" si="20"/>
        <v>1.1528532791492559E-18</v>
      </c>
      <c r="M63" s="124"/>
      <c r="N63" s="124"/>
      <c r="O63" s="124">
        <f>C.w3MS*Molweight</f>
        <v>2.4232084443176842E-23</v>
      </c>
      <c r="P63" s="124">
        <f>C.w3AS*Molweight</f>
        <v>4.5435033969281003E-25</v>
      </c>
      <c r="Q63" s="124">
        <f>C.w3TS*Molweight</f>
        <v>1.8876654461805253E-25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9.1751413824207069E-6</v>
      </c>
      <c r="AE63" s="163">
        <f>(WATERflow.w1R.w0R+WATERflow.w1R.w2R)*(C.w1RS+C.w1RA+C.w1RP)*Molweight</f>
        <v>8.6526857446713221E-2</v>
      </c>
      <c r="AF63" s="163"/>
      <c r="AG63" s="163">
        <f>(kdis.w1S.w1D*M.w1RS+kdis.w1A.w1D*M.w1RA+kdis.w1P.w1D*M.w1RP)*Molweight</f>
        <v>0.15722572769008825</v>
      </c>
      <c r="AH63" s="162">
        <f>(kdegS.w1*M.w1RS+kdegA.w1*M.w1RA+kdegP.w1*M.w1RP)*Molweight</f>
        <v>0</v>
      </c>
      <c r="AI63" s="163">
        <f>((k.aRS.w1RS*M.aRS+k.aRA.w1RA*M.aRA+k.aRP.w1RP*M.aRP)+(k.cwRS.w1RS*M.cwRS+k.cwRA.w1RA*M.cwRA+k.cwRP.w1RP*M.cwRP))*Molweight</f>
        <v>2.2642314247105517E-3</v>
      </c>
      <c r="AJ63" s="163"/>
      <c r="AK63" s="163"/>
      <c r="AL63" s="163"/>
      <c r="AM63" s="163">
        <f>(k.s1RS.w1RS*M.s1RS+k.s1RA.w1RA*M.s1RA+k.s1RP.w1RP*M.s1RP+k.s2RS.w1RS*M.s2RS+k.s2RA.w1RA*M.s2RA+k.s2RP.w1RP*M.s2RP+k.s3RS.w1RS*M.s3RS+k.s3RA.w1RA*M.s3RA+k.s3RP.w1RP*M.s3RP)*Molweight</f>
        <v>3.4361195925639446E-3</v>
      </c>
      <c r="AN63" s="163">
        <f>(k.w1RS.sd1RS*M.w1RS+k.w1RA.sd1RA*M.w1RA+k.w1RP.sd1RP*M.w1RP)*Molweight</f>
        <v>9.4593894460836894E-2</v>
      </c>
      <c r="AO63" s="162">
        <f>(k.sd1RS.w1RS*M.sd1RS+k.sd1RA.w1RA*M.sd1RA+k.sd1RP.w1RP*M.sd1RP)*Molweight</f>
        <v>1.5539033601335558E-2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150</v>
      </c>
      <c r="C64" s="295"/>
      <c r="D64" s="446"/>
      <c r="E64" s="296"/>
      <c r="F64" s="446"/>
      <c r="G64" s="296">
        <f>M.w3MA*Molweight</f>
        <v>117.32170815831999</v>
      </c>
      <c r="H64" s="446">
        <f t="shared" si="18"/>
        <v>6.3716418959556889E-9</v>
      </c>
      <c r="I64" s="296">
        <f>M.w3AA*Molweight</f>
        <v>33.666752434383227</v>
      </c>
      <c r="J64" s="446">
        <f t="shared" si="19"/>
        <v>2.8472487769611514E-9</v>
      </c>
      <c r="K64" s="296">
        <f>M.w3TA*Molweight</f>
        <v>67.149702612656895</v>
      </c>
      <c r="L64" s="461">
        <f t="shared" si="20"/>
        <v>1.5316644314768215E-9</v>
      </c>
      <c r="M64" s="124"/>
      <c r="N64" s="124"/>
      <c r="O64" s="124">
        <f>C.w3MA*Molweight</f>
        <v>1.0082929266455232E-15</v>
      </c>
      <c r="P64" s="124">
        <f>C.w3AA*Molweight</f>
        <v>4.400882671161206E-16</v>
      </c>
      <c r="Q64" s="124">
        <f>C.w3TA*Molweight</f>
        <v>2.5079254010329376E-16</v>
      </c>
      <c r="R64" s="160" t="s">
        <v>234</v>
      </c>
      <c r="S64" s="163"/>
      <c r="T64" s="163"/>
      <c r="U64" s="163"/>
      <c r="V64" s="163"/>
      <c r="W64" s="162"/>
      <c r="X64" s="17"/>
      <c r="Y64" s="156"/>
      <c r="Z64" s="17"/>
      <c r="AA64" s="312" t="s">
        <v>148</v>
      </c>
      <c r="AB64" s="162" t="s">
        <v>112</v>
      </c>
      <c r="AC64" s="161">
        <f>E.w2RS*Molweight</f>
        <v>0</v>
      </c>
      <c r="AD64" s="163">
        <f>(k.w1R.w2R*(M.w1RS+M.w1RA+M.w1RP)+k.w2C.w2R*(M.w2CS+M.w2CA+M.w2CP))*Molweight</f>
        <v>8.6526994891441014E-2</v>
      </c>
      <c r="AE64" s="163">
        <f>k.w2R.w2C*(M.w2RS+M.w2RA+M.w2RP)*Molweight</f>
        <v>9.0177895440515278E-3</v>
      </c>
      <c r="AF64" s="163"/>
      <c r="AG64" s="163">
        <f>(kdis.w2S.w2D*M.w2RS+kdis.w2A.w2D*M.w2RA+kdis.w2P.w2D*M.w2RP)*Molweight</f>
        <v>7.7679724630738897E-2</v>
      </c>
      <c r="AH64" s="162">
        <f>(kdegS.w2*M.w2RS+kdegA.w2*M.w2RA+kdegP.w2*M.w2RP)*Molweight</f>
        <v>0</v>
      </c>
      <c r="AI64" s="163">
        <f>((k.aRS.w2RS*M.aRS+k.aRA.w2RA*M.aRA+k.aRP.w2RP*M.aRP)+(k.cwRS.w2RS*M.cwRS+k.cwRA.w2RA*M.cwRA+k.cwRP.w2RP*M.cwRP))*Molweight</f>
        <v>3.0546358826330207E-4</v>
      </c>
      <c r="AJ64" s="163"/>
      <c r="AK64" s="163"/>
      <c r="AL64" s="163"/>
      <c r="AM64" s="163"/>
      <c r="AN64" s="163">
        <f>(k.w2RS.sd2RS*M.w2RS+k.w2RA.sd2RA*M.w2RA+k.w2RP.sd2RP*M.w2RP)*Molweight</f>
        <v>1.3504595332528569E-4</v>
      </c>
      <c r="AO64" s="162">
        <f>(k.sd2RS.w2RS*M.sd2RS+k.sd2RA.w2RA*M.sd2RA+k.sd2RP.w2RP*M.sd2RP)*Molweight</f>
        <v>1.0164841140428277E-7</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1.3108562776252347E-23</v>
      </c>
      <c r="CE64" s="2"/>
    </row>
    <row r="65" spans="1:83" ht="12.75" customHeight="1" x14ac:dyDescent="0.2">
      <c r="A65" s="17"/>
      <c r="B65" s="454" t="s">
        <v>152</v>
      </c>
      <c r="C65" s="295"/>
      <c r="D65" s="446"/>
      <c r="E65" s="296"/>
      <c r="F65" s="446"/>
      <c r="G65" s="296">
        <f>M.w3MP*Molweight</f>
        <v>2.9098076708799686E-2</v>
      </c>
      <c r="H65" s="446">
        <f t="shared" si="18"/>
        <v>1.5802917257165122E-12</v>
      </c>
      <c r="I65" s="296">
        <f>M.w3AP*Molweight</f>
        <v>3.9285813307134864E-4</v>
      </c>
      <c r="J65" s="446">
        <f t="shared" si="19"/>
        <v>3.3224613543784199E-14</v>
      </c>
      <c r="K65" s="296">
        <f>M.w3TP*Molweight</f>
        <v>5.897424697223735E-4</v>
      </c>
      <c r="L65" s="461">
        <f t="shared" si="20"/>
        <v>1.345184758025715E-14</v>
      </c>
      <c r="M65" s="124"/>
      <c r="N65" s="124"/>
      <c r="O65" s="124">
        <f>C.w3MP*Molweight</f>
        <v>2.5007635317480609E-19</v>
      </c>
      <c r="P65" s="124">
        <f>C.w3AP*Molweight</f>
        <v>5.1354004323052109E-21</v>
      </c>
      <c r="Q65" s="124">
        <f>C.w3TP*Molweight</f>
        <v>2.2025862547987808E-21</v>
      </c>
      <c r="R65" s="160" t="s">
        <v>234</v>
      </c>
      <c r="S65" s="163"/>
      <c r="T65" s="163"/>
      <c r="U65" s="163"/>
      <c r="V65" s="163"/>
      <c r="W65" s="162"/>
      <c r="X65" s="17"/>
      <c r="Y65" s="156"/>
      <c r="Z65" s="17"/>
      <c r="AA65" s="312" t="s">
        <v>151</v>
      </c>
      <c r="AB65" s="162" t="s">
        <v>113</v>
      </c>
      <c r="AC65" s="161"/>
      <c r="AD65" s="163"/>
      <c r="AE65" s="163"/>
      <c r="AF65" s="163">
        <f>kbur.sd1R*(M.sd1RS+M.sd1RA+M.sd1RP)*Molweight</f>
        <v>1.6968183385691626E-3</v>
      </c>
      <c r="AG65" s="163">
        <f>(kdis.sd1S.sd1D*M.sd1RS+kdis.sd1A.sd1D*M.sd1RA+kdis.sd1P.sd1D*M.sd1RP)*Molweight</f>
        <v>7.7358042520932216E-2</v>
      </c>
      <c r="AH65" s="162">
        <f>(kdegS.sd1*M.sd1RS+kdegA.sd1*M.sd1RA+kdegP.sd1*M.sd1RP)*Molweight</f>
        <v>0</v>
      </c>
      <c r="AI65" s="163"/>
      <c r="AJ65" s="163"/>
      <c r="AK65" s="163"/>
      <c r="AL65" s="163"/>
      <c r="AM65" s="163"/>
      <c r="AN65" s="163">
        <f>AN63</f>
        <v>9.4593894460836894E-2</v>
      </c>
      <c r="AO65" s="162">
        <f>AO63</f>
        <v>1.5539033601335558E-2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45406</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1.0455009070272583E-8</v>
      </c>
      <c r="AG66" s="163">
        <f>(kdis.sd2S.sd2D*M.sd2RS+kdis.sd2A.sd2D*M.sd2RA+kdis.sd2P.sd2D*M.sd2RP)*Molweight</f>
        <v>1.3493384990481111E-4</v>
      </c>
      <c r="AH66" s="162">
        <f>(kdegS.sd2*M.sd2RS+kdegA.sd2*M.sd2RA+kdegP.sd2*M.sd2RP)*Molweight</f>
        <v>0</v>
      </c>
      <c r="AI66" s="163"/>
      <c r="AJ66" s="163"/>
      <c r="AK66" s="163"/>
      <c r="AL66" s="163"/>
      <c r="AM66" s="163"/>
      <c r="AN66" s="163">
        <f>AN64</f>
        <v>1.3504595332528569E-4</v>
      </c>
      <c r="AO66" s="162">
        <f>AO64</f>
        <v>1.0164841140428277E-7</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236</v>
      </c>
      <c r="C67" s="295">
        <f>SUM(C68,C71:C73)</f>
        <v>9402467.5948513094</v>
      </c>
      <c r="D67" s="446">
        <f t="shared" ref="D67:D73" si="21">C67/$C$103</f>
        <v>3.6067112371838435E-4</v>
      </c>
      <c r="E67" s="295">
        <f>SUM(E68,E71:E73)</f>
        <v>383606129.28849655</v>
      </c>
      <c r="F67" s="446">
        <f t="shared" ref="F67:F73" si="22">E67/$E$103</f>
        <v>0.1791825091663431</v>
      </c>
      <c r="G67" s="296">
        <f>SUM(G68,G71:G73)</f>
        <v>4193472339.4608021</v>
      </c>
      <c r="H67" s="446">
        <f t="shared" ref="H67:H73" si="23">G67/$G$103</f>
        <v>0.22774390577047643</v>
      </c>
      <c r="I67" s="296">
        <f>SUM(I68,I71:I73)</f>
        <v>2759475820.8908558</v>
      </c>
      <c r="J67" s="446">
        <f t="shared" ref="J67:J73" si="24">I67/$I$103</f>
        <v>0.23337309327350619</v>
      </c>
      <c r="K67" s="296">
        <f>SUM(K68,K71:K73)</f>
        <v>10377387050.042461</v>
      </c>
      <c r="L67" s="461">
        <f t="shared" ref="L67:L73" si="25">K67/$K$103</f>
        <v>0.2367050637275982</v>
      </c>
      <c r="M67" s="459">
        <f>((M.sd2RD+M.sd2RS+M.sd2RA+M.sd2RP)*Molweight*1000/(VOLUME.sd2R))/ (FRACw.sdR*1000+FRACs.sdR*RHOsolid)</f>
        <v>0.24108891268849492</v>
      </c>
      <c r="N67" s="459">
        <f>((M.sd2CD+M.sd2CS+M.sd2CA+M.sd2CP)*Molweight*1000/(VOLUME.sd2C))/ (FRACw.sdC*1000+FRACs.sdC*RHOsolid)</f>
        <v>2.6487930492837953E-3</v>
      </c>
      <c r="O67" s="459">
        <f>((M.sdMD+M.sdMS+M.sdMA+M.sdMP)*Molweight*1000/(VOLUME.sdM))/(FRACw.sdM*1000+FRACs.sdM*RHOsolid)</f>
        <v>2.7722907342919412E-3</v>
      </c>
      <c r="P67" s="459">
        <f xml:space="preserve"> ((M.sdAD+M.sdAS+M.sdAA+M.sdAP)*Molweight*1000/(VOLUME.sdA))/(FRACw.sdA*1000+FRACs.sdA*RHOsolid)</f>
        <v>2.7747368736961843E-3</v>
      </c>
      <c r="Q67" s="459">
        <f>((M.sdTD+M.sdTS+M.sdTA+M.sdTP)*Molweight*1000/(VOLUME.sdT))/(FRACw.sdT*1000+FRACs.sdT*RHOsolid)</f>
        <v>2.9813652373892009E-3</v>
      </c>
      <c r="R67" s="160" t="s">
        <v>175</v>
      </c>
      <c r="S67" s="163"/>
      <c r="T67" s="163"/>
      <c r="U67" s="163"/>
      <c r="V67" s="163"/>
      <c r="W67" s="162"/>
      <c r="X67" s="17"/>
      <c r="Y67" s="156"/>
      <c r="Z67" s="17"/>
      <c r="AA67" s="312" t="s">
        <v>155</v>
      </c>
      <c r="AB67" s="162" t="s">
        <v>115</v>
      </c>
      <c r="AC67" s="161">
        <f>E.s1RS*Molweight</f>
        <v>0</v>
      </c>
      <c r="AD67" s="163"/>
      <c r="AE67" s="163"/>
      <c r="AF67" s="163">
        <f>kleach.s1R*(M.s1RS+M.s1RA)*Molweight</f>
        <v>1.6376228221153498E-6</v>
      </c>
      <c r="AG67" s="163">
        <f>(kdis.s1S.s1D*M.s1RS+kdis.s1A.s1D*M.s1RA+kdis.s1P.s1D*M.s1RP)*Molweight</f>
        <v>1.0234070561875405E-2</v>
      </c>
      <c r="AH67" s="162">
        <f>(kdegS.s1*M.s1RS+kdegA.s1*M.s1RA+kdegP.s1*M.s1RP)*Molweight</f>
        <v>0</v>
      </c>
      <c r="AI67" s="163"/>
      <c r="AJ67" s="163"/>
      <c r="AK67" s="163">
        <f>((k.aRS.s1RS*M.aRS+k.aRA.s1RA*M.aRA+k.aRP.s1RP*M.aRP)+(k.cwRS.s1RS*M.cwRS+k.cwRA.s1RA*M.cwRA+k.cwRP.s1RP*M.cwRP))*Molweight</f>
        <v>1.0478794890943281E-2</v>
      </c>
      <c r="AL67" s="163"/>
      <c r="AM67" s="163">
        <f>(k.s1RS.w1RS*M.s1RS+k.s1RA.w1RA*M.s1RA+k.s1RP.w1RP*M.s1RP)*Molweight</f>
        <v>2.2282948072528186E-4</v>
      </c>
      <c r="AN67" s="163"/>
      <c r="AO67" s="162"/>
      <c r="AP67" s="909">
        <f>SUM(AC67,AD67,AK67)-SUM(AE67,AF67,AH67,AL67,AM67,AP66,AG67)</f>
        <v>2.0257225520478248E-5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1.6714660146371227E-23</v>
      </c>
      <c r="BU67" s="113"/>
      <c r="BV67" s="113"/>
      <c r="BW67" s="113"/>
      <c r="BX67" s="2"/>
      <c r="BY67" s="2"/>
      <c r="BZ67" s="2"/>
      <c r="CA67" s="2"/>
      <c r="CB67" s="113"/>
      <c r="CC67" s="113"/>
      <c r="CD67" s="113"/>
      <c r="CE67" s="2"/>
    </row>
    <row r="68" spans="1:83" ht="12.75" customHeight="1" x14ac:dyDescent="0.25">
      <c r="A68" s="17"/>
      <c r="B68" s="443" t="s">
        <v>140</v>
      </c>
      <c r="C68" s="295">
        <f>M.sd2RD*Molweight</f>
        <v>9402456.1597792841</v>
      </c>
      <c r="D68" s="446">
        <f t="shared" si="21"/>
        <v>3.606706850781832E-4</v>
      </c>
      <c r="E68" s="295">
        <f>M.sd2CD*Molweight</f>
        <v>383606128.85401869</v>
      </c>
      <c r="F68" s="446">
        <f t="shared" si="22"/>
        <v>0.17918250896339838</v>
      </c>
      <c r="G68" s="296">
        <f>M.sdMD*Molweight</f>
        <v>4193472339.4606152</v>
      </c>
      <c r="H68" s="446">
        <f t="shared" si="23"/>
        <v>0.22774390577046627</v>
      </c>
      <c r="I68" s="296">
        <f>M.sdAD*Molweight</f>
        <v>2759475820.8908086</v>
      </c>
      <c r="J68" s="446">
        <f t="shared" si="24"/>
        <v>0.2333730932735022</v>
      </c>
      <c r="K68" s="296">
        <f>M.sdTD*Molweight</f>
        <v>10377387050.042368</v>
      </c>
      <c r="L68" s="461">
        <f t="shared" si="25"/>
        <v>0.23670506372759606</v>
      </c>
      <c r="M68" s="124">
        <f>C.sd2R*(Molweight*1000)/(FRACw.sdR*1000+FRACs.sdR*RHOsolid)</f>
        <v>0.24108861948151986</v>
      </c>
      <c r="N68" s="124">
        <f>C.sd2C*(Molweight*1000)/(FRACw.sdC*1000+FRACs.sdC*RHOsolid)</f>
        <v>2.6487930462837338E-3</v>
      </c>
      <c r="O68" s="124">
        <f>C.sdM*(Molweight*1000)/(FRACw.sdM*1000+FRACs.sdM*RHOsolid)</f>
        <v>2.7722907342918185E-3</v>
      </c>
      <c r="P68" s="124">
        <f>C.sdA*(Molweight*1000)/(FRACw.sdA*1000+FRACs.sdA*RHOsolid)</f>
        <v>2.774736873696137E-3</v>
      </c>
      <c r="Q68" s="124">
        <f>C.sdT*(Molweight*1000)/(FRACw.sdT*1000+FRACs.sdT*RHOsolid)</f>
        <v>2.9813652373891744E-3</v>
      </c>
      <c r="R68" s="160" t="s">
        <v>175</v>
      </c>
      <c r="S68" s="163">
        <f>F.sd2R</f>
        <v>3.2785492536519271E-24</v>
      </c>
      <c r="T68" s="163">
        <f>F.sd2C</f>
        <v>3.6020773123376812E-26</v>
      </c>
      <c r="U68" s="163">
        <f>F.sdM</f>
        <v>3.7700210558944689E-26</v>
      </c>
      <c r="V68" s="163">
        <f>F.sdA</f>
        <v>7.7550106594965235E-32</v>
      </c>
      <c r="W68" s="162">
        <f>F.sdT</f>
        <v>3.7480545108372499E-23</v>
      </c>
      <c r="X68" s="166"/>
      <c r="Y68" s="156"/>
      <c r="Z68" s="17"/>
      <c r="AA68" s="312" t="s">
        <v>159</v>
      </c>
      <c r="AB68" s="162" t="s">
        <v>116</v>
      </c>
      <c r="AC68" s="161">
        <f>E.s2RS*Molweight</f>
        <v>0.31709791983764585</v>
      </c>
      <c r="AD68" s="163"/>
      <c r="AE68" s="163"/>
      <c r="AF68" s="163">
        <f>kleach.s2R*(M.s2RS+M.s2RA)*Molweight</f>
        <v>2.3009713546261993E-5</v>
      </c>
      <c r="AG68" s="163">
        <f>(kdis.s2S.s2D*M.s2RS+kdis.s2A.s2D*M.s2RA+kdis.s2P.s2D*M.s2RP)*Molweight</f>
        <v>0.33694574784034115</v>
      </c>
      <c r="AH68" s="162">
        <f>(kdegS.s2*M.s2RS+kdegA.s2*M.s2RA+kdegP.s2*M.s2RP)*Molweight</f>
        <v>0</v>
      </c>
      <c r="AI68" s="163"/>
      <c r="AJ68" s="163"/>
      <c r="AK68" s="163">
        <f>((k.aRS.s2RS*M.aRS+k.aRA.s2RA*M.aRA+k.aRP.s2RP*M.aRP)+(k.cwRS.s2RS*M.cwRS+k.cwRA.s2RA*M.cwRA+k.cwRP.s2RP*M.cwRP))*Molweight</f>
        <v>2.3286210868762845E-2</v>
      </c>
      <c r="AL68" s="163"/>
      <c r="AM68" s="163">
        <f>(k.s2RS.w1RS*M.s2RS+k.s2RA.w1RA*M.s2RA+k.s2RP.w1RP*M.s2RP)*Molweight</f>
        <v>3.1307587231445286E-3</v>
      </c>
      <c r="AN68" s="163"/>
      <c r="AO68" s="162"/>
      <c r="AP68" s="909">
        <f>SUM(AC68,AD68,AK68)-SUM(AE68,AF68,AH68,AL68,AM68,AP67,AG68)</f>
        <v>2.6435720385631356E-4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178</v>
      </c>
      <c r="C69" s="295">
        <f>C68*FRACw.sdR</f>
        <v>7521964.9278234281</v>
      </c>
      <c r="D69" s="446">
        <f t="shared" si="21"/>
        <v>2.8853654806254662E-4</v>
      </c>
      <c r="E69" s="295">
        <f>E68*FRACw.sdC</f>
        <v>306884903.08321494</v>
      </c>
      <c r="F69" s="446">
        <f t="shared" si="22"/>
        <v>0.14334600717071871</v>
      </c>
      <c r="G69" s="296">
        <f>FRACw.sdM*G68</f>
        <v>3354777871.5684924</v>
      </c>
      <c r="H69" s="446">
        <f t="shared" si="23"/>
        <v>0.18219512461637305</v>
      </c>
      <c r="I69" s="296">
        <f>FRACw.sdA*I68</f>
        <v>2207580656.712647</v>
      </c>
      <c r="J69" s="446">
        <f t="shared" si="24"/>
        <v>0.18669847461880176</v>
      </c>
      <c r="K69" s="296">
        <f>FRACw.sdT*K68</f>
        <v>8301909640.0338945</v>
      </c>
      <c r="L69" s="461">
        <f t="shared" si="25"/>
        <v>0.18936405098207684</v>
      </c>
      <c r="M69" s="124">
        <f>M70/Kp.sd2R</f>
        <v>1.3195985201592196E-5</v>
      </c>
      <c r="N69" s="124">
        <f>N70/Kp.sd2C</f>
        <v>1.4498168315041408E-7</v>
      </c>
      <c r="O69" s="124">
        <f>O70/Kp.sdM</f>
        <v>1.5174132890594698E-7</v>
      </c>
      <c r="P69" s="124">
        <f>P70/Kp.sdA</f>
        <v>1.5187521834232866E-7</v>
      </c>
      <c r="Q69" s="124">
        <f>Q70/Kp.sdT</f>
        <v>1.6318502149847281E-7</v>
      </c>
      <c r="R69" s="160" t="s">
        <v>158</v>
      </c>
      <c r="S69" s="163">
        <f>S68*FRACw.sdR</f>
        <v>2.6228394029215418E-24</v>
      </c>
      <c r="T69" s="163">
        <f>T68*FRACw.sdC</f>
        <v>2.8816618498701451E-26</v>
      </c>
      <c r="U69" s="163">
        <f>U68*FRACw.sdM</f>
        <v>3.0160168447155754E-26</v>
      </c>
      <c r="V69" s="163">
        <f>V68*FRACw.sdA</f>
        <v>6.2040085275972197E-32</v>
      </c>
      <c r="W69" s="162">
        <f>W68*FRACw.sdT</f>
        <v>2.9984436086698003E-23</v>
      </c>
      <c r="X69" s="166"/>
      <c r="Y69" s="156"/>
      <c r="Z69" s="17"/>
      <c r="AA69" s="312" t="s">
        <v>160</v>
      </c>
      <c r="AB69" s="162" t="s">
        <v>117</v>
      </c>
      <c r="AC69" s="161">
        <f>E.s3RS*Molweight</f>
        <v>0</v>
      </c>
      <c r="AD69" s="163"/>
      <c r="AE69" s="163"/>
      <c r="AF69" s="163">
        <f>kleach.s3R*(M.s3RS+M.s3RA)*Molweight</f>
        <v>6.0654131540629024E-7</v>
      </c>
      <c r="AG69" s="163">
        <f>(kdis.s3S.s3D*M.s3RS+kdis.s3A.s3D*M.s3RA+kdis.s3P.s3D*M.s3RP)*Molweight</f>
        <v>3.7903943612666181E-3</v>
      </c>
      <c r="AH69" s="162">
        <f>(kdegS.s3*M.s3RS+kdegA.s3*M.s3RA+kdegP.s3*M.s3RP)*Molweight</f>
        <v>0</v>
      </c>
      <c r="AI69" s="163"/>
      <c r="AJ69" s="163"/>
      <c r="AK69" s="163">
        <f>((k.aRS.s3RS*M.aRS+k.aRA.s3RA*M.aRA+k.aRP.s3RP*M.aRP)+(k.cwRS.s3RS*M.cwRS+k.cwRA.s3RA*M.cwRA+k.cwRP.s3RP*M.cwRP))*Molweight</f>
        <v>3.8810351447938081E-3</v>
      </c>
      <c r="AL69" s="163"/>
      <c r="AM69" s="163">
        <f>(k.s3RS.w1RS*M.s3RS+k.s3RA.w1RA*M.s3RA+k.s3RP.w1RP*M.s3RP)*Molweight</f>
        <v>8.2531388694133588E-5</v>
      </c>
      <c r="AN69" s="163"/>
      <c r="AO69" s="162"/>
      <c r="AP69" s="909">
        <f>SUM(AC69,AD69,AK69)-SUM(AE69,AF69,AH69,AL69,AM69,AP68,AG69)</f>
        <v>-2.5685435033866296E-4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3.1362983263207653E-19</v>
      </c>
      <c r="BQ69" s="113"/>
      <c r="BR69" s="78"/>
      <c r="BS69" s="113"/>
      <c r="BT69" s="113"/>
      <c r="BU69" s="113"/>
      <c r="BV69" s="113"/>
      <c r="BW69" s="113"/>
      <c r="BX69" s="2"/>
      <c r="BY69" s="2"/>
      <c r="BZ69" s="2"/>
      <c r="CA69" s="2"/>
      <c r="CB69" s="113"/>
      <c r="CC69" s="113"/>
      <c r="CD69" s="113"/>
      <c r="CE69" s="2"/>
    </row>
    <row r="70" spans="1:83" ht="12.75" customHeight="1" x14ac:dyDescent="0.2">
      <c r="A70" s="17"/>
      <c r="B70" s="159" t="s">
        <v>179</v>
      </c>
      <c r="C70" s="295">
        <f>C68*FRACs.sdR</f>
        <v>1880491.2319558563</v>
      </c>
      <c r="D70" s="446">
        <f t="shared" si="21"/>
        <v>7.2134137015636627E-5</v>
      </c>
      <c r="E70" s="295">
        <f>E68*FRACs.sdC</f>
        <v>76721225.77080372</v>
      </c>
      <c r="F70" s="446">
        <f t="shared" si="22"/>
        <v>3.5836501792679672E-2</v>
      </c>
      <c r="G70" s="296">
        <f>(1-FRACw.sdM)*G68</f>
        <v>838694467.89212286</v>
      </c>
      <c r="H70" s="446">
        <f t="shared" si="23"/>
        <v>4.5548781154093249E-2</v>
      </c>
      <c r="I70" s="296">
        <f>(1-FRACw.sdA)*I68</f>
        <v>551895164.17816162</v>
      </c>
      <c r="J70" s="446">
        <f t="shared" si="24"/>
        <v>4.6674618654700427E-2</v>
      </c>
      <c r="K70" s="296">
        <f>(1-FRACw.sdT)*K68</f>
        <v>2075477410.0084732</v>
      </c>
      <c r="L70" s="461">
        <f t="shared" si="25"/>
        <v>4.7341012745519204E-2</v>
      </c>
      <c r="M70" s="124">
        <f>C.sd2R*FRACs.sdR/(FRACw.sdR/(Kp.sd2R*RHOsolid/1000)+FRACs.sdR)*(Molweight*1000)/(FRACs.sdR*RHOsolid)</f>
        <v>0.62680929707562927</v>
      </c>
      <c r="N70" s="124">
        <f>C.sd2C*FRACs.sdC/(FRACw.sdC/(Kp.sd2C*RHOsolid/1000)+FRACs.sdC)*(Molweight*1000)/(FRACs.sdC*RHOsolid)</f>
        <v>6.8866299496446685E-3</v>
      </c>
      <c r="O70" s="124">
        <f>C.sdM*FRACs.sdM/(FRACw.sdM/(Kp.sdM*RHOsolid/1000)+FRACs.sdM)*(Molweight*1000)/(FRACs.sdM*RHOsolid)</f>
        <v>7.207713123032481E-3</v>
      </c>
      <c r="P70" s="124">
        <f>C.sdA*FRACs.sdA/(FRACw.sdA/(Kp.sdA*RHOsolid/1000)+FRACs.sdA)*(Molweight*1000)/(FRACs.sdA*RHOsolid)</f>
        <v>7.2140728712606107E-3</v>
      </c>
      <c r="Q70" s="124">
        <f>C.sdT*FRACs.sdT/(FRACw.sdT/(Kp.sdT*RHOsolid/1000)+FRACs.sdT)*(Molweight*1000)/(FRACs.sdT*RHOsolid)</f>
        <v>7.7512885211774582E-3</v>
      </c>
      <c r="R70" s="160" t="s">
        <v>164</v>
      </c>
      <c r="S70" s="163">
        <f>S68*(1-FRACw.sdR)</f>
        <v>6.5570985073038527E-25</v>
      </c>
      <c r="T70" s="163">
        <f>T68*(1-FRACw.sdC)</f>
        <v>7.2041546246753613E-27</v>
      </c>
      <c r="U70" s="163">
        <f>U68*(1-FRACw.sdM)</f>
        <v>7.5400421117889357E-27</v>
      </c>
      <c r="V70" s="163">
        <f>V68*(1-FRACw.sdA)</f>
        <v>1.5510021318993044E-32</v>
      </c>
      <c r="W70" s="162">
        <f>W68*(1-FRACw.sdT)</f>
        <v>7.4961090216744977E-24</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6.0194789158377576E-20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2">
      <c r="A71" s="17"/>
      <c r="B71" s="159" t="s">
        <v>147</v>
      </c>
      <c r="C71" s="295">
        <f>M.sd2RS*Molweight</f>
        <v>1.9979443628033892E-10</v>
      </c>
      <c r="D71" s="446">
        <f t="shared" si="21"/>
        <v>7.66395450119608E-21</v>
      </c>
      <c r="E71" s="295">
        <f>M.sd2CS*Molweight</f>
        <v>2.1935390156303997E-10</v>
      </c>
      <c r="F71" s="446">
        <f t="shared" si="22"/>
        <v>1.0246025669713191E-19</v>
      </c>
      <c r="G71" s="296">
        <f>M.sdMS*Molweight</f>
        <v>3.5776480837316561E-17</v>
      </c>
      <c r="H71" s="446">
        <f t="shared" si="23"/>
        <v>1.9429901573312236E-27</v>
      </c>
      <c r="I71" s="296">
        <f>M.sdAS*Molweight</f>
        <v>4.7060270387092892E-19</v>
      </c>
      <c r="J71" s="446">
        <f t="shared" si="24"/>
        <v>3.9799590876566844E-29</v>
      </c>
      <c r="K71" s="296">
        <f>M.sdTS*Molweight</f>
        <v>6.1856421958744799E-19</v>
      </c>
      <c r="L71" s="461">
        <f t="shared" si="25"/>
        <v>1.4109262987975361E-29</v>
      </c>
      <c r="M71" s="124">
        <f>C.sd2RS*(Molweight*1000)/(FRACw.sdR*1000+FRACs.sdR*RHOsolid)</f>
        <v>5.1229342635984287E-18</v>
      </c>
      <c r="N71" s="124">
        <f>C.sd2CS*(Molweight*1000)/(FRACw.sdC*1000+FRACs.sdC*RHOsolid)</f>
        <v>1.5146345311820997E-21</v>
      </c>
      <c r="O71" s="124">
        <f>C.sdMS*(Molweight*1000)/(FRACw.sdM*1000+FRACs.sdM*RHOsolid)</f>
        <v>2.3651713497082206E-29</v>
      </c>
      <c r="P71" s="124">
        <f>C.sdAS*(Molweight*1000)/(FRACw.sdA*1000+FRACs.sdA*RHOsolid)</f>
        <v>4.7320533320354847E-31</v>
      </c>
      <c r="Q71" s="124">
        <f>C.sdTS*(Molweight*1000)/(FRACw.sdT*1000+FRACs.sdT*RHOsolid)</f>
        <v>1.7771003938445682E-31</v>
      </c>
      <c r="R71" s="160" t="s">
        <v>237</v>
      </c>
      <c r="S71" s="163"/>
      <c r="T71" s="163"/>
      <c r="U71" s="163"/>
      <c r="V71" s="163"/>
      <c r="W71" s="162"/>
      <c r="X71" s="166"/>
      <c r="Y71" s="156"/>
      <c r="Z71" s="17"/>
      <c r="AA71" s="312" t="s">
        <v>141</v>
      </c>
      <c r="AB71" s="162" t="s">
        <v>118</v>
      </c>
      <c r="AC71" s="161">
        <f>E.aCS*Molweight</f>
        <v>0</v>
      </c>
      <c r="AD71" s="163">
        <f>(k.aR.aC*(M.aRS+M.aRA+M.aRP)+k.aM.aC*(M.aMS+M.aMA+M.aMP))*Molweight</f>
        <v>0.32632908713203712</v>
      </c>
      <c r="AE71" s="163">
        <f>(k.aC.aM+k.aC.aR)*(M.aCS+M.aCA+M.aCP)*Molweight</f>
        <v>0.20727128026129463</v>
      </c>
      <c r="AF71" s="163">
        <f>kesc.aC*VOLUME.aC*(C.aCS+C.aCA+C.aCP)*Molweight</f>
        <v>4.5137272295624184E-5</v>
      </c>
      <c r="AG71" s="163"/>
      <c r="AH71" s="162">
        <f>(kdegS.a*C.aCS+kdegA.a*C.aCA+kdegP.a*C.aCP)*VOLUME.aC*Molweight</f>
        <v>0</v>
      </c>
      <c r="AI71" s="163">
        <f>SUM(AI72:AI74,AK77:AK79)</f>
        <v>0.11901266959844689</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2">
      <c r="A72" s="17"/>
      <c r="B72" s="159" t="s">
        <v>150</v>
      </c>
      <c r="C72" s="295">
        <f>M.sd2RA*Molweight</f>
        <v>2.7205139154636266</v>
      </c>
      <c r="D72" s="446">
        <f t="shared" si="21"/>
        <v>1.0435673413211958E-10</v>
      </c>
      <c r="E72" s="295">
        <f>M.sd2CA*Molweight</f>
        <v>0.17153713501410184</v>
      </c>
      <c r="F72" s="446">
        <f t="shared" si="22"/>
        <v>8.0125034300264638E-11</v>
      </c>
      <c r="G72" s="296">
        <f>M.sdMA*Molweight</f>
        <v>1.6248026175937289E-4</v>
      </c>
      <c r="H72" s="446">
        <f t="shared" si="23"/>
        <v>8.8241644222808763E-15</v>
      </c>
      <c r="I72" s="296">
        <f>M.sdAA*Molweight</f>
        <v>4.6625495259286532E-5</v>
      </c>
      <c r="J72" s="446">
        <f t="shared" si="24"/>
        <v>3.9431894897184068E-15</v>
      </c>
      <c r="K72" s="296">
        <f>M.sdTA*Molweight</f>
        <v>9.2996447195264166E-5</v>
      </c>
      <c r="L72" s="461">
        <f t="shared" si="25"/>
        <v>2.1212208674152858E-15</v>
      </c>
      <c r="M72" s="124">
        <f>C.sd2RA*(Molweight*1000)/(FRACw.sdR*1000+FRACs.sdR*RHOsolid)</f>
        <v>6.9756767063169847E-8</v>
      </c>
      <c r="N72" s="124">
        <f>C.sd2CA*(Molweight*1000)/(FRACw.sdC*1000+FRACs.sdC*RHOsolid)</f>
        <v>1.1844606648026109E-12</v>
      </c>
      <c r="O72" s="124">
        <f>C.sdMA*(Molweight*1000)/(FRACw.sdM*1000+FRACs.sdM*RHOsolid)</f>
        <v>1.0741516521812968E-16</v>
      </c>
      <c r="P72" s="124">
        <f>C.sdAA*(Molweight*1000)/(FRACw.sdA*1000+FRACs.sdA*RHOsolid)</f>
        <v>4.688335370466217E-17</v>
      </c>
      <c r="Q72" s="124">
        <f>C.sdTA*(Molweight*1000)/(FRACw.sdT*1000+FRACs.sdT*RHOsolid)</f>
        <v>2.6717358958633674E-17</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4.7112835784467587E-6</v>
      </c>
      <c r="AF72" s="163"/>
      <c r="AG72" s="163">
        <f>(kdis.w0S.w0D*M.w0CS+kdis.w0A.w0D*M.w0CA+kdis.w0P.w0D*M.w0CP)*Molweight</f>
        <v>2.5941673463950271E-4</v>
      </c>
      <c r="AH72" s="162">
        <f>(kdegS.w0*M.w0CS+kdegA.w0*M.w0CA+kdegP.w0*M.w0CP)*Molweight</f>
        <v>0</v>
      </c>
      <c r="AI72" s="163">
        <f>((k.aCS.w0CS*M.aCS+k.aCA.w0CA*M.aCA+k.aCP.w0CP*M.aCP)+(k.cwCS.w0CS*M.cwCS+k.cwCA.w0CA*M.cwCA+k.cwCP.w0CP*M.cwCP))*Molweight</f>
        <v>2.2207184467691132E-4</v>
      </c>
      <c r="AJ72" s="163"/>
      <c r="AK72" s="163"/>
      <c r="AL72" s="163"/>
      <c r="AM72" s="163"/>
      <c r="AN72" s="163">
        <f>(k.w0CS.sd0CS*M.w0CS+k.w0CA.sd0CA*M.w0CA+k.w0CP.sd0CP*M.w0CP)*Molweight</f>
        <v>1.2569509447151056E-6</v>
      </c>
      <c r="AO72" s="162">
        <f>(k.sd0CS.w0CS*M.sd0CS+k.sd0CA.w0CA*M.sd0CA+k.sd0CP.w0CP*M.sd0CP)*Molweight</f>
        <v>0</v>
      </c>
      <c r="AP72" s="909">
        <f>SUM(AC72,AD72,AI72,AM72,AO72)-SUM(AF72,AE72,AH72,AJ72,AN72,AG72)</f>
        <v>-4.3313124485753259E-5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1.362781370016311E-46</v>
      </c>
      <c r="BS72" s="113"/>
      <c r="BT72" s="113"/>
      <c r="BU72" s="113"/>
      <c r="BV72" s="113"/>
      <c r="BW72" s="113"/>
      <c r="BX72" s="2"/>
      <c r="BY72" s="2"/>
      <c r="BZ72" s="2"/>
      <c r="CA72" s="2"/>
      <c r="CB72" s="113"/>
      <c r="CC72" s="113"/>
      <c r="CD72" s="112"/>
      <c r="CE72" s="2"/>
    </row>
    <row r="73" spans="1:83" ht="12.75" customHeight="1" x14ac:dyDescent="0.2">
      <c r="A73" s="17"/>
      <c r="B73" s="159" t="s">
        <v>152</v>
      </c>
      <c r="C73" s="295">
        <f>M.sd2RP*Molweight</f>
        <v>8.7145581101680296</v>
      </c>
      <c r="D73" s="446">
        <f t="shared" si="21"/>
        <v>3.3428346703631134E-10</v>
      </c>
      <c r="E73" s="295">
        <f>M.sd2CP*Molweight</f>
        <v>0.26294067688422013</v>
      </c>
      <c r="F73" s="446">
        <f t="shared" si="22"/>
        <v>1.2281964924126169E-10</v>
      </c>
      <c r="G73" s="296">
        <f>M.sdMP*Molweight</f>
        <v>2.4154696542862233E-5</v>
      </c>
      <c r="H73" s="446">
        <f t="shared" si="23"/>
        <v>1.3118209655531912E-15</v>
      </c>
      <c r="I73" s="296">
        <f>M.sdAP*Molweight</f>
        <v>3.2611670809061197E-7</v>
      </c>
      <c r="J73" s="446">
        <f t="shared" si="24"/>
        <v>2.7580189092111416E-17</v>
      </c>
      <c r="K73" s="296">
        <f>M.sdTP*Molweight</f>
        <v>4.8955302288346774E-7</v>
      </c>
      <c r="L73" s="461">
        <f t="shared" si="25"/>
        <v>1.1166556563889117E-17</v>
      </c>
      <c r="M73" s="124">
        <f>C.sd2RP*(Molweight*1000)/(FRACw.sdR*1000+FRACs.sdR*RHOsolid)</f>
        <v>2.2345020795302617E-7</v>
      </c>
      <c r="N73" s="124">
        <f>C.sd2CP*(Molweight*1000)/(FRACw.sdC*1000+FRACs.sdC*RHOsolid)</f>
        <v>1.8156003883376535E-12</v>
      </c>
      <c r="O73" s="124">
        <f>C.sdMP*(Molweight*1000)/(FRACw.sdM*1000+FRACs.sdM*RHOsolid)</f>
        <v>1.596859022659508E-17</v>
      </c>
      <c r="P73" s="124">
        <f>C.sdAP*(Molweight*1000)/(FRACw.sdA*1000+FRACs.sdA*RHOsolid)</f>
        <v>3.2792026957326492E-19</v>
      </c>
      <c r="Q73" s="124">
        <f>C.sdTP*(Molweight*1000)/(FRACw.sdT*1000+FRACs.sdT*RHOsolid)</f>
        <v>1.4064584439660068E-19</v>
      </c>
      <c r="R73" s="160" t="s">
        <v>237</v>
      </c>
      <c r="S73" s="163"/>
      <c r="T73" s="163"/>
      <c r="U73" s="163"/>
      <c r="V73" s="163"/>
      <c r="W73" s="162"/>
      <c r="X73" s="166"/>
      <c r="Y73" s="156"/>
      <c r="Z73" s="17"/>
      <c r="AA73" s="312" t="s">
        <v>146</v>
      </c>
      <c r="AB73" s="162" t="s">
        <v>119</v>
      </c>
      <c r="AC73" s="161">
        <f>E.w1CS*Molweight</f>
        <v>0</v>
      </c>
      <c r="AD73" s="163">
        <f>k.w0C.w1C*(M.w0CS+M.w0CA+M.w0CP)*Molweight</f>
        <v>4.7112835784467587E-6</v>
      </c>
      <c r="AE73" s="163">
        <f>(k.w1C.w0C+k.w1C.w1R+k.w1C.w2C)*(M.w1CS+M.w1CA+M.w1CP)*Molweight</f>
        <v>9.6397629806069447E-4</v>
      </c>
      <c r="AF73" s="163"/>
      <c r="AG73" s="163">
        <f>(kdis.w1S.w1D*M.w1CS+kdis.w1A.w1D*M.w1CA+kdis.w1P.w1D*M.w1CP)*Molweight</f>
        <v>1.7516165432441373E-3</v>
      </c>
      <c r="AH73" s="162">
        <f>(kdegS.w1*M.w1CS+kdegA.w1*M.w1CA+kdegP.w1*M.w1CP)*Molweight</f>
        <v>0</v>
      </c>
      <c r="AI73" s="163">
        <f>((k.aCS.w1CS*M.aCS+k.aCA.w1CA*M.aCA+k.aCP.w1CP*M.aCP)+(k.cwCS.w1CS*M.cwCS+k.cwCA.w1CA*M.cwCA+k.cwCP.w1CP*M.cwCP))*Molweight</f>
        <v>2.4427902914460242E-3</v>
      </c>
      <c r="AJ73" s="163"/>
      <c r="AK73" s="163"/>
      <c r="AL73" s="163"/>
      <c r="AM73" s="163">
        <f>(k.s1CS.w1CS*M.s1CS+k.s1CA.w1CA*M.s1CA+k.s1CP.w1CP*M.s1CP+k.s2CS.w1CS*M.s2CS+k.s2CA.w1CA*M.s2CA+k.s2CP.w1CP*M.s2CP+k.s3CS.w1CS*M.s3CS+k.s3CA.w1CA*M.s3CA+k.s3CP.w1CP*M.s3CP)*Molweight</f>
        <v>4.7644436934328563E-4</v>
      </c>
      <c r="AN73" s="163">
        <f>(k.w1CS.sd1CS*M.w1CS+k.w1CA.sd1CA*M.w1CA+k.w1CP.sd1CP*M.w1CP)*Molweight</f>
        <v>2.4934609153420134E-4</v>
      </c>
      <c r="AO73" s="162">
        <f>(k.sd1CS.w1CS*M.sd1CS+k.sd1CA.w1CA*M.sd1CA+k.sd1CP.w1CP*M.sd1CP)*Molweight</f>
        <v>4.0992988471276358E-5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1.0015453203348464E-2</v>
      </c>
      <c r="AE74" s="163">
        <f>(k.w2C.w2M+k.w2C.w2R)*(M.w2CS+M.w2CA+M.w2CP)*Molweight</f>
        <v>2.6253195911991276E-4</v>
      </c>
      <c r="AF74" s="163"/>
      <c r="AG74" s="163">
        <f>(kdis.w2S.w2D*M.w2CS+kdis.w2A.w2D*M.w2CA+kdis.w2P.w2D*M.w2CP)*Molweight</f>
        <v>9.770033573575479E-2</v>
      </c>
      <c r="AH74" s="162">
        <f>(kdegS.w2*M.w2CS+kdegA.w2*M.w2CA+kdegP.w2*M.w2CP)*Molweight</f>
        <v>0</v>
      </c>
      <c r="AI74" s="163">
        <f>((k.aCS.w2CS*M.aCS+k.aCA.w2CA*M.aCA+k.aCP.w2CP*M.aCP)+(k.cwCS.w2CS*M.cwCS+k.cwCA.w2CA*M.cwCA+k.cwCP.w2CP*M.cwCP))*Molweight</f>
        <v>8.7952541726532302E-2</v>
      </c>
      <c r="AJ74" s="163"/>
      <c r="AK74" s="163"/>
      <c r="AL74" s="163"/>
      <c r="AM74" s="163"/>
      <c r="AN74" s="163">
        <f>(k.w2CS.sd2CS*M.w2CS+k.w2CA.sd2CA*M.w2CA+k.w2CP.sd2CP*M.w2CP)*Molweight</f>
        <v>5.1310975745121845E-6</v>
      </c>
      <c r="AO74" s="162">
        <f>(k.sd2CS.w2CS*M.sd2CS+k.sd2CA.w2CA*M.sd2CA+k.sd2CP.w2CP*M.sd2CP)*Molweight</f>
        <v>3.8625684552088723E-9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2.7854359087688438E-21</v>
      </c>
      <c r="BY74" s="113"/>
      <c r="BZ74" s="138">
        <f>IF(AL30&lt;0,"",AL30)</f>
        <v>1.031642851188301E-21</v>
      </c>
      <c r="CA74" s="113"/>
      <c r="CB74" s="136">
        <f>IF(AL29&lt;0,"",AL29)</f>
        <v>6.2844008146815837E-21</v>
      </c>
      <c r="CC74" s="140"/>
      <c r="CD74" s="113"/>
      <c r="CE74" s="2"/>
    </row>
    <row r="75" spans="1:83" ht="12.75" customHeight="1" x14ac:dyDescent="0.25">
      <c r="A75" s="17"/>
      <c r="B75" s="104" t="s">
        <v>238</v>
      </c>
      <c r="C75" s="295">
        <f>SUM(C76,C79:C81)</f>
        <v>350977901.32712376</v>
      </c>
      <c r="D75" s="446">
        <f t="shared" ref="D75:D81" si="26">C75/$C$103</f>
        <v>1.3463231092792275E-2</v>
      </c>
      <c r="E75" s="295">
        <f>SUM(E76,E79:E81)</f>
        <v>263577164.10325363</v>
      </c>
      <c r="F75" s="446">
        <f>E75/$E$103</f>
        <v>0.12311695256425673</v>
      </c>
      <c r="G75" s="296"/>
      <c r="H75" s="446"/>
      <c r="I75" s="296"/>
      <c r="J75" s="446"/>
      <c r="K75" s="296"/>
      <c r="L75" s="461"/>
      <c r="M75" s="459">
        <f>((M.s1RD+M.s1RS+M.s1RA+M.s1RP)*Molweight*1000/(VOLUME.s1R))/(FRACw.s1R*1000+(1-FRACa.s1R-FRACw.s1R)*RHOsolid)</f>
        <v>6.6907970170724945E-2</v>
      </c>
      <c r="N75" s="459">
        <f>((M.s1CD+M.s1CS+M.s1CA+M.s1CP)*Molweight*1000/(VOLUME.s1C))/(FRACw.s1C*1000+(1-FRACa.s1C-FRACw.s1C)*RHOsolid)</f>
        <v>3.2947133981409801E-3</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4.4400951328321639E-6</v>
      </c>
      <c r="AG75" s="163">
        <f>(kdis.sd1S.sd1D*M.sd1CS+kdis.sd1A.sd1D*M.sd1CA+kdis.sd1P.sd1D*M.sd1CP)*Molweight</f>
        <v>2.0391300793009276E-4</v>
      </c>
      <c r="AH75" s="162">
        <f>(kdegS.sd1*M.sd1CS+kdegA.sd1*M.sd1CA+kdegP.sd1*M.sd1CP)*Molweight</f>
        <v>0</v>
      </c>
      <c r="AI75" s="163"/>
      <c r="AJ75" s="163"/>
      <c r="AK75" s="163"/>
      <c r="AL75" s="163"/>
      <c r="AM75" s="163"/>
      <c r="AN75" s="163">
        <f>AN73</f>
        <v>2.4934609153420134E-4</v>
      </c>
      <c r="AO75" s="162">
        <f>AO73</f>
        <v>4.0992988471276358E-5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8.7105390186218888E-23</v>
      </c>
      <c r="BW75" s="2"/>
      <c r="BX75" s="137"/>
      <c r="BY75" s="113"/>
      <c r="BZ75" s="113"/>
      <c r="CA75" s="113"/>
      <c r="CB75" s="2"/>
      <c r="CC75" s="137"/>
      <c r="CD75" s="113"/>
      <c r="CE75" s="2"/>
    </row>
    <row r="76" spans="1:83" ht="12.75" customHeight="1" x14ac:dyDescent="0.2">
      <c r="A76" s="17"/>
      <c r="B76" s="443" t="s">
        <v>140</v>
      </c>
      <c r="C76" s="295">
        <f>M.s1R*Molweight</f>
        <v>350975799.87526304</v>
      </c>
      <c r="D76" s="446">
        <f t="shared" si="26"/>
        <v>1.3463150482782573E-2</v>
      </c>
      <c r="E76" s="295">
        <f>M.s1C*Molweight</f>
        <v>263575585.95625389</v>
      </c>
      <c r="F76" s="446">
        <f t="shared" ref="F76:F81" si="27">E76/$E$103</f>
        <v>0.12311621541143862</v>
      </c>
      <c r="G76" s="296"/>
      <c r="H76" s="446"/>
      <c r="I76" s="296"/>
      <c r="J76" s="446"/>
      <c r="K76" s="296"/>
      <c r="L76" s="461"/>
      <c r="M76" s="124">
        <f>C.s1R*(Molweight*1000)/(FRACw.s1R*1000+(1-FRACa.s1R-FRACw.s1R)*RHOsolid)</f>
        <v>6.6907569564652922E-2</v>
      </c>
      <c r="N76" s="124">
        <f>C.s1C*(Molweight*1000)/(FRACw.s1C*1000+(1-FRACa.s1C-FRACw.s1C)*RHOsolid)</f>
        <v>3.2946936713103871E-3</v>
      </c>
      <c r="O76" s="124"/>
      <c r="P76" s="124"/>
      <c r="Q76" s="124"/>
      <c r="R76" s="160" t="s">
        <v>175</v>
      </c>
      <c r="S76" s="163">
        <f>F.s1R</f>
        <v>9.9155352001649209E-25</v>
      </c>
      <c r="T76" s="163">
        <f>F.s1C</f>
        <v>4.8826539783470905E-26</v>
      </c>
      <c r="U76" s="163"/>
      <c r="V76" s="163"/>
      <c r="W76" s="162"/>
      <c r="X76" s="166"/>
      <c r="Y76" s="156"/>
      <c r="Z76" s="17"/>
      <c r="AA76" s="312" t="s">
        <v>153</v>
      </c>
      <c r="AB76" s="162" t="s">
        <v>122</v>
      </c>
      <c r="AC76" s="161"/>
      <c r="AD76" s="163"/>
      <c r="AE76" s="163"/>
      <c r="AF76" s="163">
        <f>kbur.sd2C*(M.sd2CS+M.sd2CA+M.sd2CP)*Molweight</f>
        <v>3.9682306840081064E-10</v>
      </c>
      <c r="AG76" s="163">
        <f>(kdis.sd2S.sd2D*M.sd2CS+kdis.sd2A.sd2D*M.sd2CA+kdis.sd2P.sd2D*M.sd2CP)*Molweight</f>
        <v>5.1268381829885751E-6</v>
      </c>
      <c r="AH76" s="162">
        <f>(kdegS.sd2*M.sd2CS+kdegA.sd2*M.sd2CA+kdegP.sd2*M.sd2CP)*Molweight</f>
        <v>0</v>
      </c>
      <c r="AI76" s="163"/>
      <c r="AJ76" s="163"/>
      <c r="AK76" s="163"/>
      <c r="AL76" s="163"/>
      <c r="AM76" s="163"/>
      <c r="AN76" s="163">
        <f>AN74</f>
        <v>5.1310975745121845E-6</v>
      </c>
      <c r="AO76" s="162">
        <f>AO74</f>
        <v>3.8625684552088723E-9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1.5064150045983666E-20</v>
      </c>
      <c r="BR76" s="113"/>
      <c r="BS76" s="113"/>
      <c r="BT76" s="138">
        <f>IF(AJ24&lt;0,"",AJ24)</f>
        <v>3.3662911943781249E-22</v>
      </c>
      <c r="BU76" s="113"/>
      <c r="BV76" s="2"/>
      <c r="BW76" s="2"/>
      <c r="BX76" s="137"/>
      <c r="BY76" s="113"/>
      <c r="BZ76" s="113"/>
      <c r="CA76" s="113"/>
      <c r="CB76" s="2"/>
      <c r="CC76" s="137"/>
      <c r="CD76" s="113"/>
      <c r="CE76" s="2"/>
    </row>
    <row r="77" spans="1:83" ht="12.75" customHeight="1" x14ac:dyDescent="0.2">
      <c r="A77" s="17"/>
      <c r="B77" s="159" t="s">
        <v>239</v>
      </c>
      <c r="C77" s="295">
        <f>C76*FRwD.s1R</f>
        <v>2462.9707852945803</v>
      </c>
      <c r="D77" s="446">
        <f t="shared" si="26"/>
        <v>9.4477586001379434E-8</v>
      </c>
      <c r="E77" s="295">
        <f>E76*FRw.s1C</f>
        <v>1849.640254849116</v>
      </c>
      <c r="F77" s="446">
        <f t="shared" si="27"/>
        <v>8.6396737855480747E-7</v>
      </c>
      <c r="G77" s="296"/>
      <c r="H77" s="446"/>
      <c r="I77" s="296"/>
      <c r="J77" s="446"/>
      <c r="K77" s="296"/>
      <c r="L77" s="461"/>
      <c r="M77" s="124">
        <f>M78/Kp.s1R</f>
        <v>3.9909498270155979E-6</v>
      </c>
      <c r="N77" s="124">
        <f>N78/Kp.s1C</f>
        <v>1.9652420829424554E-7</v>
      </c>
      <c r="O77" s="124"/>
      <c r="P77" s="124"/>
      <c r="Q77" s="124"/>
      <c r="R77" s="160" t="s">
        <v>158</v>
      </c>
      <c r="S77" s="163">
        <f>S76*FRACw.s1R</f>
        <v>1.9831070400329843E-25</v>
      </c>
      <c r="T77" s="163">
        <f>T76*FRACw.s1C</f>
        <v>9.7653079566941821E-27</v>
      </c>
      <c r="U77" s="163"/>
      <c r="V77" s="163"/>
      <c r="W77" s="162"/>
      <c r="X77" s="166"/>
      <c r="Y77" s="156"/>
      <c r="Z77" s="17"/>
      <c r="AA77" s="312" t="s">
        <v>155</v>
      </c>
      <c r="AB77" s="162" t="s">
        <v>123</v>
      </c>
      <c r="AC77" s="161">
        <f>E.s1CS*Molweight</f>
        <v>0</v>
      </c>
      <c r="AD77" s="163"/>
      <c r="AE77" s="163"/>
      <c r="AF77" s="163">
        <f>kleach.s1C*(M.s1CS+M.s1CA)*Molweight</f>
        <v>1.4605857297886405E-6</v>
      </c>
      <c r="AG77" s="163">
        <f>(kdis.s1S.s1D*M.s1CS+kdis.s1A.s1D*M.s1CA+kdis.s1P.s1D*M.s1CP)*Molweight</f>
        <v>7.6855758887724853E-3</v>
      </c>
      <c r="AH77" s="162">
        <f>(kdegS.s1*M.s1CS+kdegA.s1*M.s1CA+kdegP.s1*M.s1CP)*Molweight</f>
        <v>0</v>
      </c>
      <c r="AI77" s="163"/>
      <c r="AJ77" s="163"/>
      <c r="AK77" s="163">
        <f>((k.aCS.s1CS*M.aCS+k.aCA.s1CA*M.aCA+k.aCP.s1CP*M.aCP)+(k.cwCS.s1CS*M.cwCS+k.cwCA.s1CA*M.cwCA+k.cwCP.s1CP*M.cwCP))*Molweight</f>
        <v>7.903836854292523E-3</v>
      </c>
      <c r="AL77" s="163"/>
      <c r="AM77" s="163">
        <f>(k.s1CS.w1CS*M.s1CS+k.s1CA.w1CA*M.s1CA+k.s1CP.w1CP*M.s1CP)*Molweight</f>
        <v>1.9873368147439518E-4</v>
      </c>
      <c r="AN77" s="163"/>
      <c r="AO77" s="162"/>
      <c r="AP77" s="909">
        <f>SUM(AC77,AD77,AK77)-SUM(AE77,AF77,AH77,AL77,AM77,AP76,AG77)</f>
        <v>1.8066698315853669E-5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179</v>
      </c>
      <c r="C78" s="295">
        <f>C76*FRs.s1R</f>
        <v>350973336.90447772</v>
      </c>
      <c r="D78" s="446">
        <f t="shared" si="26"/>
        <v>1.346305600519657E-2</v>
      </c>
      <c r="E78" s="295">
        <f>E76*FRs.s1C</f>
        <v>263573736.315999</v>
      </c>
      <c r="F78" s="446">
        <f t="shared" si="27"/>
        <v>0.12311535144406005</v>
      </c>
      <c r="G78" s="296"/>
      <c r="H78" s="446"/>
      <c r="I78" s="296"/>
      <c r="J78" s="446"/>
      <c r="K78" s="296"/>
      <c r="L78" s="461"/>
      <c r="M78" s="124">
        <f>C.s1R*FRs.s1R*(Molweight*1000)/(FRACs.s1R*RHOsolid)</f>
        <v>7.5828046713296363E-2</v>
      </c>
      <c r="N78" s="124">
        <f>C.s1C*FRs.s1C*(Molweight*1000)/(FRACs.s1C*RHOsolid)</f>
        <v>3.7339599575906654E-3</v>
      </c>
      <c r="O78" s="124"/>
      <c r="P78" s="124"/>
      <c r="Q78" s="124"/>
      <c r="R78" s="160" t="s">
        <v>164</v>
      </c>
      <c r="S78" s="163">
        <f>S76*(1-FRACw.s1R)</f>
        <v>7.9324281601319371E-25</v>
      </c>
      <c r="T78" s="163">
        <f>T76*(1-FRACw.s1C)</f>
        <v>3.9061231826776728E-26</v>
      </c>
      <c r="U78" s="163"/>
      <c r="V78" s="163"/>
      <c r="W78" s="162"/>
      <c r="X78" s="166"/>
      <c r="Y78" s="156"/>
      <c r="Z78" s="17"/>
      <c r="AA78" s="312" t="s">
        <v>159</v>
      </c>
      <c r="AB78" s="162" t="s">
        <v>124</v>
      </c>
      <c r="AC78" s="161">
        <f>E.s2CS*Molweight</f>
        <v>0</v>
      </c>
      <c r="AD78" s="163"/>
      <c r="AE78" s="163"/>
      <c r="AF78" s="163">
        <f>kleach.s2C*(M.s2CS+M.s2CA)*Molweight</f>
        <v>1.5001564431698578E-6</v>
      </c>
      <c r="AG78" s="163">
        <f>(kdis.s2S.s2D*M.s2CS+kdis.s2A.s2D*M.s2CA+kdis.s2P.s2D*M.s2CP)*Molweight</f>
        <v>1.7339921278642204E-2</v>
      </c>
      <c r="AH78" s="162">
        <f>(kdegS.s2*M.s2CS+kdegA.s2*M.s2CA+kdegP.s2*M.s2CP)*Molweight</f>
        <v>0</v>
      </c>
      <c r="AI78" s="163"/>
      <c r="AJ78" s="163"/>
      <c r="AK78" s="163">
        <f>((k.aCS.s2CS*M.aCS+k.aCA.s2CA*M.aCA+k.aCP.s2CP*M.aCP)+(k.cwCS.s2CS*M.cwCS+k.cwCA.s2CA*M.cwCA+k.cwCP.s2CP*M.cwCP))*Molweight</f>
        <v>1.7564081898427831E-2</v>
      </c>
      <c r="AL78" s="163"/>
      <c r="AM78" s="163">
        <f>(k.s2CS.w1CS*M.s2CS+k.s2CA.w1CA*M.s2CA+k.s2CP.w1CP*M.s2CP)*Molweight</f>
        <v>2.0410542473057994E-4</v>
      </c>
      <c r="AN78" s="163"/>
      <c r="AO78" s="162"/>
      <c r="AP78" s="909">
        <f>SUM(AC78,AD78,AK78)-SUM(AE78,AF78,AH78,AL78,AM78,AP77,AG78)</f>
        <v>4.8834029602387585E-7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147</v>
      </c>
      <c r="C79" s="295">
        <f>M.s1RS*Molweight</f>
        <v>0.22541149436692257</v>
      </c>
      <c r="D79" s="446">
        <f t="shared" si="26"/>
        <v>8.6466043251110934E-12</v>
      </c>
      <c r="E79" s="295">
        <f>M.s1CS*Molweight</f>
        <v>2.2632026612081638E-2</v>
      </c>
      <c r="F79" s="446">
        <f t="shared" si="27"/>
        <v>1.0571424714703709E-11</v>
      </c>
      <c r="G79" s="296"/>
      <c r="H79" s="446"/>
      <c r="I79" s="296"/>
      <c r="J79" s="446"/>
      <c r="K79" s="296"/>
      <c r="L79" s="461"/>
      <c r="M79" s="124">
        <f>C.s1RS*(Molweight*1000)/(FRACw.s1R*1000+(1-FRACa.s1R-FRACw.s1R)*RHOsolid)</f>
        <v>4.297086934594151E-11</v>
      </c>
      <c r="N79" s="124">
        <f>C.s1CS*(Molweight*1000)/(FRACw.s1C*1000+(1-FRACa.s1C-FRACw.s1C)*RHOsolid)</f>
        <v>2.8290023363593853E-13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5.4095911790778852E-7</v>
      </c>
      <c r="AG79" s="163">
        <f>(kdis.s3S.s3D*M.s3CS+kdis.s3A.s3D*M.s3CA+kdis.s3P.s3D*M.s3CP)*Molweight</f>
        <v>2.8465093732570582E-3</v>
      </c>
      <c r="AH79" s="162">
        <f>(kdegS.s3*M.s3CS+kdegA.s3*M.s3CA+kdegP.s3*M.s3CP)*Molweight</f>
        <v>0</v>
      </c>
      <c r="AI79" s="163"/>
      <c r="AJ79" s="163"/>
      <c r="AK79" s="163">
        <f>((k.aCS.s3CS*M.aCS+k.aCA.s3CA*M.aCA+k.aCP.s3CP*M.aCP)+(k.cwCS.s3CS*M.cwCS+k.cwCA.s3CA*M.cwCA+k.cwCP.s3CP*M.cwCP))*Molweight</f>
        <v>2.9273469830713044E-3</v>
      </c>
      <c r="AL79" s="163"/>
      <c r="AM79" s="163">
        <f>(k.s3CS.w1CS*M.s3CS+k.s3CA.w1CA*M.s3CA+k.s3CP.w1CP*M.s3CP)*Molweight</f>
        <v>7.3605263138310469E-5</v>
      </c>
      <c r="AN79" s="163"/>
      <c r="AO79" s="162"/>
      <c r="AP79" s="909">
        <f>SUM(AC79,AD79,AK79)-SUM(AE79,AF79,AH79,AL79,AM79,AP78,AG79)</f>
        <v>6.2030472620039703E-6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2.5520124135962163E-2</v>
      </c>
      <c r="BU79" s="137"/>
      <c r="BV79" s="140"/>
      <c r="BW79" s="113"/>
      <c r="BX79" s="2"/>
      <c r="BY79" s="113"/>
      <c r="BZ79" s="140"/>
      <c r="CA79" s="137"/>
      <c r="CB79" s="2"/>
      <c r="CC79" s="2"/>
      <c r="CD79" s="78"/>
      <c r="CE79" s="2"/>
    </row>
    <row r="80" spans="1:83" ht="12.75" customHeight="1" x14ac:dyDescent="0.2">
      <c r="A80" s="17"/>
      <c r="B80" s="159" t="s">
        <v>150</v>
      </c>
      <c r="C80" s="295">
        <f>M.s1RA*Molweight</f>
        <v>1723.0938692500308</v>
      </c>
      <c r="D80" s="446">
        <f t="shared" si="26"/>
        <v>6.6096500288390034E-8</v>
      </c>
      <c r="E80" s="295">
        <f>M.s1CA*Molweight</f>
        <v>1536.9952425005397</v>
      </c>
      <c r="F80" s="446">
        <f t="shared" si="27"/>
        <v>7.1793082305225139E-7</v>
      </c>
      <c r="G80" s="296"/>
      <c r="H80" s="446"/>
      <c r="I80" s="296"/>
      <c r="J80" s="446"/>
      <c r="K80" s="296"/>
      <c r="L80" s="461"/>
      <c r="M80" s="124">
        <f>C.s1RA*(Molweight*1000)/(FRACw.s1R*1000+(1-FRACa.s1R-FRACw.s1R)*RHOsolid)</f>
        <v>3.2847855312032006E-7</v>
      </c>
      <c r="N80" s="124">
        <f>C.s1CA*(Molweight*1000)/(FRACw.s1C*1000+(1-FRACa.s1C-FRACw.s1C)*RHOsolid)</f>
        <v>1.9212433806904906E-8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1.4391545618954348E-19</v>
      </c>
      <c r="BR80" s="113"/>
      <c r="BS80" s="113"/>
      <c r="BT80" s="138">
        <f>IF(AI24&lt;0,"",AI24)</f>
        <v>3.7151356784204684E-21</v>
      </c>
      <c r="BU80" s="137"/>
      <c r="BV80" s="138">
        <f>IF(AI23&lt;0,"",AI23)</f>
        <v>3.3773960712913354E-22</v>
      </c>
      <c r="BW80" s="114"/>
      <c r="BX80" s="136">
        <f>IF(AK28&lt;0,"",AK28)</f>
        <v>3.6475877569938729E-20</v>
      </c>
      <c r="BY80" s="113"/>
      <c r="BZ80" s="138">
        <f>IF(AK30&lt;0,"",AK30)</f>
        <v>1.3509584285162487E-20</v>
      </c>
      <c r="CA80" s="137"/>
      <c r="CB80" s="136">
        <f>IF(AK29&lt;0,"",AK29)</f>
        <v>8.1057505710974922E-20</v>
      </c>
      <c r="CC80" s="140"/>
      <c r="CD80" s="113"/>
      <c r="CE80" s="2"/>
    </row>
    <row r="81" spans="1:83" ht="12.75" customHeight="1" x14ac:dyDescent="0.2">
      <c r="A81" s="17"/>
      <c r="B81" s="159" t="s">
        <v>152</v>
      </c>
      <c r="C81" s="295">
        <f>M.s1RP*Molweight</f>
        <v>378.13258001030516</v>
      </c>
      <c r="D81" s="446">
        <f t="shared" si="26"/>
        <v>1.4504862810857195E-8</v>
      </c>
      <c r="E81" s="295">
        <f>M.s1CP*Molweight</f>
        <v>41.129125220791892</v>
      </c>
      <c r="F81" s="446">
        <f t="shared" si="27"/>
        <v>1.9211423630136491E-8</v>
      </c>
      <c r="G81" s="296"/>
      <c r="H81" s="446"/>
      <c r="I81" s="296"/>
      <c r="J81" s="446"/>
      <c r="K81" s="296"/>
      <c r="L81" s="461"/>
      <c r="M81" s="124">
        <f>C.s1RP*(Molweight*1000)/(FRACw.s1R*1000+(1-FRACa.s1R-FRACw.s1R)*RHOsolid)</f>
        <v>7.2084548024943004E-8</v>
      </c>
      <c r="N81" s="124">
        <f>C.s1CP*(Molweight*1000)/(FRACw.s1C*1000+(1-FRACa.s1C-FRACw.s1C)*RHOsolid)</f>
        <v>5.1411388532003859E-10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0.20337134360950007</v>
      </c>
      <c r="AE81" s="163">
        <f>(k.aM.aA+k.aM.aC+k.aM.aT)*(M.aMS+M.aMA+M.aMP)*Molweight</f>
        <v>0.11489442113376831</v>
      </c>
      <c r="AF81" s="163">
        <f>kesc.aM*VOLUME.aM*(C.aMS+C.aMA+C.aMP)*Molweight</f>
        <v>3.6141040458398396E-5</v>
      </c>
      <c r="AG81" s="163"/>
      <c r="AH81" s="162">
        <f>(kdegS.a*C.aMS+kdegA.a*C.aMA+kdegP.a*C.aMP)*VOLUME.aM*Molweight</f>
        <v>0</v>
      </c>
      <c r="AI81" s="163">
        <f>SUM(AI82,AK85)</f>
        <v>8.844078143527348E-2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3.9154590919533532E-4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3.2187184733845412E-4</v>
      </c>
      <c r="AE82" s="163">
        <f>((k.w2M.w2C+k.w2M.w2A+k.w2M.w2T)*(M.w2MS+M.w2MA+M.w2MP)+k.w2MS.w3MS*M.w2MS+k.w2MA.w3MA*M.w2MA+k.w2MP.w3MP*M.w2MP)*Molweight</f>
        <v>1.6341802289590755E-3</v>
      </c>
      <c r="AF82" s="163"/>
      <c r="AG82" s="163">
        <f>(kdis.w2S.w2D*M.w2MS+kdis.w2A.w2D*M.w2MA+kdis.w2P.w2D*M.w2MP)*Molweight</f>
        <v>6.5505203813125426E-2</v>
      </c>
      <c r="AH82" s="162">
        <f>(kdegS.w2*C.w2MS+kdegA.w2*C.w2MA+kdegP.w2*C.w2MP)*VOLUME.w2M*Molweight</f>
        <v>0</v>
      </c>
      <c r="AI82" s="163">
        <f>((k.aMS.w2MS*M.aMS+k.aMA.w2MA*M.aMA+k.aMP.w2MP*M.aMP)+(k.cwMS.w2MS*M.cwMS+k.cwMA.w2MA*M.cwMA+k.cwMP.w2MP*M.cwMP))*Molweight</f>
        <v>6.619206176728791E-2</v>
      </c>
      <c r="AJ82" s="163"/>
      <c r="AK82" s="163"/>
      <c r="AL82" s="163"/>
      <c r="AM82" s="163">
        <f>(k.sMS.w2MS*M.sMS+k.sMA.w2MA*M.sMA+k.sMP.w2MP*M.sMP)*Molweight</f>
        <v>6.2545042745811854E-4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3.1842163139792008E-3</v>
      </c>
      <c r="BO82" s="113"/>
      <c r="BP82" s="113"/>
      <c r="BQ82" s="137"/>
      <c r="BR82" s="113"/>
      <c r="BS82" s="130">
        <f>AD24</f>
        <v>3.9154590919533532E-4</v>
      </c>
      <c r="BT82" s="113"/>
      <c r="BU82" s="137"/>
      <c r="BV82" s="137"/>
      <c r="BW82" s="113"/>
      <c r="BX82" s="137"/>
      <c r="BY82" s="113"/>
      <c r="BZ82" s="137"/>
      <c r="CA82" s="137"/>
      <c r="CB82" s="113"/>
      <c r="CC82" s="137"/>
      <c r="CD82" s="113"/>
      <c r="CE82" s="2"/>
    </row>
    <row r="83" spans="1:83" ht="12.75" customHeight="1" x14ac:dyDescent="0.2">
      <c r="A83" s="17"/>
      <c r="B83" s="104" t="s">
        <v>240</v>
      </c>
      <c r="C83" s="295">
        <f>SUM(C84,C87:C89)</f>
        <v>25393745881.688564</v>
      </c>
      <c r="D83" s="446">
        <f t="shared" ref="D83:D89" si="28">C83/$C$103</f>
        <v>0.97408374665209863</v>
      </c>
      <c r="E83" s="295">
        <f>SUM(E84,E87:E89)</f>
        <v>1306814397.8091362</v>
      </c>
      <c r="F83" s="446">
        <f>E83/$E$103</f>
        <v>0.6104132987876284</v>
      </c>
      <c r="G83" s="296"/>
      <c r="H83" s="446"/>
      <c r="I83" s="296"/>
      <c r="J83" s="446"/>
      <c r="K83" s="296"/>
      <c r="L83" s="461"/>
      <c r="M83" s="459">
        <f>((M.s2RD+M.s2RS+M.s2RA+M.s2RP)*Molweight*1000/(VOLUME.s2R))/(FRACw.s2R*1000+(1-FRACa.s2R-FRACw.s2R)*RHOsolid)</f>
        <v>0.54459966959297135</v>
      </c>
      <c r="N83" s="459">
        <f>((M.s2CD+M.s2CS+M.s2CA+M.s2CP)*Molweight*1000/(VOLUME.s2C))/(FRACw.s2C*1000+(1-FRACa.s2C-FRACw.s2C)*RHOsolid)</f>
        <v>1.8377071037216112E-3</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1.3858674798979801E-3</v>
      </c>
      <c r="AE83" s="163">
        <f>(k.w3M.w2M+k.w3M.w3A+k.w3M.w3T)*(M.w3MS+M.w3MA+M.w3MP)*Molweight</f>
        <v>1.1257307606846377E-6</v>
      </c>
      <c r="AF83" s="163"/>
      <c r="AG83" s="163">
        <f>(kdis.w2S.w2D*M.w3MS+kdis.w2A.w2D*M.w3MA+kdis.w2P.w2D*M.w3MP)*Molweight</f>
        <v>1.3847395468442312E-3</v>
      </c>
      <c r="AH83" s="162">
        <f>(kdegS.w3*C.w3MS+kdegA.w3*C.w3MA+kdegP.w3*C.w3MP)*VOLUME.w3M*Molweight</f>
        <v>0</v>
      </c>
      <c r="AI83" s="163"/>
      <c r="AJ83" s="163"/>
      <c r="AK83" s="163"/>
      <c r="AL83" s="163"/>
      <c r="AM83" s="163"/>
      <c r="AN83" s="163">
        <f>(k.w3MS.sdMS*M.w3MS+k.w3MA.sdMA*M.w3MA+k.w3MP.sdMP*M.w3MP)*Molweight</f>
        <v>2.2041221787514273E-9</v>
      </c>
      <c r="AO83" s="162">
        <f>(k.sdMS.w3MS*M.sdMS+k.sdMA.w3MA*M.sdMA+k.sdMP.w3MP*M.sdMP)*Molweight</f>
        <v>1.8291138781742178E-12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2.5221841274668013</v>
      </c>
      <c r="BO83" s="132"/>
      <c r="BP83" s="130">
        <f>AD25</f>
        <v>2.7748389292479785</v>
      </c>
      <c r="BQ83" s="301"/>
      <c r="BR83" s="134"/>
      <c r="BS83" s="135"/>
      <c r="BT83" s="55">
        <f>AH24</f>
        <v>7.3402555310974482E-17</v>
      </c>
      <c r="BU83" s="113"/>
      <c r="BV83" s="940">
        <f>AH23</f>
        <v>6.331159775785138E-16</v>
      </c>
      <c r="BW83" s="113"/>
      <c r="BX83" s="137"/>
      <c r="BY83" s="113"/>
      <c r="BZ83" s="2"/>
      <c r="CA83" s="113"/>
      <c r="CB83" s="2"/>
      <c r="CC83" s="141"/>
      <c r="CD83" s="113"/>
      <c r="CE83" s="2"/>
    </row>
    <row r="84" spans="1:83" ht="12.75" customHeight="1" x14ac:dyDescent="0.25">
      <c r="A84" s="17"/>
      <c r="B84" s="443" t="s">
        <v>140</v>
      </c>
      <c r="C84" s="295">
        <f>M.s2R*Molweight</f>
        <v>25393676693.64999</v>
      </c>
      <c r="D84" s="446">
        <f t="shared" si="28"/>
        <v>0.97408109265437204</v>
      </c>
      <c r="E84" s="295">
        <f>M.s2C*Molweight</f>
        <v>1306810837.2503521</v>
      </c>
      <c r="F84" s="446">
        <f t="shared" ref="F84:F89" si="29">E84/$E$103</f>
        <v>0.61041163564982059</v>
      </c>
      <c r="G84" s="163"/>
      <c r="H84" s="446"/>
      <c r="I84" s="296"/>
      <c r="J84" s="446"/>
      <c r="K84" s="296"/>
      <c r="L84" s="461"/>
      <c r="M84" s="124">
        <f>C.s2R*(Molweight*1000)/(FRACw.s2R*1000+(1-FRACa.s2R-FRACw.s2R)*RHOsolid)</f>
        <v>0.5445981857715958</v>
      </c>
      <c r="N84" s="124">
        <f>C.s2C*(Molweight*1000)/(FRACw.s2C*1000+(1-FRACa.s2C-FRACw.s2C)*RHOsolid)</f>
        <v>1.837702096687573E-3</v>
      </c>
      <c r="O84" s="124"/>
      <c r="P84" s="124"/>
      <c r="Q84" s="124"/>
      <c r="R84" s="160" t="s">
        <v>175</v>
      </c>
      <c r="S84" s="163">
        <f>F.s2R</f>
        <v>8.0708095004799106E-24</v>
      </c>
      <c r="T84" s="163">
        <f>F.s2C</f>
        <v>2.7234287459081513E-26</v>
      </c>
      <c r="U84" s="163"/>
      <c r="V84" s="163"/>
      <c r="W84" s="162"/>
      <c r="X84" s="166"/>
      <c r="Y84" s="156"/>
      <c r="Z84" s="17"/>
      <c r="AA84" s="312" t="s">
        <v>205</v>
      </c>
      <c r="AB84" s="162" t="s">
        <v>191</v>
      </c>
      <c r="AC84" s="161"/>
      <c r="AD84" s="163"/>
      <c r="AE84" s="163"/>
      <c r="AF84" s="163">
        <f>kbur.sdM*(M.sdMS+M.sdMA+M.sdMP)*Molweight</f>
        <v>5.5690645639256744E-16</v>
      </c>
      <c r="AG84" s="163">
        <f>(kdis.sd2S.sd2D*M.sdMS+kdis.sd2A.sd2D*M.sdMA+kdis.sd2P.sd2D*M.sdMP)*Molweight</f>
        <v>2.2022925079667967E-9</v>
      </c>
      <c r="AH84" s="162">
        <f>(kdegS.sd2*C.sdMS+kdegA.sd2*C.sdMA+kdegP.sd2*C.sdMP)*VOLUME.sdM*Molweight</f>
        <v>0</v>
      </c>
      <c r="AI84" s="163"/>
      <c r="AJ84" s="163"/>
      <c r="AK84" s="163"/>
      <c r="AL84" s="163"/>
      <c r="AM84" s="163"/>
      <c r="AN84" s="163">
        <f>AN83</f>
        <v>2.2041221787514273E-9</v>
      </c>
      <c r="AO84" s="162">
        <f>AO83</f>
        <v>1.8291138781742178E-12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239</v>
      </c>
      <c r="C85" s="295">
        <f>C84*FRwD.s2R</f>
        <v>178199.9894291969</v>
      </c>
      <c r="D85" s="446">
        <f t="shared" si="28"/>
        <v>6.8356088213722845E-6</v>
      </c>
      <c r="E85" s="295">
        <f>E84*FRw.s2C</f>
        <v>9170.5380120164209</v>
      </c>
      <c r="F85" s="446">
        <f t="shared" si="29"/>
        <v>4.2835603655400344E-6</v>
      </c>
      <c r="G85" s="296"/>
      <c r="H85" s="446"/>
      <c r="I85" s="296"/>
      <c r="J85" s="446"/>
      <c r="K85" s="296"/>
      <c r="L85" s="461"/>
      <c r="M85" s="124">
        <f>M86/Kp.s2R</f>
        <v>3.2484576101631307E-5</v>
      </c>
      <c r="N85" s="124">
        <f>N86/Kp.s2C</f>
        <v>1.0961654880909164E-7</v>
      </c>
      <c r="O85" s="124"/>
      <c r="P85" s="124"/>
      <c r="Q85" s="124"/>
      <c r="R85" s="160" t="s">
        <v>158</v>
      </c>
      <c r="S85" s="163">
        <f>S84*FRACw.s2R</f>
        <v>1.6141619000959823E-24</v>
      </c>
      <c r="T85" s="163">
        <f>T84*FRACw.s2C</f>
        <v>5.4468574918163032E-27</v>
      </c>
      <c r="U85" s="163"/>
      <c r="V85" s="163"/>
      <c r="W85" s="162"/>
      <c r="X85" s="166"/>
      <c r="Y85" s="156"/>
      <c r="Z85" s="17"/>
      <c r="AA85" s="312" t="s">
        <v>206</v>
      </c>
      <c r="AB85" s="162" t="s">
        <v>192</v>
      </c>
      <c r="AC85" s="161">
        <f>E.sMS*Molweight</f>
        <v>0</v>
      </c>
      <c r="AD85" s="163"/>
      <c r="AE85" s="163"/>
      <c r="AF85" s="163">
        <f>kleach.sM*(M.sMS+M.sMA)*Molweight</f>
        <v>4.2136825668425679E-6</v>
      </c>
      <c r="AG85" s="163">
        <f>(kdis.s1S.s1D*M.sMS+kdis.s1A.s1D*M.sMA+kdis.s1P.s1D*M.sMP)*Molweight</f>
        <v>2.1619055557960593E-2</v>
      </c>
      <c r="AH85" s="162">
        <f>(kdegS.s1*C.sMS+kdegA.s1*C.sMA+kdegP.s1*C.sMP)*VOLUME.sM*Molweight</f>
        <v>0</v>
      </c>
      <c r="AI85" s="163"/>
      <c r="AJ85" s="163"/>
      <c r="AK85" s="163">
        <f>((k.aMS.sMS*M.aMS+k.aMA.sMA*M.aMA+k.aMP.sMP*M.aMP)+(k.cwMS.sMS*M.cwMS+k.cwMA.sMA*M.cwMA+k.cwMP.sMP*M.cwMP))*Molweight</f>
        <v>2.2248719667985563E-2</v>
      </c>
      <c r="AL85" s="163"/>
      <c r="AM85" s="163">
        <f>AM82</f>
        <v>6.2545042745811854E-4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25">
      <c r="A86" s="17"/>
      <c r="B86" s="159" t="s">
        <v>179</v>
      </c>
      <c r="C86" s="295">
        <f>C84*FRs.s2R</f>
        <v>25393498493.660557</v>
      </c>
      <c r="D86" s="446">
        <f t="shared" si="28"/>
        <v>0.97407425704555051</v>
      </c>
      <c r="E86" s="295">
        <f>E84*FRs.s2C</f>
        <v>1306801666.7123399</v>
      </c>
      <c r="F86" s="446">
        <f t="shared" si="29"/>
        <v>0.61040735208945496</v>
      </c>
      <c r="G86" s="296"/>
      <c r="H86" s="446"/>
      <c r="I86" s="296"/>
      <c r="J86" s="446"/>
      <c r="K86" s="296"/>
      <c r="L86" s="461"/>
      <c r="M86" s="124">
        <f>C.s2R*FRs.s2R*(Molweight*1000)/(FRACs.s2R*RHOsolid)</f>
        <v>0.6172069459309949</v>
      </c>
      <c r="N86" s="124">
        <f>C.s2C*FRs.s2C*(Molweight*1000)/(FRACs.s2C*RHOsolid)</f>
        <v>2.0827144273727412E-3</v>
      </c>
      <c r="O86" s="124"/>
      <c r="P86" s="124"/>
      <c r="Q86" s="124"/>
      <c r="R86" s="160" t="s">
        <v>164</v>
      </c>
      <c r="S86" s="163">
        <f>S84*(1-FRACw.s2R)</f>
        <v>6.456647600383929E-24</v>
      </c>
      <c r="T86" s="163">
        <f>T84*(1-FRACw.s2C)</f>
        <v>2.1787429967265213E-26</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0.22821609101222734</v>
      </c>
      <c r="BT86" s="82">
        <f>IF(ISERROR(F36),0,F36)</f>
        <v>2.0474409753125995E-5</v>
      </c>
      <c r="BU86" s="113"/>
      <c r="BV86" s="82">
        <f>IF(ISERROR(E20),0,E20)</f>
        <v>163330.57926433985</v>
      </c>
      <c r="BW86" s="2"/>
      <c r="BX86" s="76" t="s">
        <v>171</v>
      </c>
      <c r="BY86" s="42"/>
      <c r="BZ86" s="76" t="s">
        <v>172</v>
      </c>
      <c r="CA86" s="113"/>
      <c r="CB86" s="113"/>
      <c r="CC86" s="76" t="s">
        <v>173</v>
      </c>
      <c r="CD86" s="94"/>
      <c r="CE86" s="2"/>
    </row>
    <row r="87" spans="1:83" ht="12.75" customHeight="1" x14ac:dyDescent="0.25">
      <c r="A87" s="17"/>
      <c r="B87" s="159" t="s">
        <v>147</v>
      </c>
      <c r="C87" s="295">
        <f>M.s2RS*Molweight</f>
        <v>17.206290230674188</v>
      </c>
      <c r="D87" s="446">
        <f t="shared" si="28"/>
        <v>6.6001950763650113E-10</v>
      </c>
      <c r="E87" s="295">
        <f>M.s2CS*Molweight</f>
        <v>8.0461925673902202E-2</v>
      </c>
      <c r="F87" s="446">
        <f t="shared" si="29"/>
        <v>3.7583783557751254E-11</v>
      </c>
      <c r="G87" s="296"/>
      <c r="H87" s="446"/>
      <c r="I87" s="296"/>
      <c r="J87" s="446"/>
      <c r="K87" s="296"/>
      <c r="L87" s="461"/>
      <c r="M87" s="124">
        <f>C.s2RS*(Molweight*1000)/(FRACw.s2R*1000+(1-FRACa.s2R-FRACw.s2R)*RHOsolid)</f>
        <v>3.6900975611097356E-10</v>
      </c>
      <c r="N87" s="124">
        <f>C.s2CS*(Molweight*1000)/(FRACw.s2C*1000+(1-FRACa.s2C-FRACw.s2C)*RHOsolid)</f>
        <v>1.1314954337658474E-13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3.7423307253327716E-2</v>
      </c>
      <c r="AE87" s="163">
        <f>k.aA.aM*(M.aAS+M.aAA+M.aAP)*Molweight</f>
        <v>1.6381780575492399E-2</v>
      </c>
      <c r="AF87" s="163">
        <f>kesc.aA*VOLUME.aA*(C.aAS+C.aAA+C.aAP)*Molweight</f>
        <v>8.6677848461247431E-6</v>
      </c>
      <c r="AG87" s="163"/>
      <c r="AH87" s="162">
        <f>(kdegS.a*C.aAS+kdegA.a*C.aAA+kdegP.a*C.aAP)*VOLUME.aA*Molweight</f>
        <v>0</v>
      </c>
      <c r="AI87" s="163">
        <f>SUM(AI88,AK91)</f>
        <v>2.103285889298917E-2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0.12311621541143862</v>
      </c>
      <c r="BY87" s="42"/>
      <c r="BZ87" s="96">
        <f>IF(ISERROR(F92),0,F92)</f>
        <v>4.5598594853582031E-2</v>
      </c>
      <c r="CA87" s="113"/>
      <c r="CB87" s="113"/>
      <c r="CC87" s="96">
        <f>IF(ISERROR(F84),0,F84)</f>
        <v>0.61041163564982059</v>
      </c>
      <c r="CD87" s="2"/>
      <c r="CE87" s="2"/>
    </row>
    <row r="88" spans="1:83" ht="12.75" customHeight="1" x14ac:dyDescent="0.2">
      <c r="A88" s="17"/>
      <c r="B88" s="159" t="s">
        <v>150</v>
      </c>
      <c r="C88" s="295">
        <f>M.s2RA*Molweight</f>
        <v>53193.60952577072</v>
      </c>
      <c r="D88" s="446">
        <f t="shared" si="28"/>
        <v>2.0404642428975134E-6</v>
      </c>
      <c r="E88" s="295">
        <f>M.s2CA*Molweight</f>
        <v>3469.0869413194155</v>
      </c>
      <c r="F88" s="446">
        <f t="shared" si="29"/>
        <v>1.6204112896077431E-6</v>
      </c>
      <c r="G88" s="296"/>
      <c r="H88" s="446"/>
      <c r="I88" s="296"/>
      <c r="J88" s="446"/>
      <c r="K88" s="296"/>
      <c r="L88" s="461"/>
      <c r="M88" s="124">
        <f>C.s2RA*(Molweight*1000)/(FRACw.s2R*1000+(1-FRACa.s2R-FRACw.s2R)*RHOsolid)</f>
        <v>1.1408014519465593E-6</v>
      </c>
      <c r="N88" s="124">
        <f>C.s2CA*(Molweight*1000)/(FRACw.s2C*1000+(1-FRACa.s2C-FRACw.s2C)*RHOsolid)</f>
        <v>4.8784018037897948E-9</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2.1499357707839968E-4</v>
      </c>
      <c r="AE88" s="163">
        <f>(k.w2A.w2M*(M.w2AS+M.w2AA+M.w2AP)+k.w2AS.w3AS*M.w2AS+k.w2AA.w3AA*M.w2AA+k.w2AP.w3AP*M.w2AP)*Molweight</f>
        <v>3.9764105814450105E-4</v>
      </c>
      <c r="AF88" s="163"/>
      <c r="AG88" s="163">
        <f>(kdis.w2S.w2D*M.w2AS+kdis.w2A.w2D*M.w2AA+kdis.w2P.w2D*M.w2AP)*Molweight</f>
        <v>1.7394264260357336E-2</v>
      </c>
      <c r="AH88" s="162">
        <f>(kdegS.w2*C.w2AS+kdegA.w2*C.w2AA+kdegP.w2*C.w2AP)*VOLUME.w2A*Molweight</f>
        <v>0</v>
      </c>
      <c r="AI88" s="163">
        <f>((k.aAS.w2AS*M.aAS+k.aAA.w2AA*M.aAA+k.aAP.w2AP*M.aAP)+(k.cwAS.w2AS*M.cwAS+k.cwAA.w2AA*M.cwAA+k.cwAP.w2AP*M.cwAP))*Molweight</f>
        <v>1.7541158613199315E-2</v>
      </c>
      <c r="AJ88" s="163"/>
      <c r="AK88" s="163"/>
      <c r="AL88" s="163"/>
      <c r="AM88" s="163">
        <f>(k.sAS.w2AS*M.sAS+k.sAA.w2AA*M.sAA+k.sAP.w2AP*M.sAP)*Molweight</f>
        <v>3.5753128224116148E-5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0.25269516128664965</v>
      </c>
      <c r="BT88" s="22">
        <f>AH26</f>
        <v>3.4876860088935613E-14</v>
      </c>
      <c r="BU88" s="113"/>
      <c r="BV88" s="113"/>
      <c r="BW88" s="113"/>
      <c r="BX88" s="2"/>
      <c r="BY88" s="42"/>
      <c r="BZ88" s="113"/>
      <c r="CA88" s="113"/>
      <c r="CB88" s="113"/>
      <c r="CC88" s="113"/>
      <c r="CD88" s="2"/>
      <c r="CE88" s="2"/>
    </row>
    <row r="89" spans="1:83" ht="12.75" customHeight="1" x14ac:dyDescent="0.25">
      <c r="A89" s="17"/>
      <c r="B89" s="159" t="s">
        <v>152</v>
      </c>
      <c r="C89" s="295">
        <f>M.s2RP*Molweight</f>
        <v>15977.222754910543</v>
      </c>
      <c r="D89" s="446">
        <f t="shared" si="28"/>
        <v>6.1287346399024247E-7</v>
      </c>
      <c r="E89" s="295">
        <f>M.s2CP*Molweight</f>
        <v>91.39138087035326</v>
      </c>
      <c r="F89" s="446">
        <f t="shared" si="29"/>
        <v>4.2688934535274892E-8</v>
      </c>
      <c r="G89" s="296"/>
      <c r="H89" s="446"/>
      <c r="I89" s="296"/>
      <c r="J89" s="446"/>
      <c r="K89" s="296"/>
      <c r="L89" s="461"/>
      <c r="M89" s="124">
        <f>C.s2RP*(Molweight*1000)/(FRACw.s2R*1000+(1-FRACa.s2R-FRACw.s2R)*RHOsolid)</f>
        <v>3.4265091388553339E-7</v>
      </c>
      <c r="N89" s="124">
        <f>C.s2CP*(Molweight*1000)/(FRACw.s2C*1000+(1-FRACa.s2C-FRACw.s2C)*RHOsolid)</f>
        <v>1.285190843672547E-10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3.9764105814450105E-4</v>
      </c>
      <c r="AE89" s="163">
        <f>(k.w3A.w2A+k.w3A.w3M)*(M.w3AS+M.w3AA+M.w3AP)*Molweight</f>
        <v>3.6818925354611174E-7</v>
      </c>
      <c r="AF89" s="163"/>
      <c r="AG89" s="163">
        <f>(kdis.w2S.w2D*M.w3AS+kdis.w2A.w2D*M.w3AA+kdis.w2P.w2D*M.w3AP)*Molweight</f>
        <v>3.9727231486183436E-4</v>
      </c>
      <c r="AH89" s="162">
        <f>(kdegS.w3*C.w3AS+kdegA.w3*C.w3AA+kdegP.w3*C.w3AP)*VOLUME.w3A*Molweight</f>
        <v>0</v>
      </c>
      <c r="AI89" s="163"/>
      <c r="AJ89" s="163"/>
      <c r="AK89" s="163"/>
      <c r="AL89" s="163"/>
      <c r="AM89" s="163"/>
      <c r="AN89" s="163">
        <f>(k.w3AS.sdAS*M.w3AS+k.w3AA.sdAA*M.w3AA+k.w3AP.sdAP*M.w3AP)*Molweight</f>
        <v>5.5448931007781468E-10</v>
      </c>
      <c r="AO89" s="162">
        <f>(k.sdAS.w3AS*M.sdAS+k.sdAA.w3AA*M.sdAA+k.sdAP.w3AP*M.sdAP)*Molweight</f>
        <v>4.6018960770240411E-13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1.0704495065698308E-12</v>
      </c>
      <c r="BY89" s="42"/>
      <c r="BZ89" s="55">
        <f>AH30</f>
        <v>3.9646275024109874E-13</v>
      </c>
      <c r="CA89" s="2"/>
      <c r="CB89" s="113"/>
      <c r="CC89" s="22">
        <f>AH29</f>
        <v>5.3073011707044843E-12</v>
      </c>
      <c r="CD89" s="2"/>
      <c r="CE89" s="2"/>
    </row>
    <row r="90" spans="1:83" ht="12.75" customHeight="1" x14ac:dyDescent="0.2">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9.9255056585864014E-17</v>
      </c>
      <c r="AG90" s="163">
        <f>(kdis.sd2S.sd2D*M.sdAS+kdis.sd2A.sd2D*M.sdAA+kdis.sd2P.sd2D*M.sdAP)*Molweight</f>
        <v>5.5402902121505581E-10</v>
      </c>
      <c r="AH90" s="162">
        <f>(kdegS.sd2*C.sdAS+kdegA.sd2*C.sdAA+kdegP.sd2*C.sdAP)*VOLUME.sdA*Molweight</f>
        <v>0</v>
      </c>
      <c r="AI90" s="163"/>
      <c r="AJ90" s="163"/>
      <c r="AK90" s="163"/>
      <c r="AL90" s="163"/>
      <c r="AM90" s="163"/>
      <c r="AN90" s="163">
        <f>AN89</f>
        <v>5.5448931007781468E-10</v>
      </c>
      <c r="AO90" s="162">
        <f>AO89</f>
        <v>4.6018960770240411E-13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2">
      <c r="A91" s="17"/>
      <c r="B91" s="104" t="s">
        <v>241</v>
      </c>
      <c r="C91" s="295">
        <f>SUM(C92,C95:C97)</f>
        <v>129991741.80754665</v>
      </c>
      <c r="D91" s="446">
        <f t="shared" ref="D91:D97" si="30">C91/$C$103</f>
        <v>4.9863790668644532E-3</v>
      </c>
      <c r="E91" s="295">
        <f>SUM(E92,E95:E97)</f>
        <v>97621164.510582536</v>
      </c>
      <c r="F91" s="446">
        <f>E91/$E$103</f>
        <v>4.5598867873123651E-2</v>
      </c>
      <c r="G91" s="296">
        <f>SUM(G92,G95:G97)</f>
        <v>741426463.94036877</v>
      </c>
      <c r="H91" s="446">
        <f t="shared" ref="H91:H97" si="31">G91/$G$103</f>
        <v>4.0266238828007714E-2</v>
      </c>
      <c r="I91" s="296">
        <f>SUM(I92,I95:I97)</f>
        <v>133136260.43409361</v>
      </c>
      <c r="J91" s="446">
        <f t="shared" ref="J91:J97" si="32">I91/$I$103</f>
        <v>1.1259537296594581E-2</v>
      </c>
      <c r="K91" s="296">
        <f>SUM(K92,K95:K97)</f>
        <v>183815346.20445079</v>
      </c>
      <c r="L91" s="461">
        <f t="shared" ref="L91:L97" si="33">K91/$K$103</f>
        <v>4.1927725185172716E-3</v>
      </c>
      <c r="M91" s="459">
        <f>((M.s3RD+M.s3RS+M.s3RA+M.s3RP)*Molweight*1000/(VOLUME.s3R))/(FRACw.s3R*1000+(1-FRACa.s3R-FRACw.s3R)*RHOsolid)</f>
        <v>6.6907932340226128E-2</v>
      </c>
      <c r="N91" s="459">
        <f>((M.s3CD+M.s3CS+M.s3CA+M.s3CP)*Molweight*1000/(VOLUME.s3C))/(FRACw.s3C*1000+(1-FRACa.s3C-FRACw.s3C)*RHOsolid)</f>
        <v>3.2947131490825578E-3</v>
      </c>
      <c r="O91" s="459">
        <f>((M.sMD+M.sMS+M.sMA+M.sMP)*Molweight*1000/(VOLUME.sM))/(FRACw.sM*1000+(1-FRACa.sM-FRACw.sM)*RHOsolid)</f>
        <v>2.2489445904139643E-4</v>
      </c>
      <c r="P91" s="459">
        <f>((M.sAD+M.sAS+M.sAA+M.sAP)*Molweight*1000/(VOLUME.sA))/(FRACw.sA*1000+(1-FRACa.sA-FRACw.sA)*RHOsolid)</f>
        <v>9.2135820369614944E-5</v>
      </c>
      <c r="Q91" s="459">
        <f>((M.sTD+M.sTS+M.sTA+M.sTP)*Molweight*1000/(VOLUME.sT))/(FRACw.sT*1000+(1-FRACa.sT-FRACw.sT)*RHOsolid)</f>
        <v>5.6536823130934475E-5</v>
      </c>
      <c r="R91" s="160" t="s">
        <v>175</v>
      </c>
      <c r="S91" s="163"/>
      <c r="T91" s="163"/>
      <c r="U91" s="163"/>
      <c r="V91" s="163"/>
      <c r="W91" s="162"/>
      <c r="X91" s="166"/>
      <c r="Y91" s="156"/>
      <c r="Z91" s="17"/>
      <c r="AA91" s="312" t="s">
        <v>206</v>
      </c>
      <c r="AB91" s="162" t="s">
        <v>197</v>
      </c>
      <c r="AC91" s="161">
        <f>E.sAS*Molweight</f>
        <v>0</v>
      </c>
      <c r="AD91" s="163"/>
      <c r="AE91" s="163"/>
      <c r="AF91" s="163">
        <f>kleach.sA*(M.sAS+M.sAA)*Molweight</f>
        <v>2.4081171566062013E-7</v>
      </c>
      <c r="AG91" s="163">
        <f>(kdis.s1S.s1D*M.sAS+kdis.s1A.s1D*M.sAA+kdis.s1P.s1D*M.sAP)*Molweight</f>
        <v>3.4557063398500793E-3</v>
      </c>
      <c r="AH91" s="162">
        <f>(kdegS.s1*C.sAS+kdegA.s1*C.sAA+kdegP.s1*C.sAP)*VOLUME.sA*Molweight</f>
        <v>0</v>
      </c>
      <c r="AI91" s="163"/>
      <c r="AJ91" s="163"/>
      <c r="AK91" s="163">
        <f>((k.aAS.sAS*M.aAS+k.aAA.sAA*M.aAA+k.aAP.sAP*M.aAP)+(k.cwAS.sAS*M.cwAS+k.cwAA.sAA*M.cwAA+k.cwAP.sAP*M.cwAP))*Molweight</f>
        <v>3.4917002797898553E-3</v>
      </c>
      <c r="AL91" s="163"/>
      <c r="AM91" s="163">
        <f>AM88</f>
        <v>3.5753128224116148E-5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4.0113120639790681E-3</v>
      </c>
      <c r="BU91" s="113"/>
      <c r="BV91" s="113"/>
      <c r="BW91" s="113"/>
      <c r="BX91" s="113"/>
      <c r="BY91" s="113"/>
      <c r="BZ91" s="2"/>
      <c r="CA91" s="113"/>
      <c r="CB91" s="2"/>
      <c r="CC91" s="2"/>
      <c r="CD91" s="2"/>
      <c r="CE91" s="2"/>
    </row>
    <row r="92" spans="1:83" ht="12.75" customHeight="1" x14ac:dyDescent="0.2">
      <c r="A92" s="17"/>
      <c r="B92" s="443" t="s">
        <v>140</v>
      </c>
      <c r="C92" s="295">
        <f>M.s3R*Molweight</f>
        <v>129990963.49248274</v>
      </c>
      <c r="D92" s="446">
        <f t="shared" si="30"/>
        <v>4.9863492113221847E-3</v>
      </c>
      <c r="E92" s="295">
        <f>M.s3C*Molweight</f>
        <v>97620580.011737928</v>
      </c>
      <c r="F92" s="446">
        <f t="shared" ref="F92:F97" si="34">E92/$E$103</f>
        <v>4.5598594853582031E-2</v>
      </c>
      <c r="G92" s="296">
        <f>M.sMD*Molweight</f>
        <v>741422024.70924795</v>
      </c>
      <c r="H92" s="446">
        <f t="shared" si="31"/>
        <v>4.0265997737152157E-2</v>
      </c>
      <c r="I92" s="296">
        <f>M.sAD*Molweight</f>
        <v>133135550.84346941</v>
      </c>
      <c r="J92" s="446">
        <f t="shared" si="32"/>
        <v>1.1259477285429535E-2</v>
      </c>
      <c r="K92" s="296">
        <f>M.sTD*Molweight</f>
        <v>183814084.45293042</v>
      </c>
      <c r="L92" s="461">
        <f t="shared" si="33"/>
        <v>4.1927437383462518E-3</v>
      </c>
      <c r="M92" s="124">
        <f>C.s3R*(Molweight*1000)/(FRACw.s3R*1000+(1-FRACa.s3R-FRACw.s3R)*RHOsolid)</f>
        <v>6.6907531734380618E-2</v>
      </c>
      <c r="N92" s="124">
        <f>C.s3C*(Molweight*1000)/(FRACw.s3C*1000+(1-FRACa.s3C-FRACw.s3C)*RHOsolid)</f>
        <v>3.2946934222534566E-3</v>
      </c>
      <c r="O92" s="124">
        <f>C.sM*(Molweight*1000)/(FRACw.sM*1000+(1-FRACa.sM-FRACw.sM)*RHOsolid)</f>
        <v>2.248931125039716E-4</v>
      </c>
      <c r="P92" s="124">
        <f>C.sA*(Molweight*1000)/(FRACw.sA*1000+(1-FRACa.sA-FRACw.sA)*RHOsolid)</f>
        <v>9.2135329303439021E-5</v>
      </c>
      <c r="Q92" s="124">
        <f>C.sT*(Molweight*1000)/(FRACw.sT*1000+(1-FRACa.sT-FRACw.sT)*RHOsolid)</f>
        <v>5.6536435048959736E-5</v>
      </c>
      <c r="R92" s="160" t="s">
        <v>175</v>
      </c>
      <c r="S92" s="163">
        <f>F.s3R</f>
        <v>9.9155295938127654E-25</v>
      </c>
      <c r="T92" s="163">
        <f>F.s3C</f>
        <v>4.8826536092509227E-26</v>
      </c>
      <c r="U92" s="163">
        <f>F.sM</f>
        <v>3.3328599257412702E-27</v>
      </c>
      <c r="V92" s="163">
        <f>F.sA</f>
        <v>2.8062262959753562E-33</v>
      </c>
      <c r="W92" s="162">
        <f>F.sT</f>
        <v>7.7455995388035846E-25</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2.189842456904874E-13</v>
      </c>
      <c r="BR92" s="113"/>
      <c r="BS92" s="113"/>
      <c r="BT92" s="113"/>
      <c r="BU92" s="113"/>
      <c r="BV92" s="113"/>
      <c r="BW92" s="55"/>
      <c r="BX92" s="2"/>
      <c r="BY92" s="55"/>
      <c r="BZ92" s="55"/>
      <c r="CA92" s="2"/>
      <c r="CB92" s="55"/>
      <c r="CC92" s="113"/>
      <c r="CD92" s="113"/>
      <c r="CE92" s="2"/>
    </row>
    <row r="93" spans="1:83" ht="12.75" customHeight="1" x14ac:dyDescent="0.2">
      <c r="A93" s="17"/>
      <c r="B93" s="159" t="s">
        <v>239</v>
      </c>
      <c r="C93" s="295">
        <f>C92*FRwD.s3R</f>
        <v>912.21088618664237</v>
      </c>
      <c r="D93" s="446">
        <f t="shared" si="30"/>
        <v>3.4991678734340001E-8</v>
      </c>
      <c r="E93" s="295">
        <f>E92*FRw.s3C</f>
        <v>685.05189445504186</v>
      </c>
      <c r="F93" s="446">
        <f t="shared" si="34"/>
        <v>3.1998789379430337E-7</v>
      </c>
      <c r="G93" s="296">
        <f>FRw.sM*G92</f>
        <v>5202.9250651521597</v>
      </c>
      <c r="H93" s="446">
        <f t="shared" si="31"/>
        <v>2.8256642225073616E-7</v>
      </c>
      <c r="I93" s="296">
        <f>FRw.sA*I92</f>
        <v>934.27801098567306</v>
      </c>
      <c r="J93" s="446">
        <f t="shared" si="32"/>
        <v>7.9013321207777732E-8</v>
      </c>
      <c r="K93" s="296">
        <f>FRw.sT*K92</f>
        <v>1289.9143476391773</v>
      </c>
      <c r="L93" s="461">
        <f t="shared" si="33"/>
        <v>2.9422556602032627E-8</v>
      </c>
      <c r="M93" s="124">
        <f>M94/Kp.s3R</f>
        <v>3.990947570488875E-6</v>
      </c>
      <c r="N93" s="124">
        <f>N94/Kp.s3C</f>
        <v>1.965241934383224E-7</v>
      </c>
      <c r="O93" s="124">
        <f>O94/Kp.sM</f>
        <v>1.3414582748779015E-8</v>
      </c>
      <c r="P93" s="124">
        <f>P94/Kp.sA</f>
        <v>5.4957530057980761E-9</v>
      </c>
      <c r="Q93" s="124">
        <f>Q94/Kp.sT</f>
        <v>3.3723250918671294E-9</v>
      </c>
      <c r="R93" s="160" t="s">
        <v>158</v>
      </c>
      <c r="S93" s="163">
        <f>S92*FRACw.s3R</f>
        <v>1.9831059187625532E-25</v>
      </c>
      <c r="T93" s="163">
        <f>T92*FRACw.s3C</f>
        <v>9.7653072185018458E-27</v>
      </c>
      <c r="U93" s="163">
        <f>U92*FRACw.sM</f>
        <v>6.6657198514825403E-28</v>
      </c>
      <c r="V93" s="163">
        <f>V92*FRACw.sA</f>
        <v>5.6124525919507125E-34</v>
      </c>
      <c r="W93" s="162">
        <f>W92*FRACw.sT</f>
        <v>1.549119907760717E-25</v>
      </c>
      <c r="X93" s="166"/>
      <c r="Y93" s="156"/>
      <c r="Z93" s="17"/>
      <c r="AA93" s="312" t="s">
        <v>141</v>
      </c>
      <c r="AB93" s="162" t="s">
        <v>198</v>
      </c>
      <c r="AC93" s="161">
        <f>E.aTS*Molweight</f>
        <v>0</v>
      </c>
      <c r="AD93" s="163">
        <f>k.aM.aT*(M.aMS+M.aMA+M.aMP)*Molweight</f>
        <v>6.4819069550024491E-2</v>
      </c>
      <c r="AE93" s="163">
        <f>k.aT.aM*(M.aTS+M.aTA+M.aTP)*Molweight</f>
        <v>1.6731178993290671E-2</v>
      </c>
      <c r="AF93" s="163">
        <f>kesc.aT*VOLUME.aT*(C.aTS+C.aTA+C.aTP)*Molweight</f>
        <v>1.5333249089339887E-5</v>
      </c>
      <c r="AG93" s="163"/>
      <c r="AH93" s="162">
        <f>(kdegS.a*C.aTS+kdegA.a*C.aTA+kdegP.a*C.aTP)*VOLUME.aT*Molweight</f>
        <v>0</v>
      </c>
      <c r="AI93" s="163">
        <f>SUM(AI94,AK97)</f>
        <v>4.807255730764446E-2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2">
      <c r="A94" s="17"/>
      <c r="B94" s="159" t="s">
        <v>179</v>
      </c>
      <c r="C94" s="295">
        <f>C92*FRs.s3R</f>
        <v>129990051.28159654</v>
      </c>
      <c r="D94" s="446">
        <f t="shared" si="30"/>
        <v>4.9863142196434496E-3</v>
      </c>
      <c r="E94" s="295">
        <f>E92*FRs.s3C</f>
        <v>97619894.959843457</v>
      </c>
      <c r="F94" s="446">
        <f t="shared" si="34"/>
        <v>4.5598274865688224E-2</v>
      </c>
      <c r="G94" s="296">
        <f>(1-FRw.sM)*G92</f>
        <v>741416821.78418279</v>
      </c>
      <c r="H94" s="446">
        <f t="shared" si="31"/>
        <v>4.0265715170729903E-2</v>
      </c>
      <c r="I94" s="296">
        <f>(1-FRw.sA)*I92</f>
        <v>133134616.56545843</v>
      </c>
      <c r="J94" s="446">
        <f t="shared" si="32"/>
        <v>1.1259398272108328E-2</v>
      </c>
      <c r="K94" s="296">
        <f>(1-FRw.sT)*K92</f>
        <v>183812794.53858277</v>
      </c>
      <c r="L94" s="461">
        <f t="shared" si="33"/>
        <v>4.1927143157896498E-3</v>
      </c>
      <c r="M94" s="124">
        <f>C.s3R*FRs.s3R*(Molweight*1000)/(FRACs.s3R*RHOsolid)</f>
        <v>7.582800383928863E-2</v>
      </c>
      <c r="N94" s="124">
        <f>C.s3C*FRs.s3C*(Molweight*1000)/(FRACs.s3C*RHOsolid)</f>
        <v>3.7339596753281257E-3</v>
      </c>
      <c r="O94" s="124">
        <f>C.sM*FRs.sM*(Molweight*1000)/(FRACs.sM*RHOsolid)</f>
        <v>2.5487707222680129E-4</v>
      </c>
      <c r="P94" s="124">
        <f>C.sA*FRs.sA*(Molweight*1000)/(FRACs.sA*RHOsolid)</f>
        <v>1.0441930711016345E-4</v>
      </c>
      <c r="Q94" s="124">
        <f>C.sT*FRs.sT*(Molweight*1000)/(FRACs.sT*RHOsolid)</f>
        <v>6.4074176745475457E-5</v>
      </c>
      <c r="R94" s="160" t="s">
        <v>164</v>
      </c>
      <c r="S94" s="163">
        <f>S92*(1-FRACw.s3R)</f>
        <v>7.9324236750502127E-25</v>
      </c>
      <c r="T94" s="163">
        <f>T92*(1-FRACw.s3C)</f>
        <v>3.9061228874007383E-26</v>
      </c>
      <c r="U94" s="163">
        <f>U92*(1-FRACw.sM)</f>
        <v>2.6662879405930161E-27</v>
      </c>
      <c r="V94" s="163">
        <f>V92*(1-FRACw.sA)</f>
        <v>2.244981036780285E-33</v>
      </c>
      <c r="W94" s="162">
        <f>W92*(1-FRACw.sT)</f>
        <v>6.1964796310428681E-25</v>
      </c>
      <c r="X94" s="166"/>
      <c r="Y94" s="156"/>
      <c r="Z94" s="17"/>
      <c r="AA94" s="312" t="s">
        <v>186</v>
      </c>
      <c r="AB94" s="162" t="s">
        <v>199</v>
      </c>
      <c r="AC94" s="161">
        <f>E.w2TS*Molweight</f>
        <v>0</v>
      </c>
      <c r="AD94" s="163">
        <f>(k.w2M.w2T*(M.w2MS+M.w2MA+M.w2MP)+k.w3T.w2T*(M.w3TS+M.w3TA+M.w3TP))*Molweight</f>
        <v>5.0865100440080491E-7</v>
      </c>
      <c r="AE94" s="163">
        <f>(k.w2T.w2M*(M.w2TS+M.w2TA+M.w2TP)+k.w2TS.w3TS*M.w2TS+k.w2TA.w3TA*M.w2TA+k.w2TP.w3TP*M.w2TP)*Molweight</f>
        <v>8.5123480671186634E-4</v>
      </c>
      <c r="AF94" s="163"/>
      <c r="AG94" s="163">
        <f>(kdis.w2S.w2D*M.w2TS+kdis.w2A.w2D*M.w2TA+kdis.w2P.w2D*M.w2TP)*Molweight</f>
        <v>4.1074874603458905E-2</v>
      </c>
      <c r="AH94" s="162">
        <f>(kdegS.w2*C.w2TS+kdegA.w2*C.w2TA+kdegP.w2*C.w2TP)*VOLUME.w2T*Molweight</f>
        <v>0</v>
      </c>
      <c r="AI94" s="163">
        <f>((k.aTS.w2TS*M.aTS+k.aTA.w2TA*M.aTA+k.aTP.w2TP*M.aTP)+(k.cwTS.w2TS*M.cwTS+k.cwTA.w2TA*M.cwTA+k.cwTP.w2TP*M.cwTP))*Molweight</f>
        <v>4.159511344186069E-2</v>
      </c>
      <c r="AJ94" s="163"/>
      <c r="AK94" s="163"/>
      <c r="AL94" s="163"/>
      <c r="AM94" s="163">
        <f>(k.sTS.w2TS*M.sTS+k.sTA.w2TA*M.sTA+k.sTP.w2TP*M.sTP)*Molweight</f>
        <v>3.304873173056856E-4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3.4251201002855631</v>
      </c>
      <c r="BQ94" s="96">
        <f>IF(ISERROR(F52),0,F52)</f>
        <v>3.71551256042904E-2</v>
      </c>
      <c r="BR94" s="113"/>
      <c r="BS94" s="113"/>
      <c r="BT94" s="113"/>
      <c r="BU94" s="113"/>
      <c r="BV94" s="113"/>
      <c r="BW94" s="113"/>
      <c r="BX94" s="113"/>
      <c r="BY94" s="113"/>
      <c r="BZ94" s="113"/>
      <c r="CA94" s="113"/>
      <c r="CB94" s="113"/>
      <c r="CC94" s="113"/>
      <c r="CD94" s="113"/>
      <c r="CE94" s="2"/>
    </row>
    <row r="95" spans="1:83" ht="12.75" customHeight="1" x14ac:dyDescent="0.25">
      <c r="A95" s="17"/>
      <c r="B95" s="159" t="s">
        <v>147</v>
      </c>
      <c r="C95" s="295">
        <f>M.s3RS*Molweight</f>
        <v>0.14840038400934188</v>
      </c>
      <c r="D95" s="446">
        <f t="shared" si="30"/>
        <v>5.6925198327934808E-12</v>
      </c>
      <c r="E95" s="295">
        <f>M.s3CS*Molweight</f>
        <v>1.4899867682326186E-2</v>
      </c>
      <c r="F95" s="446">
        <f t="shared" si="34"/>
        <v>6.9597315416142703E-12</v>
      </c>
      <c r="G95" s="296">
        <f>M.sMS*Molweight</f>
        <v>2.6553665155046053E-3</v>
      </c>
      <c r="H95" s="446">
        <f t="shared" si="31"/>
        <v>1.4421069045871357E-13</v>
      </c>
      <c r="I95" s="296">
        <f>M.sAS*Molweight</f>
        <v>1.7850272910450878E-5</v>
      </c>
      <c r="J95" s="446">
        <f t="shared" si="32"/>
        <v>1.5096248980878315E-15</v>
      </c>
      <c r="K95" s="296">
        <f>M.sTS*Molweight</f>
        <v>2.3976334242405372E-5</v>
      </c>
      <c r="L95" s="461">
        <f t="shared" si="33"/>
        <v>5.4689294110693659E-16</v>
      </c>
      <c r="M95" s="124">
        <f>C.s3RS*(Molweight*1000)/(FRACw.s3R*1000+(1-FRACa.s3R-FRACw.s3R)*RHOsolid)</f>
        <v>7.6383027986968521E-11</v>
      </c>
      <c r="N95" s="124">
        <f>C.s3CS*(Molweight*1000)/(FRACw.s3C*1000+(1-FRACa.s3C-FRACw.s3C)*RHOsolid)</f>
        <v>5.0287035827388322E-13</v>
      </c>
      <c r="O95" s="124">
        <f>C.sMS*(Molweight*1000)/(FRACw.sM*1000+(1-FRACa.sM-FRACw.sM)*RHOsolid)</f>
        <v>8.054436213232816E-16</v>
      </c>
      <c r="P95" s="124">
        <f>C.sAS*(Molweight*1000)/(FRACw.sA*1000+(1-FRACa.sA-FRACw.sA)*RHOsolid)</f>
        <v>1.2353130041834516E-17</v>
      </c>
      <c r="Q95" s="124">
        <f>C.sTS*(Molweight*1000)/(FRACw.sT*1000+(1-FRACa.sT-FRACw.sT)*RHOsolid)</f>
        <v>7.3744972679447465E-18</v>
      </c>
      <c r="R95" s="160" t="s">
        <v>237</v>
      </c>
      <c r="S95" s="163"/>
      <c r="T95" s="163"/>
      <c r="U95" s="163"/>
      <c r="V95" s="163"/>
      <c r="W95" s="162"/>
      <c r="X95" s="166"/>
      <c r="Y95" s="156"/>
      <c r="Z95" s="17"/>
      <c r="AA95" s="312" t="s">
        <v>189</v>
      </c>
      <c r="AB95" s="162" t="s">
        <v>200</v>
      </c>
      <c r="AC95" s="161"/>
      <c r="AD95" s="163">
        <f>(k.w2TS.w3TS*M.w2TS+k.w2TA.w3TA*M.w2TA+k.w2TP.w3TP*M.w2TP+k.w3M.w3T*(M.w3MS+M.w3MA+M.w3MP))*Molweight</f>
        <v>7.9288320452621441E-4</v>
      </c>
      <c r="AE95" s="163">
        <f>(k.w3T.w2T+k.w3T.w3M)*(M.w3TS+M.w3TA+M.w3TP)*Molweight</f>
        <v>5.0865100440080491E-7</v>
      </c>
      <c r="AF95" s="163"/>
      <c r="AG95" s="163">
        <f>(kdis.w2S.w2D*M.w3TS+kdis.w2A.w2D*M.w3TA+kdis.w2P.w2D*M.w3TP)*Molweight</f>
        <v>7.9237345038689247E-4</v>
      </c>
      <c r="AH95" s="162">
        <f>(kdegS.w3*C.w3TS+kdegA.w3*C.w3TA+kdegP.w3*C.w3TP)*VOLUME.w3T*Molweight</f>
        <v>0</v>
      </c>
      <c r="AI95" s="163"/>
      <c r="AJ95" s="163"/>
      <c r="AK95" s="163"/>
      <c r="AL95" s="163"/>
      <c r="AM95" s="163"/>
      <c r="AN95" s="163">
        <f>(k.w3TS.sdTS*M.w3TS+k.w3TA.sdTA*M.w3TA+k.w3TP.sdTP*M.w3TP)*Molweight</f>
        <v>1.104051211006961E-9</v>
      </c>
      <c r="AO95" s="162">
        <f>(k.sdTS.w3TS*M.sdTS+k.sdTA.w3TA*M.sdTA+k.sdTP.w3TP*M.sdTP)*Molweight</f>
        <v>9.1628985594675797E-13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150</v>
      </c>
      <c r="C96" s="295">
        <f>M.s3RA*Molweight</f>
        <v>638.13309477587143</v>
      </c>
      <c r="D96" s="446">
        <f t="shared" si="30"/>
        <v>2.4478274245872953E-8</v>
      </c>
      <c r="E96" s="295">
        <f>M.s3CA*Molweight</f>
        <v>569.2524951609081</v>
      </c>
      <c r="F96" s="446">
        <f t="shared" si="34"/>
        <v>2.6589796837011031E-7</v>
      </c>
      <c r="G96" s="296">
        <f>M.sMA*Molweight</f>
        <v>4434.1810359651017</v>
      </c>
      <c r="H96" s="446">
        <f t="shared" si="31"/>
        <v>2.4081658975576252E-7</v>
      </c>
      <c r="I96" s="296">
        <f>M.sAA*Molweight</f>
        <v>709.55734032996668</v>
      </c>
      <c r="J96" s="446">
        <f t="shared" si="32"/>
        <v>6.000835017799413E-8</v>
      </c>
      <c r="K96" s="296">
        <f>M.sTA*Molweight</f>
        <v>1261.703723920238</v>
      </c>
      <c r="L96" s="461">
        <f t="shared" si="33"/>
        <v>2.8779080797093898E-8</v>
      </c>
      <c r="M96" s="124">
        <f>C.s3RA*(Molweight*1000)/(FRACw.s3R*1000+(1-FRACa.s3R-FRACw.s3R)*RHOsolid)</f>
        <v>3.2845291043591807E-7</v>
      </c>
      <c r="N96" s="124">
        <f>C.s3CA*(Molweight*1000)/(FRACw.s3C*1000+(1-FRACa.s3C-FRACw.s3C)*RHOsolid)</f>
        <v>1.92122649873879E-8</v>
      </c>
      <c r="O96" s="124">
        <f>C.sMA*(Molweight*1000)/(FRACw.sM*1000+(1-FRACa.sM-FRACw.sM)*RHOsolid)</f>
        <v>1.3450055991732104E-9</v>
      </c>
      <c r="P96" s="124">
        <f>C.sAA*(Molweight*1000)/(FRACw.sA*1000+(1-FRACa.sA-FRACw.sA)*RHOsolid)</f>
        <v>4.9104314209686265E-10</v>
      </c>
      <c r="Q96" s="124">
        <f>C.sTA*(Molweight*1000)/(FRACw.sT*1000+(1-FRACa.sT-FRACw.sT)*RHOsolid)</f>
        <v>3.8806727379322956E-10</v>
      </c>
      <c r="R96" s="160" t="s">
        <v>237</v>
      </c>
      <c r="S96" s="163"/>
      <c r="T96" s="163"/>
      <c r="U96" s="163"/>
      <c r="V96" s="163"/>
      <c r="W96" s="162"/>
      <c r="X96" s="166"/>
      <c r="Y96" s="156"/>
      <c r="Z96" s="17"/>
      <c r="AA96" s="312" t="s">
        <v>205</v>
      </c>
      <c r="AB96" s="162" t="s">
        <v>201</v>
      </c>
      <c r="AC96" s="161"/>
      <c r="AD96" s="163"/>
      <c r="AE96" s="163"/>
      <c r="AF96" s="163">
        <f>kbur.sdT*(M.sdTS+M.sdTA+M.sdTP)*Molweight</f>
        <v>1.1857686481246663E-16</v>
      </c>
      <c r="AG96" s="163">
        <f>(kdis.sd2S.sd2D*M.sdTS+kdis.sd2A.sd2D*M.sdTA+kdis.sd2P.sd2D*M.sdTP)*Molweight</f>
        <v>1.1031348025741494E-9</v>
      </c>
      <c r="AH96" s="162">
        <f>(kdegS.sd2*C.sdTS+kdegA.sd2*C.sdTA+kdegP.sd2*C.sdTP)*VOLUME.sdT*Molweight</f>
        <v>0</v>
      </c>
      <c r="AI96" s="163"/>
      <c r="AJ96" s="163"/>
      <c r="AK96" s="163"/>
      <c r="AL96" s="163"/>
      <c r="AM96" s="163"/>
      <c r="AN96" s="163">
        <f>AN95</f>
        <v>1.104051211006961E-9</v>
      </c>
      <c r="AO96" s="162">
        <f>AO95</f>
        <v>9.1628985594675797E-13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152</v>
      </c>
      <c r="C97" s="295">
        <f>M.s3RP*Molweight</f>
        <v>140.03356875523588</v>
      </c>
      <c r="D97" s="446">
        <f t="shared" si="30"/>
        <v>5.3715755031054978E-9</v>
      </c>
      <c r="E97" s="295">
        <f>M.s3CP*Molweight</f>
        <v>15.231449582715106</v>
      </c>
      <c r="F97" s="446">
        <f t="shared" si="34"/>
        <v>7.1146135217745721E-9</v>
      </c>
      <c r="G97" s="296">
        <f>M.sMP*Molweight</f>
        <v>5.047429399511512</v>
      </c>
      <c r="H97" s="446">
        <f t="shared" si="31"/>
        <v>2.7412158528587983E-10</v>
      </c>
      <c r="I97" s="296">
        <f>M.sAP*Molweight</f>
        <v>3.3266018955296205E-2</v>
      </c>
      <c r="J97" s="446">
        <f t="shared" si="32"/>
        <v>2.813358133352395E-12</v>
      </c>
      <c r="K97" s="296">
        <f>M.sTP*Molweight</f>
        <v>4.7772473557089593E-2</v>
      </c>
      <c r="L97" s="461">
        <f t="shared" si="33"/>
        <v>1.089675690347275E-12</v>
      </c>
      <c r="M97" s="124">
        <f>C.s3RP*(Molweight*1000)/(FRACw.s3R*1000+(1-FRACa.s3R-FRACw.s3R)*RHOsolid)</f>
        <v>7.2076552043645193E-8</v>
      </c>
      <c r="N97" s="124">
        <f>C.s3CP*(Molweight*1000)/(FRACw.s3C*1000+(1-FRACa.s3C-FRACw.s3C)*RHOsolid)</f>
        <v>5.1406124349519959E-10</v>
      </c>
      <c r="O97" s="124">
        <f>C.sMP*(Molweight*1000)/(FRACw.sM*1000+(1-FRACa.sM-FRACw.sM)*RHOsolid)</f>
        <v>1.5310202151673921E-12</v>
      </c>
      <c r="P97" s="124">
        <f>C.sAP*(Molweight*1000)/(FRACw.sA*1000+(1-FRACa.sA-FRACw.sA)*RHOsolid)</f>
        <v>2.3021466405049275E-14</v>
      </c>
      <c r="Q97" s="124">
        <f>C.sTP*(Molweight*1000)/(FRACw.sT*1000+(1-FRACa.sT-FRACw.sT)*RHOsolid)</f>
        <v>1.4693571259389336E-14</v>
      </c>
      <c r="R97" s="160" t="s">
        <v>237</v>
      </c>
      <c r="S97" s="163"/>
      <c r="T97" s="163"/>
      <c r="U97" s="163"/>
      <c r="V97" s="163"/>
      <c r="W97" s="162"/>
      <c r="X97" s="166"/>
      <c r="Y97" s="156"/>
      <c r="Z97" s="17"/>
      <c r="AA97" s="312" t="s">
        <v>206</v>
      </c>
      <c r="AB97" s="162" t="s">
        <v>202</v>
      </c>
      <c r="AC97" s="161">
        <f>E.sTS*Molweight</f>
        <v>0</v>
      </c>
      <c r="AD97" s="163"/>
      <c r="AE97" s="163"/>
      <c r="AF97" s="163">
        <f>kleach.sT*(M.sTS+M.sTA)*Molweight</f>
        <v>2.2266442755541025E-6</v>
      </c>
      <c r="AG97" s="163">
        <f>(kdis.s1S.s1D*M.sTS+kdis.s1A.s1D*M.sTA+kdis.s1P.s1D*M.sTP)*Molweight</f>
        <v>6.1447299042025295E-3</v>
      </c>
      <c r="AH97" s="162">
        <f>(kdegS.s1*C.sTS+kdegA.s1*C.sTA+kdegP.s1*C.sTP)*VOLUME.sT*Molweight</f>
        <v>0</v>
      </c>
      <c r="AI97" s="163"/>
      <c r="AJ97" s="163"/>
      <c r="AK97" s="163">
        <f>((k.aTS.sTS*M.aTS+k.aTA.sTA*M.aTA+k.aTP.sTP*M.aTP)+(k.cwTS.sTS*M.cwTS+k.cwTA.sTA*M.cwTA+k.cwTP.sTP*M.cwTP))*Molweight</f>
        <v>6.4774438657837722E-3</v>
      </c>
      <c r="AL97" s="163"/>
      <c r="AM97" s="163">
        <f>AM94</f>
        <v>3.304873173056856E-4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3.7754752378022745</v>
      </c>
      <c r="BQ97" s="55">
        <f>AH27</f>
        <v>1.5579249870930778E-12</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1.8541834684575661E-3</v>
      </c>
      <c r="AG98" s="914"/>
      <c r="AH98" s="915">
        <f>SUM(AH60:AH97)</f>
        <v>0</v>
      </c>
      <c r="AI98" s="929"/>
      <c r="AJ98" s="930"/>
      <c r="AK98" s="930"/>
      <c r="AL98" s="929"/>
      <c r="AM98" s="929"/>
      <c r="AN98" s="929"/>
      <c r="AO98" s="486"/>
      <c r="AP98" s="931">
        <f>SUM(AP61:AP97)</f>
        <v>-3.0316946798864675E-4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2">
      <c r="A99" s="304"/>
      <c r="B99" s="768" t="s">
        <v>242</v>
      </c>
      <c r="C99" s="296">
        <f>SUM(C12,C20,C28,C36,C44,C52,C68,C76,C84,C92)</f>
        <v>26067473059.727287</v>
      </c>
      <c r="D99" s="446">
        <f>C99/$C$103</f>
        <v>0.99992738141409476</v>
      </c>
      <c r="E99" s="296">
        <f>SUM(E12,E20,E28,E36,E44,E52,E68,E76,E84,E92)</f>
        <v>2140713846.2301731</v>
      </c>
      <c r="F99" s="446">
        <f>E99/$E$103</f>
        <v>0.99992791847749607</v>
      </c>
      <c r="G99" s="296">
        <f>SUM(G12,G52,G60,G68,G92)</f>
        <v>18412995514.634041</v>
      </c>
      <c r="H99" s="446">
        <f>G99/$G$103</f>
        <v>0.99999408031774806</v>
      </c>
      <c r="I99" s="296">
        <f>SUM(I12,I52,I60,I68,I92)</f>
        <v>11824284110.848379</v>
      </c>
      <c r="J99" s="446">
        <f>I99/$I$103</f>
        <v>0.99999780313443809</v>
      </c>
      <c r="K99" s="296">
        <f>SUM(K12,K52,K60,K68,K92)</f>
        <v>43840954746.115715</v>
      </c>
      <c r="L99" s="461">
        <f>K99/$K$103</f>
        <v>0.99999893393352879</v>
      </c>
      <c r="M99" s="484">
        <f xml:space="preserve"> (M.aRG+M.w0RD+M.w1RD+M.w2RD+M.sd0RD+M.sd1RD+M.sd2RD+M.s1RD+M.s2RD+M.s3RD)*Molweight/(VOLUME.aR+VOLUME.cwR+VOLUME.w0R+VOLUME.w1R+VOLUME.w2R+VOLUME.sd0R+VOLUME.sd1R+VOLUME.sd2R+VOLUME.s1R+VOLUME.s2R+VOLUME.s3R)</f>
        <v>1.1349084539014713E-4</v>
      </c>
      <c r="N99" s="484">
        <f xml:space="preserve"> (M.aCG+M.w0CD+M.w1CD+M.w2CD+M.sd0CD+M.sd1CD+M.sd2CD+M.s1CD+M.s2CD+M.s3CD)*Molweight/(VOLUME.aC+VOLUME.cwC+VOLUME.w0C+VOLUME.w1C+VOLUME.w2C+VOLUME.sd0C+VOLUME.sd1C+VOLUME.sd2C+VOLUME.s1C+VOLUME.s2C+VOLUME.s3C)</f>
        <v>2.6948613118587482E-7</v>
      </c>
      <c r="O99" s="484">
        <f xml:space="preserve"> (M.aMG+M.w2MD+M.w3MD+M.sdMD+M.sMD)*Molweight/(VOLUME.aM+VOLUME.cwM+VOLUME.w2M+VOLUME.w3M+VOLUME.sdM+VOLUME.sM)</f>
        <v>9.3084432766886922E-8</v>
      </c>
      <c r="P99" s="484">
        <f xml:space="preserve"> (M.aAG+M.w2AD+M.w3AD+M.sdAD+M.sAD)*Molweight/(VOLUME.aA+VOLUME.cwA+VOLUME.w2A+VOLUME.w3A+VOLUME.sdA+VOLUME.sA)</f>
        <v>9.7277885701878604E-8</v>
      </c>
      <c r="Q99" s="484">
        <f xml:space="preserve"> (M.aTG+M.w2TD+M.w3TD+M.sdTD+M.sTD)*Molweight/(VOLUME.aT+VOLUME.cwT+VOLUME.w2T+VOLUME.w3T+VOLUME.sdT+VOLUME.sT)</f>
        <v>1.0846899702708137E-7</v>
      </c>
      <c r="R99" s="160" t="s">
        <v>158</v>
      </c>
      <c r="S99" s="163">
        <f>SUM(S12,S20,S36,S44,S52,S68,S76,S84,S92)</f>
        <v>4.5716316474357134E-23</v>
      </c>
      <c r="T99" s="163">
        <f>SUM(T12,T20,T36,T44,T52,T68,T76,T84,T92)</f>
        <v>4.1237227526737221E-25</v>
      </c>
      <c r="U99" s="163">
        <f>SUM(U12,U20,U36,U44,U52,U68,U76,U84,U92)</f>
        <v>5.7499863361310101E-25</v>
      </c>
      <c r="V99" s="163">
        <f>SUM(V12,V20,V36,V44,V52,V68,V76,V84,V92)</f>
        <v>3.7126625358200407E-26</v>
      </c>
      <c r="W99" s="774">
        <f>SUM(W12,W20,W36,W44,W52,W68,W76,W84,W92)</f>
        <v>7.1225858532508603E-23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0.17918250896339838</v>
      </c>
      <c r="BR99" s="113"/>
      <c r="BS99" s="113"/>
      <c r="BT99" s="113"/>
      <c r="BU99" s="113"/>
      <c r="BV99" s="2"/>
      <c r="BW99" s="113"/>
      <c r="BX99" s="2"/>
      <c r="BY99" s="113"/>
      <c r="BZ99" s="2"/>
      <c r="CA99" s="2"/>
      <c r="CB99" s="113"/>
      <c r="CC99" s="2"/>
      <c r="CD99" s="113"/>
      <c r="CE99" s="2"/>
    </row>
    <row r="100" spans="1:83" ht="12.75" customHeight="1" x14ac:dyDescent="0.2">
      <c r="A100" s="304"/>
      <c r="B100" s="768" t="s">
        <v>243</v>
      </c>
      <c r="C100" s="453">
        <f>SUM(C15,C23,C31,C39,C47,C55,C71,C79,C87,C95)</f>
        <v>6329.7464141382379</v>
      </c>
      <c r="D100" s="446">
        <f>C100/$C$103</f>
        <v>2.4280400107837383E-7</v>
      </c>
      <c r="E100" s="453">
        <f>SUM(E15,E23,E31,E39,E47,E55,E71,E79,E87,E95)</f>
        <v>1258.302935617131</v>
      </c>
      <c r="F100" s="446">
        <f>E100/$E$103</f>
        <v>5.8775358389982373E-7</v>
      </c>
      <c r="G100" s="453">
        <f>SUM(G15,G55,G71,G63,G95)</f>
        <v>38.595941045063171</v>
      </c>
      <c r="H100" s="446">
        <f>G100/$G$103</f>
        <v>2.0961126362454916E-9</v>
      </c>
      <c r="I100" s="453">
        <f>SUM(I15,I55,I71,I63,I95)</f>
        <v>0.34151502563731573</v>
      </c>
      <c r="J100" s="446">
        <f>I100/$I$103</f>
        <v>2.8882448372615581E-11</v>
      </c>
      <c r="K100" s="453">
        <f>SUM(K15,K55,K71,K63,K95)</f>
        <v>0.55709258023051866</v>
      </c>
      <c r="L100" s="461">
        <f>K100/$K$103</f>
        <v>1.2707113464087038E-11</v>
      </c>
      <c r="M100" s="484">
        <f xml:space="preserve"> (M.aRS+M.cwRS+M.w0RS+M.w1RS+M.w2RS+M.sd0RS+M.sd1RS+M.sd2RS+M.s1RS+M.s2RS+M.s3RS)*Molweight/(VOLUME.aR+VOLUME.cwR+VOLUME.w0R+VOLUME.w1R+VOLUME.w2R+VOLUME.sd0R+VOLUME.sd1R+VOLUME.sd2R+VOLUME.s1R+VOLUME.s2R+VOLUME.s3R)</f>
        <v>2.7558032571850528E-11</v>
      </c>
      <c r="N100" s="484">
        <f xml:space="preserve"> (M.aCS+M.cwCS+M.w0CS+M.w1CS+M.w2CS+M.sd0CS+M.sd1CS+M.sd2CS+M.s1CS+M.s2CS+M.s3CS)*Molweight/(VOLUME.aC+VOLUME.cwC+VOLUME.w0C+VOLUME.w1C+VOLUME.w2C+VOLUME.sd0C+VOLUME.sd1C+VOLUME.sd2C+VOLUME.s1C+VOLUME.s2C+VOLUME.s3C)</f>
        <v>1.5840285733492166E-13</v>
      </c>
      <c r="O100" s="484">
        <f xml:space="preserve"> (M.aMS+M.cwMS+M.w2MS+M.w3MS+M.sdMS+M.sMS)*Molweight/(VOLUME.aM+VOLUME.cwM+VOLUME.w2M+VOLUME.w3M+VOLUME.sdM+VOLUME.sM)</f>
        <v>1.9511661078875349E-16</v>
      </c>
      <c r="P100" s="484">
        <f xml:space="preserve"> (M.aAS+M.cwAS+M.w2AS+M.w3AS+M.sdAS+M.sAS)*Molweight/(VOLUME.aA+VOLUME.cwA+VOLUME.w2A+VOLUME.w3A+VOLUME.sdA+VOLUME.sA)</f>
        <v>2.809629683960402E-18</v>
      </c>
      <c r="Q100" s="484">
        <f xml:space="preserve"> (M.aTS+M.cwTS+M.w2TS+M.w3TS+M.sdTS+M.sTS)*Molweight/(VOLUME.aT+VOLUME.cwT+VOLUME.w2T+VOLUME.w3T+VOLUME.sdT+VOLUME.sT)</f>
        <v>1.3783293219495189E-18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69" t="s">
        <v>244</v>
      </c>
      <c r="C101" s="453">
        <f>SUM(C16,C24,C32,C40,C48,C56,C72,C80,C88,C96)</f>
        <v>1396380.7532274546</v>
      </c>
      <c r="D101" s="446">
        <f>C101/$C$103</f>
        <v>5.3564046919029504E-5</v>
      </c>
      <c r="E101" s="453">
        <f>SUM(E16,E24,E32,E40,E48,E56,E72,E80,E88,E96)</f>
        <v>152674.94160263852</v>
      </c>
      <c r="F101" s="446">
        <f>E101/$E$103</f>
        <v>7.1314499520448715E-5</v>
      </c>
      <c r="G101" s="453">
        <f>SUM(G16,G56,G64,G72,G96)</f>
        <v>108955.1298198697</v>
      </c>
      <c r="H101" s="446">
        <f>G101/$G$103</f>
        <v>5.9172601629934699E-6</v>
      </c>
      <c r="I101" s="453">
        <f>SUM(I16,I56,I64,I72,I96)</f>
        <v>25976.028860473736</v>
      </c>
      <c r="J101" s="446">
        <f>I101/$I$103</f>
        <v>2.1968325144351381E-6</v>
      </c>
      <c r="K101" s="453">
        <f>SUM(K16,K56,K64,K72,K96)</f>
        <v>46736.800348041623</v>
      </c>
      <c r="L101" s="461">
        <f>K101/$K$103</f>
        <v>1.0660522973133163E-6</v>
      </c>
      <c r="M101" s="484">
        <f xml:space="preserve"> (M.aRA+M.cwRA+M.w0RA+M.w1RA+M.w2RA+M.sd0RA+M.sd1RA+M.sd2RA+M.s1RA+M.s2RA+M.s3RA)*Molweight/(VOLUME.aR+VOLUME.cwR+VOLUME.w0R+VOLUME.w1R+VOLUME.w2R+VOLUME.sd0R+VOLUME.sd1R+VOLUME.sd2R+VOLUME.s1R+VOLUME.s2R+VOLUME.s3R)</f>
        <v>6.0794704499052874E-9</v>
      </c>
      <c r="N101" s="484">
        <f xml:space="preserve"> (M.aCA+M.cwCA+M.w0CA+M.w1CA+M.w2CA+M.sd0CA+M.sd1CA+M.sd2CA+M.s1CA+M.s2CA+M.s3CA)*Molweight/(VOLUME.aC+VOLUME.cwC+VOLUME.w0C+VOLUME.w1C+VOLUME.w2C+VOLUME.sd0C+VOLUME.sd1C+VOLUME.sd2C+VOLUME.s1C+VOLUME.s2C+VOLUME.s3C)</f>
        <v>1.921965395514174E-11</v>
      </c>
      <c r="O101" s="484">
        <f xml:space="preserve"> (M.aMA+M.cwMA+M.w2MA+M.w3MA+M.sdMA+M.sMA)*Molweight/(VOLUME.aM+VOLUME.cwM+VOLUME.w2M+VOLUME.w3M+VOLUME.sdM+VOLUME.sM)</f>
        <v>5.5080806641507911E-13</v>
      </c>
      <c r="P101" s="484">
        <f xml:space="preserve"> (M.aAA+M.cwAA+M.w2AA+M.w3AA+M.sdAA+M.sAA)*Molweight/(VOLUME.aA+VOLUME.cwA+VOLUME.w2A+VOLUME.w3A+VOLUME.sdA+VOLUME.sA)</f>
        <v>2.1370369172367268E-13</v>
      </c>
      <c r="Q101" s="484">
        <f xml:space="preserve"> (M.aTA+M.cwTA+M.w2TA+M.w3TA+M.sdTA+M.sTA)*Molweight/(VOLUME.aT+VOLUME.cwT+VOLUME.w2T+VOLUME.w3T+VOLUME.sdT+VOLUME.sT)</f>
        <v>1.156337467412517E-13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69" t="s">
        <v>246</v>
      </c>
      <c r="C102" s="453">
        <f>SUM(C17,C25,C33,C41,C49,C57,C73,C81,C89,C97)</f>
        <v>490410.00781085255</v>
      </c>
      <c r="D102" s="446">
        <f>C102/$C$103</f>
        <v>1.881173498505197E-5</v>
      </c>
      <c r="E102" s="453">
        <f>SUM(E17,E25,E33,E41,E49,E57,E73,E81,E89,E97)</f>
        <v>383.79215036550687</v>
      </c>
      <c r="F102" s="446">
        <f>E102/$E$103</f>
        <v>1.7926939965320355E-7</v>
      </c>
      <c r="G102" s="453">
        <f>SUM(G17,G57,G65,G73,G97)</f>
        <v>6.0022355522398625</v>
      </c>
      <c r="H102" s="446">
        <f>G102/$G$103</f>
        <v>3.2597629300144244E-10</v>
      </c>
      <c r="I102" s="453">
        <f>SUM(I17,I57,I65,I73,I97)</f>
        <v>4.9249190938222866E-2</v>
      </c>
      <c r="J102" s="446">
        <f>I102/$I$103</f>
        <v>4.1650794485889405E-12</v>
      </c>
      <c r="K102" s="453">
        <f>SUM(K17,K57,K65,K73,K97)</f>
        <v>6.4307618968106398E-2</v>
      </c>
      <c r="L102" s="461">
        <f>K102/$K$103</f>
        <v>1.466837362103926E-12</v>
      </c>
      <c r="M102" s="484">
        <f xml:space="preserve"> (M.aRP+M.cwRP+M.w0RP+M.w1RP+M.w2RP+M.sd0RP+M.sd1RP+M.sd2RP+M.s1RP+M.s2RP+M.s3RP)*Molweight/(VOLUME.aR+VOLUME.cwR+VOLUME.w0R+VOLUME.w1R+VOLUME.w2R+VOLUME.sd0R+VOLUME.sd1R+VOLUME.sd2R+VOLUME.s1R+VOLUME.s2R+VOLUME.s3R)</f>
        <v>2.1351147557232609E-9</v>
      </c>
      <c r="N102" s="484">
        <f xml:space="preserve"> (M.aCP+M.cwCP+M.w0CP+M.w1CP+M.w2CP+M.sd0CP+M.sd1CP+M.sd2CP+M.s1CP+M.s2CP+M.s3CP)*Molweight/(VOLUME.aC+VOLUME.cwC+VOLUME.w0C+VOLUME.w1C+VOLUME.w2C+VOLUME.sd0C+VOLUME.sd1C+VOLUME.sd2C+VOLUME.s1C+VOLUME.s2C+VOLUME.s3C)</f>
        <v>4.8314099506407073E-14</v>
      </c>
      <c r="O102" s="484">
        <f xml:space="preserve"> (M.aMP+M.cwMP+M.w2MP+M.w3MP+M.sdMP+M.sMP)*Molweight/(VOLUME.aM+VOLUME.cwM+VOLUME.w2M+VOLUME.w3M+VOLUME.sdM+VOLUME.sM)</f>
        <v>3.0343497953358106E-17</v>
      </c>
      <c r="P102" s="484">
        <f xml:space="preserve"> (M.aAP+M.cwAP+M.w2AP+M.w3AP+M.sdAP+M.sAP)*Molweight/(VOLUME.aA+VOLUME.cwA+VOLUME.w2A+VOLUME.w3A+VOLUME.sdA+VOLUME.sA)</f>
        <v>4.0517101264532285E-19</v>
      </c>
      <c r="Q102" s="484">
        <f xml:space="preserve"> (M.aTP+M.cwTP+M.w2TP+M.w3TP+M.sdTP+M.sTP)*Molweight/(VOLUME.aT+VOLUME.cwT+VOLUME.w2T+VOLUME.w3T+VOLUME.sdT+VOLUME.sT)</f>
        <v>1.5910654708741783E-19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3" t="s">
        <v>247</v>
      </c>
      <c r="C103" s="772">
        <f>SUM(C99:C102)</f>
        <v>26069366180.234741</v>
      </c>
      <c r="D103" s="770"/>
      <c r="E103" s="772">
        <f>SUM(E99:E102)</f>
        <v>2140868163.2668617</v>
      </c>
      <c r="F103" s="770"/>
      <c r="G103" s="772">
        <f>SUM(G99:G102)</f>
        <v>18413104514.362038</v>
      </c>
      <c r="H103" s="770"/>
      <c r="I103" s="772">
        <f>SUM(I99:I102)</f>
        <v>11824310087.268003</v>
      </c>
      <c r="J103" s="770"/>
      <c r="K103" s="772">
        <f>SUM(K99:K102)</f>
        <v>43841001483.53746</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1.1349908753338532E-4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2.6950555755678685E-7</v>
      </c>
      <c r="O103" s="767">
        <f xml:space="preserve"> (M.aMG+M.aMS+M.aMA+M.aMP+M.cwMS+M.cwMA+M.cwMP+M.w2MD+M.w2MS+M.w2MA+M.w2MP+M.w3MD+M.w3MS+M.w3MA+M.w3MP+M.sdMD+M.sdMS+M.sdMA+M.sdMP+M.sMD+M.sMS+M.sMA+M.sMP)*Molweight/(VOLUME.aM+VOLUME.cwM+VOLUME.w2M+VOLUME.w3M+VOLUME.sdM+VOLUME.sM)</f>
        <v>9.3084983800413465E-8</v>
      </c>
      <c r="P103" s="767">
        <f xml:space="preserve"> (M.aAG+M.aAS+M.aAA+M.aAP+M.cwAS+M.cwAA+M.cwAP+M.w2AD+M.w2AS+M.w2AA+M.w2AP+M.w3AD+M.w3AS+M.w3AA+M.w3AP+M.sdAD+M.sdAS+M.sdAA+M.sdAP+M.sAD+M.sAS+M.sAA+M.sAP)*Molweight/(VOLUME.aA+VOLUME.cwA+VOLUME.w2A+VOLUME.w3A+VOLUME.sdA+VOLUME.sA)</f>
        <v>9.7278099408785123E-8</v>
      </c>
      <c r="Q103" s="767">
        <f xml:space="preserve"> (M.aTG+M.aTS+M.aTA+M.aTP+M.cwTS+M.cwTA+M.cwTP+M.w2TD+M.w2TS+M.w2TA+M.w2TP+M.w3TD+M.w3TS+M.w3TA+M.w3TP+M.sdTD+M.sdTS+M.sdTA+M.sdTP+M.sTD+M.sTS+M.sTA+M.sTP)*Molweight/(VOLUME.aT+VOLUME.cwT+VOLUME.w2T+VOLUME.w3T+VOLUME.sdT+VOLUME.sT)</f>
        <v>1.0846911266236555E-7</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0.35036026435333717</v>
      </c>
      <c r="BQ103" s="113"/>
      <c r="BR103" s="113"/>
      <c r="BS103" s="22">
        <f>AF26</f>
        <v>2.4682983282317543E-2</v>
      </c>
      <c r="BT103" s="113"/>
      <c r="BU103" s="113"/>
      <c r="BV103" s="113"/>
      <c r="BW103" s="22">
        <f>AF28</f>
        <v>8.7883108135822771E-6</v>
      </c>
      <c r="BX103" s="2"/>
      <c r="BY103" s="113"/>
      <c r="BZ103" s="22">
        <f>AF30</f>
        <v>3.2549296849053415E-6</v>
      </c>
      <c r="CA103" s="113"/>
      <c r="CB103" s="112">
        <f>AF29</f>
        <v>1.9827872349417168E-5</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5">
        <f>C99/(VOLUME.aR+VOLUME.cwR+VOLUME.s1R+VOLUME.s2R+VOLUME.s3R+VOLUME.sd0R+VOLUME.sd1R+VOLUME.sd2R+VOLUME.w0R+VOLUME.w1R+VOLUME.w2R)</f>
        <v>1.1349084539014711E-4</v>
      </c>
      <c r="N105" s="765">
        <f>E99/(VOLUME.aC+VOLUME.cwC+VOLUME.s1C+VOLUME.s2C+VOLUME.s3C+VOLUME.sd0C+VOLUME.sd1C+VOLUME.sd2C+VOLUME.w0C+VOLUME.w1C+VOLUME.w2C)</f>
        <v>2.6948613118587488E-7</v>
      </c>
      <c r="O105" s="765">
        <f>G99/(VOLUME.aM+VOLUME.cwM+VOLUME.sdM+VOLUME.sM+VOLUME.w2M+VOLUME.w3M)</f>
        <v>9.3084432766886935E-8</v>
      </c>
      <c r="P105" s="765">
        <f>I99/(VOLUME.aA+VOLUME.cwA+VOLUME.sdA+VOLUME.sA+VOLUME.w2A+VOLUME.w3A)</f>
        <v>9.7277885701878591E-8</v>
      </c>
      <c r="Q105" s="765">
        <f>K99/(VOLUME.aT+VOLUME.cwT+VOLUME.sdT+VOLUME.sT+VOLUME.w2T+VOLUME.w3T)</f>
        <v>1.0846899702708137E-7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5">
        <f>C100/(VOLUME.aR+VOLUME.cwR+VOLUME.s1R+VOLUME.s2R+VOLUME.s3R+VOLUME.sd0R+VOLUME.sd1R+VOLUME.sd2R+VOLUME.w0R+VOLUME.w1R+VOLUME.w2R)</f>
        <v>2.7558032571850531E-11</v>
      </c>
      <c r="N106" s="765">
        <f>E100/(VOLUME.aC+VOLUME.cwC+VOLUME.s1C+VOLUME.s2C+VOLUME.s3C+VOLUME.sd0C+VOLUME.sd1C+VOLUME.sd2C+VOLUME.w0C+VOLUME.w1C+VOLUME.w2C)</f>
        <v>1.5840285733492168E-13</v>
      </c>
      <c r="O106" s="765">
        <f>G100/(VOLUME.aM+VOLUME.cwM+VOLUME.sdM+VOLUME.sM+VOLUME.w2M+VOLUME.w3M)</f>
        <v>1.9511661078875354E-16</v>
      </c>
      <c r="P106" s="765">
        <f>I100/(VOLUME.aA+VOLUME.cwA+VOLUME.sdA+VOLUME.sA+VOLUME.w2A+VOLUME.w3A)</f>
        <v>2.809629683960402E-18</v>
      </c>
      <c r="Q106" s="765">
        <f>K100/(VOLUME.aT+VOLUME.cwT+VOLUME.sdT+VOLUME.sT+VOLUME.w2T+VOLUME.w3T)</f>
        <v>1.3783293219495189E-18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5">
        <f>C101/(VOLUME.aR+VOLUME.cwR+VOLUME.s1R+VOLUME.s2R+VOLUME.s3R+VOLUME.sd0R+VOLUME.sd1R+VOLUME.sd2R+VOLUME.w0R+VOLUME.w1R+VOLUME.w2R)</f>
        <v>6.0794704499052874E-9</v>
      </c>
      <c r="N107" s="765">
        <f>E101/(VOLUME.aC+VOLUME.cwC+VOLUME.s1C+VOLUME.s2C+VOLUME.s3C+VOLUME.sd0C+VOLUME.sd1C+VOLUME.sd2C+VOLUME.w0C+VOLUME.w1C+VOLUME.w2C)</f>
        <v>1.9219653955141737E-11</v>
      </c>
      <c r="O107" s="765">
        <f>G101/(VOLUME.aM+VOLUME.cwM+VOLUME.sdM+VOLUME.sM+VOLUME.w2M+VOLUME.w3M)</f>
        <v>5.5080806641507911E-13</v>
      </c>
      <c r="P107" s="765">
        <f>I101/(VOLUME.aA+VOLUME.cwA+VOLUME.sdA+VOLUME.sA+VOLUME.w2A+VOLUME.w3A)</f>
        <v>2.1370369172367273E-13</v>
      </c>
      <c r="Q107" s="765">
        <f>K101/(VOLUME.aT+VOLUME.cwT+VOLUME.sdT+VOLUME.sT+VOLUME.w2T+VOLUME.w3T)</f>
        <v>1.1563374674125173E-13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4.9705016171399526E-27</v>
      </c>
      <c r="BX107" s="120" t="s">
        <v>137</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5">
        <f>C102/(VOLUME.aR+VOLUME.cwR+VOLUME.s1R+VOLUME.s2R+VOLUME.s3R+VOLUME.sd0R+VOLUME.sd1R+VOLUME.sd2R+VOLUME.w0R+VOLUME.w1R+VOLUME.w2R)</f>
        <v>2.1351147557232605E-9</v>
      </c>
      <c r="N108" s="765">
        <f>E102/(VOLUME.aC+VOLUME.cwC+VOLUME.s1C+VOLUME.s2C+VOLUME.s3C+VOLUME.sd0C+VOLUME.sd1C+VOLUME.sd2C+VOLUME.w0C+VOLUME.w1C+VOLUME.w2C)</f>
        <v>4.8314099506407073E-14</v>
      </c>
      <c r="O108" s="765">
        <f>G102/(VOLUME.aM+VOLUME.cwM+VOLUME.sdM+VOLUME.sM+VOLUME.w2M+VOLUME.w3M)</f>
        <v>3.0343497953358106E-17</v>
      </c>
      <c r="P108" s="765">
        <f>I102/(VOLUME.aA+VOLUME.cwA+VOLUME.sdA+VOLUME.sA+VOLUME.w2A+VOLUME.w3A)</f>
        <v>4.0517101264532285E-19</v>
      </c>
      <c r="Q108" s="765">
        <f>K102/(VOLUME.aT+VOLUME.cwT+VOLUME.sdT+VOLUME.sT+VOLUME.w2T+VOLUME.w3T)</f>
        <v>1.5910654708741783E-19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5">
        <f>C103/(VOLUME.aR+VOLUME.cwR+VOLUME.s1R+VOLUME.s2R+VOLUME.s3R+VOLUME.sd0R+VOLUME.sd1R+VOLUME.sd2R+VOLUME.w0R+VOLUME.w1R+VOLUME.w2R)</f>
        <v>1.1349908753338532E-4</v>
      </c>
      <c r="N109" s="765">
        <f>E103/(VOLUME.aC+VOLUME.cwC+VOLUME.s1C+VOLUME.s2C+VOLUME.s3C+VOLUME.sd0C+VOLUME.sd1C+VOLUME.sd2C+VOLUME.w0C+VOLUME.w1C+VOLUME.w2C)</f>
        <v>2.6950555755678685E-7</v>
      </c>
      <c r="O109" s="765">
        <f>G103/(VOLUME.aM+VOLUME.cwM+VOLUME.sdM+VOLUME.sM+VOLUME.w2M+VOLUME.w3M)</f>
        <v>9.3084983800413465E-8</v>
      </c>
      <c r="P109" s="765">
        <f>I103/(VOLUME.aA+VOLUME.cwA+VOLUME.sdA+VOLUME.sA+VOLUME.w2A+VOLUME.w3A)</f>
        <v>9.7278099408785109E-8</v>
      </c>
      <c r="Q109" s="765">
        <f>K103/(VOLUME.aT+VOLUME.cwT+VOLUME.sdT+VOLUME.sT+VOLUME.w2T+VOLUME.w3T)</f>
        <v>1.0846911266236554E-7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1.8742177410820904E-7</v>
      </c>
      <c r="BX109" s="304" t="s">
        <v>158</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1.5241928384253791E-7</v>
      </c>
      <c r="BX110" s="120" t="s">
        <v>158</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1.0710401693915664E-7</v>
      </c>
      <c r="BX111" s="120" t="s">
        <v>158</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2.2970562143472197E-3</v>
      </c>
      <c r="BX113" s="120" t="s">
        <v>175</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2.6487930462837338E-3</v>
      </c>
      <c r="BX114" s="120" t="s">
        <v>175</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3.2946936713103871E-3</v>
      </c>
      <c r="BX116" s="120" t="s">
        <v>175</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1.837702096687573E-3</v>
      </c>
      <c r="BX117" s="120" t="s">
        <v>175</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3.2946934222534566E-3</v>
      </c>
      <c r="BX118" s="120" t="s">
        <v>175</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6.5473194576011996E-22</v>
      </c>
      <c r="BT126" s="75"/>
      <c r="BU126" s="75" t="s">
        <v>252</v>
      </c>
      <c r="BV126" s="2"/>
      <c r="BW126" s="113"/>
      <c r="BX126" s="113"/>
      <c r="BY126" s="114">
        <f>AF38</f>
        <v>2.8515108774392675E-23</v>
      </c>
      <c r="BZ126" s="75"/>
      <c r="CA126" s="75" t="s">
        <v>253</v>
      </c>
      <c r="CB126" s="2"/>
      <c r="CC126" s="113"/>
      <c r="CD126" s="113"/>
      <c r="CE126" s="114">
        <f>AF44</f>
        <v>1.4609089191238126E-20</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9.7066397049682502E-23</v>
      </c>
      <c r="BS132" s="339"/>
      <c r="BT132" s="2"/>
      <c r="BU132" s="106"/>
      <c r="BV132" s="113"/>
      <c r="BW132" s="76" t="s">
        <v>91</v>
      </c>
      <c r="BX132" s="77">
        <f>IF(ISERROR(J12),0,J12)</f>
        <v>6.5831176779738117E-24</v>
      </c>
      <c r="BY132" s="113"/>
      <c r="BZ132" s="2"/>
      <c r="CA132" s="106"/>
      <c r="CB132" s="113"/>
      <c r="CC132" s="76" t="s">
        <v>91</v>
      </c>
      <c r="CD132" s="77">
        <f>IF(ISERROR(L12),0,L12)</f>
        <v>9.0965156368136476E-22</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1.6044335683149356E-17</v>
      </c>
      <c r="BP134" s="339"/>
      <c r="BQ134" s="339">
        <f>AH32</f>
        <v>6.8066691464669592E-45</v>
      </c>
      <c r="BR134" s="339"/>
      <c r="BS134" s="339"/>
      <c r="BT134" s="308" t="s">
        <v>255</v>
      </c>
      <c r="BU134" s="301">
        <f>AD38</f>
        <v>6.7796152141647242E-19</v>
      </c>
      <c r="BV134" s="113"/>
      <c r="BW134" s="55">
        <f>AH38</f>
        <v>1.2886111846792867E-50</v>
      </c>
      <c r="BX134" s="113"/>
      <c r="BY134" s="113"/>
      <c r="BZ134" s="308" t="s">
        <v>255</v>
      </c>
      <c r="CA134" s="301">
        <f>AD44</f>
        <v>1.174263800670026E-18</v>
      </c>
      <c r="CB134" s="113"/>
      <c r="CC134" s="55">
        <f>AH44</f>
        <v>6.69139163312156E-43</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2.0814300571253774E-18</v>
      </c>
      <c r="BO135" s="344" t="s">
        <v>254</v>
      </c>
      <c r="BP135" s="339"/>
      <c r="BQ135" s="339"/>
      <c r="BR135" s="339"/>
      <c r="BS135" s="347">
        <f>k.sM.aM*M.sM*Molweight</f>
        <v>7.8352610833994398E-21</v>
      </c>
      <c r="BT135" s="131">
        <f>AE38</f>
        <v>5.3892460798360251E-20</v>
      </c>
      <c r="BU135" s="128" t="s">
        <v>255</v>
      </c>
      <c r="BV135" s="113"/>
      <c r="BW135" s="113"/>
      <c r="BX135" s="113"/>
      <c r="BY135" s="347">
        <f>k.sA.aA*M.sA*Molweight</f>
        <v>3.1334785926131421E-27</v>
      </c>
      <c r="BZ135" s="131">
        <f>AE44</f>
        <v>1.5940997551359543E-17</v>
      </c>
      <c r="CA135" s="128" t="s">
        <v>255</v>
      </c>
      <c r="CB135" s="113"/>
      <c r="CC135" s="113"/>
      <c r="CD135" s="113"/>
      <c r="CE135" s="347">
        <f>k.sT.aT*M.sT*Molweight</f>
        <v>1.7174374327560924E-18</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1.6467155959959375E-19</v>
      </c>
      <c r="BQ136" s="339"/>
      <c r="BR136" s="339"/>
      <c r="BS136" s="339"/>
      <c r="BT136" s="2"/>
      <c r="BU136" s="113"/>
      <c r="BV136" s="345">
        <f>k.w2A.aA*M.w2A*Molweight</f>
        <v>2.9408194410684623E-25</v>
      </c>
      <c r="BW136" s="113"/>
      <c r="BX136" s="113"/>
      <c r="BY136" s="113"/>
      <c r="BZ136" s="2"/>
      <c r="CA136" s="113"/>
      <c r="CB136" s="345">
        <f>k.w2T.aT*M.w2T*Molweight</f>
        <v>3.3555077015250718E-16</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2.1594334573400539E-2</v>
      </c>
      <c r="BR139" s="339"/>
      <c r="BS139" s="347">
        <f>IF(AK36&lt;0,"",AK36)</f>
        <v>7.0673788573798718E-18</v>
      </c>
      <c r="BT139" s="2"/>
      <c r="BU139" s="113"/>
      <c r="BV139" s="2"/>
      <c r="BW139" s="306">
        <f>AM39</f>
        <v>3.4541209492904906E-3</v>
      </c>
      <c r="BX139" s="113"/>
      <c r="BY139" s="138">
        <f>IF(AK42&lt;0,"",AK42)</f>
        <v>2.4961633708990422E-19</v>
      </c>
      <c r="BZ139" s="2"/>
      <c r="CA139" s="113"/>
      <c r="CB139" s="2"/>
      <c r="CC139" s="306">
        <f>AM45</f>
        <v>6.1333477518282975E-3</v>
      </c>
      <c r="CD139" s="113"/>
      <c r="CE139" s="138">
        <f>IF(AK48&lt;0,"",AK48)</f>
        <v>9.6746059423560048E-17</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7.0673788573813432E-18</v>
      </c>
      <c r="BQ140" s="339"/>
      <c r="BR140" s="339"/>
      <c r="BS140" s="339"/>
      <c r="BT140" s="2"/>
      <c r="BU140" s="307">
        <f>AC39</f>
        <v>0</v>
      </c>
      <c r="BV140" s="136">
        <f>IF(AI39&lt;0,"",AI39)</f>
        <v>3.744245056348564E-19</v>
      </c>
      <c r="BW140" s="2"/>
      <c r="BX140" s="113"/>
      <c r="BY140" s="113"/>
      <c r="BZ140" s="2"/>
      <c r="CA140" s="307">
        <f>AC45</f>
        <v>0</v>
      </c>
      <c r="CB140" s="136">
        <f>IF(AI45&lt;0,"",AI45)</f>
        <v>2.2574080532182236E-16</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127.66994058751061</v>
      </c>
      <c r="BP141" s="339"/>
      <c r="BQ141" s="342" t="s">
        <v>256</v>
      </c>
      <c r="BR141" s="339"/>
      <c r="BS141" s="339"/>
      <c r="BT141" s="2"/>
      <c r="BU141" s="134">
        <f>AD39</f>
        <v>93.85016977862395</v>
      </c>
      <c r="BV141" s="113"/>
      <c r="BW141" s="98" t="s">
        <v>256</v>
      </c>
      <c r="BX141" s="113"/>
      <c r="BY141" s="113"/>
      <c r="BZ141" s="2"/>
      <c r="CA141" s="134">
        <f>AD45</f>
        <v>244.49781512933438</v>
      </c>
      <c r="CB141" s="113"/>
      <c r="CC141" s="98" t="s">
        <v>256</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127.7570401258959</v>
      </c>
      <c r="BO142" s="339"/>
      <c r="BP142" s="349"/>
      <c r="BQ142" s="96">
        <f>IF(ISERROR(H52),0,H52)</f>
        <v>2.3611610455660719E-2</v>
      </c>
      <c r="BR142" s="339"/>
      <c r="BS142" s="339"/>
      <c r="BT142" s="131">
        <f>AE39</f>
        <v>93.871018163833384</v>
      </c>
      <c r="BU142" s="113"/>
      <c r="BV142" s="97"/>
      <c r="BW142" s="96">
        <f>IF(ISERROR(J52),0,J52)</f>
        <v>2.9483692754013111E-2</v>
      </c>
      <c r="BX142" s="123"/>
      <c r="BY142" s="113"/>
      <c r="BZ142" s="131">
        <f>AE45</f>
        <v>244.54502335168286</v>
      </c>
      <c r="CA142" s="113"/>
      <c r="CB142" s="97"/>
      <c r="CC142" s="96">
        <f>IF(ISERROR(L52),0,L52)</f>
        <v>2.2855856141689012E-2</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108.30834375235263</v>
      </c>
      <c r="BQ143" s="339">
        <f>AH33</f>
        <v>1.1968971749324633E-12</v>
      </c>
      <c r="BR143" s="339"/>
      <c r="BS143" s="339"/>
      <c r="BT143" s="2"/>
      <c r="BU143" s="113"/>
      <c r="BV143" s="350">
        <f>k.w3A.w2A*M.w3A*Molweight</f>
        <v>77.036075249992919</v>
      </c>
      <c r="BW143" s="2">
        <f>AH39</f>
        <v>2.0887954402349396E-13</v>
      </c>
      <c r="BX143" s="113"/>
      <c r="BY143" s="113"/>
      <c r="BZ143" s="2"/>
      <c r="CA143" s="113"/>
      <c r="CB143" s="350">
        <f>k.w3T.w2T*M.w3T*Molweight</f>
        <v>244.49781512933438</v>
      </c>
      <c r="CC143" s="2">
        <f>AH45</f>
        <v>6.7923673961531592E-12</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108.30463557923797</v>
      </c>
      <c r="BQ145" s="351"/>
      <c r="BR145" s="339"/>
      <c r="BS145" s="339"/>
      <c r="BT145" s="2"/>
      <c r="BU145" s="113"/>
      <c r="BV145" s="350">
        <f>k.w2A.w3A*M.w2A*Molweight</f>
        <v>93.871018163833384</v>
      </c>
      <c r="BW145" s="78"/>
      <c r="BX145" s="2"/>
      <c r="BY145" s="113"/>
      <c r="BZ145" s="2"/>
      <c r="CA145" s="113"/>
      <c r="CB145" s="350">
        <f>k.w2T.w3T*M.w2T*Molweight</f>
        <v>227.70429019176177</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4.0265997737152157E-2</v>
      </c>
      <c r="BT147" s="2"/>
      <c r="BU147" s="2"/>
      <c r="BV147" s="113"/>
      <c r="BW147" s="98" t="s">
        <v>257</v>
      </c>
      <c r="BX147" s="76" t="s">
        <v>258</v>
      </c>
      <c r="BY147" s="77">
        <f>IF(ISERROR(J92),0,J92)</f>
        <v>1.1259477285429535E-2</v>
      </c>
      <c r="BZ147" s="2"/>
      <c r="CA147" s="2"/>
      <c r="CB147" s="113"/>
      <c r="CC147" s="98" t="s">
        <v>257</v>
      </c>
      <c r="CD147" s="76" t="s">
        <v>258</v>
      </c>
      <c r="CE147" s="77">
        <f>IF(ISERROR(L92),0,L92)</f>
        <v>4.1927437383462518E-3</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125.13414227232211</v>
      </c>
      <c r="BP148" s="339"/>
      <c r="BQ148" s="96">
        <f>IF(ISERROR(H60),0,H60)</f>
        <v>0.70837256635446888</v>
      </c>
      <c r="BR148" s="339"/>
      <c r="BS148" s="339"/>
      <c r="BT148" s="308" t="s">
        <v>259</v>
      </c>
      <c r="BU148" s="301">
        <f>AD40</f>
        <v>93.871018163833384</v>
      </c>
      <c r="BV148" s="113"/>
      <c r="BW148" s="96">
        <f>IF(ISERROR(J60),0,J60)</f>
        <v>0.72588153982149328</v>
      </c>
      <c r="BX148" s="113"/>
      <c r="BY148" s="113"/>
      <c r="BZ148" s="308" t="s">
        <v>259</v>
      </c>
      <c r="CA148" s="301">
        <f>AD46</f>
        <v>244.51896040741622</v>
      </c>
      <c r="CB148" s="113"/>
      <c r="CC148" s="96">
        <f>IF(ISERROR(L60),0,L60)</f>
        <v>0.73624527032589748</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125.12301396800706</v>
      </c>
      <c r="BO149" s="344" t="s">
        <v>259</v>
      </c>
      <c r="BP149" s="339">
        <f>AH34</f>
        <v>3.5908144641868629E-11</v>
      </c>
      <c r="BQ149" s="339"/>
      <c r="BR149" s="353"/>
      <c r="BS149" s="339"/>
      <c r="BT149" s="131">
        <f>AE40</f>
        <v>93.865581943077061</v>
      </c>
      <c r="BU149" s="128" t="s">
        <v>259</v>
      </c>
      <c r="BV149" s="55">
        <f>AH40</f>
        <v>5.1425649533791017E-12</v>
      </c>
      <c r="BW149" s="2"/>
      <c r="BX149" s="114"/>
      <c r="BY149" s="113"/>
      <c r="BZ149" s="131">
        <f>AE46</f>
        <v>244.49781512933438</v>
      </c>
      <c r="CA149" s="128" t="s">
        <v>259</v>
      </c>
      <c r="CB149" s="55">
        <f>AH46</f>
        <v>2.1879943322762099E-10</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41.259957038310311</v>
      </c>
      <c r="BR150" s="339">
        <f>AH36</f>
        <v>3.0111090814068931E-12</v>
      </c>
      <c r="BS150" s="339"/>
      <c r="BT150" s="2"/>
      <c r="BU150" s="113"/>
      <c r="BV150" s="113"/>
      <c r="BW150" s="345">
        <f>k.sdA.w3A*M.sdA*Molweight</f>
        <v>27.153135028581744</v>
      </c>
      <c r="BX150" s="55">
        <f>AK42</f>
        <v>2.4961633708990422E-19</v>
      </c>
      <c r="BY150" s="113"/>
      <c r="BZ150" s="2"/>
      <c r="CA150" s="113"/>
      <c r="CB150" s="113"/>
      <c r="CC150" s="345">
        <f>k.sdT.w3T*M.sdT*Molweight</f>
        <v>102.11308600004067</v>
      </c>
      <c r="CD150" s="55">
        <f>AH48</f>
        <v>1.8381408445293043E-12</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41.272470082136323</v>
      </c>
      <c r="BR153" s="340">
        <f>AC36</f>
        <v>0</v>
      </c>
      <c r="BS153" s="339"/>
      <c r="BT153" s="2"/>
      <c r="BU153" s="113"/>
      <c r="BV153" s="113"/>
      <c r="BW153" s="136">
        <f>IF(AN41&lt;0,"",AN41)</f>
        <v>27.1589685216478</v>
      </c>
      <c r="BX153" s="307">
        <f>AC42</f>
        <v>0</v>
      </c>
      <c r="BY153" s="113"/>
      <c r="BZ153" s="2"/>
      <c r="CA153" s="113"/>
      <c r="CB153" s="113"/>
      <c r="CC153" s="136">
        <f>IF(AN47&lt;0,"",AN47)</f>
        <v>102.13502365135412</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0.22774390577046627</v>
      </c>
      <c r="BQ155" s="339"/>
      <c r="BR155" s="339"/>
      <c r="BS155" s="339"/>
      <c r="BT155" s="2"/>
      <c r="BU155" s="2"/>
      <c r="BV155" s="96">
        <f>IF(ISERROR(J68),0,J68)</f>
        <v>0.2333730932735022</v>
      </c>
      <c r="BW155" s="2"/>
      <c r="BX155" s="113"/>
      <c r="BY155" s="113"/>
      <c r="BZ155" s="2"/>
      <c r="CA155" s="2"/>
      <c r="CB155" s="96">
        <f>IF(ISERROR(L68),0,L68)</f>
        <v>0.23670506372759606</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1.7030789783902366E-11</v>
      </c>
      <c r="BP156" s="339"/>
      <c r="BQ156" s="339"/>
      <c r="BR156" s="339"/>
      <c r="BS156" s="339"/>
      <c r="BT156" s="2"/>
      <c r="BU156" s="55">
        <f>AH41</f>
        <v>2.4390550818402569E-12</v>
      </c>
      <c r="BV156" s="113"/>
      <c r="BW156" s="113"/>
      <c r="BX156" s="113"/>
      <c r="BY156" s="113"/>
      <c r="BZ156" s="2"/>
      <c r="CA156" s="55">
        <f>AH47</f>
        <v>1.037738705004237E-10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1.2513046011277965E-2</v>
      </c>
      <c r="BQ159" s="339"/>
      <c r="BR159" s="339">
        <f>AF36</f>
        <v>2.4720981548958015E-5</v>
      </c>
      <c r="BS159" s="339"/>
      <c r="BT159" s="113"/>
      <c r="BU159" s="113"/>
      <c r="BV159" s="55">
        <f>AF41</f>
        <v>5.8334936176449755E-3</v>
      </c>
      <c r="BW159" s="113"/>
      <c r="BX159" s="55">
        <f>AF42</f>
        <v>1.5853904419119674E-6</v>
      </c>
      <c r="BY159" s="113"/>
      <c r="BZ159" s="113"/>
      <c r="CA159" s="113"/>
      <c r="CB159" s="55">
        <f>AF47</f>
        <v>2.1937652312790504E-2</v>
      </c>
      <c r="CC159" s="113"/>
      <c r="CD159" s="55">
        <f>AF48</f>
        <v>1.1382150536186424E-5</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1.7872937137083668E-12</v>
      </c>
      <c r="CB162" s="120" t="s">
        <v>137</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434763051.07248425</v>
      </c>
      <c r="CB163" s="120" t="s">
        <v>158</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45406</v>
      </c>
      <c r="BU164" s="80"/>
      <c r="BV164" s="122"/>
      <c r="BW164" s="2"/>
      <c r="BX164" s="2"/>
      <c r="BY164" s="90" t="s">
        <v>263</v>
      </c>
      <c r="BZ164" s="2"/>
      <c r="CA164" s="89">
        <f>G60</f>
        <v>13043338099.391693</v>
      </c>
      <c r="CB164" s="304" t="s">
        <v>158</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4193472339.4606152</v>
      </c>
      <c r="CB165" s="120" t="s">
        <v>158</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741422024.70924795</v>
      </c>
      <c r="CB166" s="122" t="s">
        <v>175</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7.784082476533806E-14</v>
      </c>
      <c r="CB168" s="120" t="s">
        <v>137</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348624325.64118779</v>
      </c>
      <c r="CB169" s="120" t="s">
        <v>158</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8583048413.4729137</v>
      </c>
      <c r="CB170" s="304" t="s">
        <v>158</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2759475820.8908086</v>
      </c>
      <c r="CB171" s="120" t="s">
        <v>158</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133135550.84346941</v>
      </c>
      <c r="CB172" s="122" t="s">
        <v>175</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3.9880035552856886E-11</v>
      </c>
      <c r="CB174" s="120" t="s">
        <v>137</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1002023623.0153067</v>
      </c>
      <c r="CB175" s="120" t="s">
        <v>158</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32277729988.60511</v>
      </c>
      <c r="CB176" s="304" t="s">
        <v>158</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10377387050.042368</v>
      </c>
      <c r="CB177" s="120" t="s">
        <v>158</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183814084.45293042</v>
      </c>
      <c r="CB178" s="122" t="s">
        <v>175</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2">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5" x14ac:dyDescent="0.2">
      <c r="A4" s="452" t="s">
        <v>136</v>
      </c>
      <c r="B4">
        <f>J4+J18+J32</f>
        <v>1.4571910415089785E-7</v>
      </c>
      <c r="C4">
        <f>K4+K18+K32</f>
        <v>1.7157966812995471E-8</v>
      </c>
      <c r="D4">
        <f>L4+L18+L32</f>
        <v>1.2748530758629141E-9</v>
      </c>
      <c r="E4">
        <f>M4+M18+M32</f>
        <v>5.5903697921549783E-10</v>
      </c>
      <c r="F4">
        <f>N4+N18+N32</f>
        <v>3.2884390796406643E-10</v>
      </c>
      <c r="G4" s="160" t="s">
        <v>277</v>
      </c>
      <c r="I4" s="452" t="s">
        <v>136</v>
      </c>
      <c r="J4">
        <f>'all species output'!$M15</f>
        <v>2.6519442260823758E-8</v>
      </c>
      <c r="K4">
        <f>'all species output'!$N15</f>
        <v>1.745916832885859E-10</v>
      </c>
      <c r="L4">
        <f>'all species output'!$O15</f>
        <v>4.9707897315437845E-13</v>
      </c>
      <c r="M4">
        <f>'all species output'!$P15</f>
        <v>8.0267296266287968E-15</v>
      </c>
      <c r="N4">
        <f>'all species output'!$Q15</f>
        <v>4.3636437045384053E-15</v>
      </c>
      <c r="O4" s="160" t="s">
        <v>137</v>
      </c>
      <c r="Q4" s="398"/>
      <c r="R4" t="s">
        <v>270</v>
      </c>
      <c r="S4" t="s">
        <v>271</v>
      </c>
      <c r="T4" t="s">
        <v>272</v>
      </c>
      <c r="U4" t="s">
        <v>273</v>
      </c>
      <c r="V4" t="s">
        <v>274</v>
      </c>
      <c r="W4" s="837"/>
    </row>
    <row r="5" spans="1:23" ht="15" x14ac:dyDescent="0.2">
      <c r="A5" s="104" t="s">
        <v>157</v>
      </c>
      <c r="B5">
        <f t="shared" ref="B5:C9" si="0">J5+J19+J33</f>
        <v>6.69789507101131E-8</v>
      </c>
      <c r="C5">
        <f t="shared" si="0"/>
        <v>2.255156051595604E-9</v>
      </c>
      <c r="G5" s="160" t="s">
        <v>234</v>
      </c>
      <c r="I5" s="104" t="s">
        <v>157</v>
      </c>
      <c r="J5">
        <f>'all species output'!$M23</f>
        <v>3.5371023635044082E-12</v>
      </c>
      <c r="K5">
        <f>'all species output'!$N23</f>
        <v>2.3267531154083106E-14</v>
      </c>
      <c r="O5" s="160" t="s">
        <v>158</v>
      </c>
      <c r="Q5" s="452" t="s">
        <v>136</v>
      </c>
      <c r="R5">
        <f>IF((RadP.a*2)&lt;bioavai.cutoff.diameter*0.000000001,'nano micro output'!B4,IF((RadA.w*2)&lt;bioavai.cutoff.diameter*0.000000001,'nano micro output'!J4+'nano micro output'!J18,IF((RadS*2)&lt;bioavai.cutoff.diameter*0.000000001,'nano micro output'!J4,0)))</f>
        <v>1.4562365928949152E-7</v>
      </c>
      <c r="S5">
        <f>IF((RadP.a*2)&lt;bioavai.cutoff.diameter*0.000000001,'nano micro output'!C4,IF((RadA.w*2)&lt;bioavai.cutoff.diameter*0.000000001,'nano micro output'!K4+'nano micro output'!K18,IF((RadS*2)&lt;bioavai.cutoff.diameter*0.000000001,'nano micro output'!K4,0)))</f>
        <v>1.7156901886330152E-8</v>
      </c>
      <c r="T5">
        <f>IF((RadP.a*2)&lt;bioavai.cutoff.diameter*0.000000001,'nano micro output'!D4,IF((RadA.w*2)&lt;bioavai.cutoff.diameter*0.000000001,'nano micro output'!L4+'nano micro output'!L18,IF((RadS*2)&lt;bioavai.cutoff.diameter*0.000000001,'nano micro output'!L4,0)))</f>
        <v>1.2748493010221036E-9</v>
      </c>
      <c r="U5">
        <f>IF((RadP.a*2)&lt;bioavai.cutoff.diameter*0.000000001,'nano micro output'!E4,IF((RadA.w*2)&lt;bioavai.cutoff.diameter*0.000000001,'nano micro output'!M4+'nano micro output'!M18,IF((RadS*2)&lt;bioavai.cutoff.diameter*0.000000001,'nano micro output'!M4,0)))</f>
        <v>5.5903680627921031E-10</v>
      </c>
      <c r="V5">
        <f>IF((RadP.a*2)&lt;bioavai.cutoff.diameter*0.000000001,'nano micro output'!F4,IF((RadA.w*2)&lt;bioavai.cutoff.diameter*0.000000001,'nano micro output'!N4+'nano micro output'!N18,IF((RadS*2)&lt;bioavai.cutoff.diameter*0.000000001,'nano micro output'!N4,0)))</f>
        <v>3.288438871476598E-10</v>
      </c>
      <c r="W5" s="160" t="s">
        <v>137</v>
      </c>
    </row>
    <row r="6" spans="1:23" ht="15" x14ac:dyDescent="0.2">
      <c r="A6" s="104" t="s">
        <v>174</v>
      </c>
      <c r="B6">
        <f t="shared" si="0"/>
        <v>1.2737215429510867E-6</v>
      </c>
      <c r="C6">
        <f t="shared" si="0"/>
        <v>2.74206212934618E-8</v>
      </c>
      <c r="G6" s="160" t="s">
        <v>237</v>
      </c>
      <c r="I6" s="104" t="s">
        <v>174</v>
      </c>
      <c r="J6">
        <f>'all species output'!$M31</f>
        <v>5.918508303921665E-18</v>
      </c>
      <c r="K6">
        <f>'all species output'!$N31</f>
        <v>3.8932737185004531E-20</v>
      </c>
      <c r="O6" s="160" t="s">
        <v>175</v>
      </c>
      <c r="Q6" s="104" t="s">
        <v>157</v>
      </c>
      <c r="R6">
        <f>IF((RadP.w*2)&lt;bioavai.cutoff.diameter*0.000000001,'nano micro output'!B5,IF((RadA.w*2)&lt;bioavai.cutoff.diameter*0.000000001,'nano micro output'!J5+'nano micro output'!J19,IF((RadS*2)&lt;bioavai.cutoff.diameter*0.000000001,'nano micro output'!J5,0)))</f>
        <v>6.686265201055897E-8</v>
      </c>
      <c r="S6">
        <f>IF((RadP.w*2)&lt;bioavai.cutoff.diameter*0.000000001,'nano micro output'!C5,IF((RadA.w*2)&lt;bioavai.cutoff.diameter*0.000000001,'nano micro output'!K5+'nano micro output'!K19,IF((RadS*2)&lt;bioavai.cutoff.diameter*0.000000001,'nano micro output'!K5,0)))</f>
        <v>2.2540122585741829E-9</v>
      </c>
      <c r="W6" s="160" t="s">
        <v>158</v>
      </c>
    </row>
    <row r="7" spans="1:23" ht="15" x14ac:dyDescent="0.2">
      <c r="A7" s="104" t="s">
        <v>204</v>
      </c>
      <c r="B7">
        <f t="shared" si="0"/>
        <v>6.316500071735514E-5</v>
      </c>
      <c r="C7">
        <f t="shared" si="0"/>
        <v>4.6142775020199727E-8</v>
      </c>
      <c r="G7" s="160" t="s">
        <v>234</v>
      </c>
      <c r="I7" s="104" t="s">
        <v>204</v>
      </c>
      <c r="J7">
        <f>'all species output'!$M39</f>
        <v>1.1870554485361192E-8</v>
      </c>
      <c r="K7">
        <f>'all species output'!$N39</f>
        <v>2.8859445259788711E-13</v>
      </c>
      <c r="O7" s="160" t="s">
        <v>158</v>
      </c>
      <c r="Q7" s="104" t="s">
        <v>174</v>
      </c>
      <c r="R7">
        <f>IF((RadP.w*2)&lt;bioavai.cutoff.diameter*0.000000001,'nano micro output'!B6,IF((RadA.w*2)&lt;bioavai.cutoff.diameter*0.000000001,'nano micro output'!J6+'nano micro output'!J20,IF((RadS*2)&lt;bioavai.cutoff.diameter*0.000000001,'nano micro output'!J6,0)))</f>
        <v>6.2356993501858988E-7</v>
      </c>
      <c r="S7">
        <f>IF((RadP.w*2)&lt;bioavai.cutoff.diameter*0.000000001,'nano micro output'!C6,IF((RadA.w*2)&lt;bioavai.cutoff.diameter*0.000000001,'nano micro output'!K6+'nano micro output'!K20,IF((RadS*2)&lt;bioavai.cutoff.diameter*0.000000001,'nano micro output'!K6,0)))</f>
        <v>2.1025405208894469E-8</v>
      </c>
      <c r="W7" s="160" t="s">
        <v>175</v>
      </c>
    </row>
    <row r="8" spans="1:23" ht="15" x14ac:dyDescent="0.2">
      <c r="A8" s="104" t="s">
        <v>209</v>
      </c>
      <c r="B8">
        <f t="shared" si="0"/>
        <v>2.3906445666544759E-3</v>
      </c>
      <c r="C8">
        <f t="shared" si="0"/>
        <v>4.1320564862479402E-7</v>
      </c>
      <c r="G8" s="160" t="s">
        <v>237</v>
      </c>
      <c r="I8" s="104" t="s">
        <v>209</v>
      </c>
      <c r="J8">
        <f>'all species output'!$M47</f>
        <v>1.7240903889046953E-14</v>
      </c>
      <c r="K8">
        <f>'all species output'!$N47</f>
        <v>4.1915727073139264E-19</v>
      </c>
      <c r="O8" s="160" t="s">
        <v>175</v>
      </c>
      <c r="Q8" s="104" t="s">
        <v>204</v>
      </c>
      <c r="R8">
        <f>IF((RadP.w*2)&lt;bioavai.cutoff.diameter*0.000000001,'nano micro output'!B7,IF((RadA.w*2)&lt;bioavai.cutoff.diameter*0.000000001,'nano micro output'!J7+'nano micro output'!J21,IF((RadS*2)&lt;bioavai.cutoff.diameter*0.000000001,'nano micro output'!J7,0)))</f>
        <v>6.2757989307124105E-5</v>
      </c>
      <c r="S8">
        <f>IF((RadP.w*2)&lt;bioavai.cutoff.diameter*0.000000001,'nano micro output'!C7,IF((RadA.w*2)&lt;bioavai.cutoff.diameter*0.000000001,'nano micro output'!K7+'nano micro output'!K21,IF((RadS*2)&lt;bioavai.cutoff.diameter*0.000000001,'nano micro output'!K7,0)))</f>
        <v>4.6131294755678047E-8</v>
      </c>
      <c r="W8" s="160" t="s">
        <v>158</v>
      </c>
    </row>
    <row r="9" spans="1:23" ht="15" x14ac:dyDescent="0.2">
      <c r="A9" s="104" t="s">
        <v>220</v>
      </c>
      <c r="B9">
        <f t="shared" si="0"/>
        <v>6.5830275110795608E-7</v>
      </c>
      <c r="C9">
        <f t="shared" si="0"/>
        <v>1.1148364265098335E-11</v>
      </c>
      <c r="D9">
        <f t="shared" ref="D9:F11" si="1">L9+L23+L37</f>
        <v>1.4312760122353279E-12</v>
      </c>
      <c r="E9">
        <f t="shared" si="1"/>
        <v>5.7807458492380637E-13</v>
      </c>
      <c r="F9">
        <f t="shared" si="1"/>
        <v>3.9001922426490921E-13</v>
      </c>
      <c r="G9" s="160" t="s">
        <v>234</v>
      </c>
      <c r="I9" s="104" t="s">
        <v>220</v>
      </c>
      <c r="J9">
        <f>'all species output'!$M55</f>
        <v>5.2486419509383767E-12</v>
      </c>
      <c r="K9">
        <f>'all species output'!$N55</f>
        <v>1.5518009663310049E-15</v>
      </c>
      <c r="L9">
        <f>'all species output'!$O55</f>
        <v>8.8384263873767622E-18</v>
      </c>
      <c r="M9">
        <f>'all species output'!$P55</f>
        <v>1.4162018623963995E-19</v>
      </c>
      <c r="N9">
        <f>'all species output'!$Q55</f>
        <v>7.8877425819301376E-20</v>
      </c>
      <c r="O9" s="160" t="s">
        <v>158</v>
      </c>
      <c r="Q9" s="104" t="s">
        <v>209</v>
      </c>
      <c r="R9">
        <f>IF((RadP.w*2)&lt;bioavai.cutoff.diameter*0.000000001,'nano micro output'!B8,IF((RadA.w*2)&lt;bioavai.cutoff.diameter*0.000000001,'nano micro output'!J8+'nano micro output'!J22,IF((RadS*2)&lt;bioavai.cutoff.diameter*0.000000001,'nano micro output'!J8,0)))</f>
        <v>4.8907680495775937E-4</v>
      </c>
      <c r="S9">
        <f>IF((RadP.w*2)&lt;bioavai.cutoff.diameter*0.000000001,'nano micro output'!C8,IF((RadA.w*2)&lt;bioavai.cutoff.diameter*0.000000001,'nano micro output'!K8+'nano micro output'!K22,IF((RadS*2)&lt;bioavai.cutoff.diameter*0.000000001,'nano micro output'!K8,0)))</f>
        <v>3.5956956079452657E-7</v>
      </c>
      <c r="W9" s="160" t="s">
        <v>175</v>
      </c>
    </row>
    <row r="10" spans="1:23" ht="15" x14ac:dyDescent="0.2">
      <c r="A10" s="104" t="s">
        <v>233</v>
      </c>
      <c r="D10">
        <f t="shared" si="1"/>
        <v>1.0085430272307825E-15</v>
      </c>
      <c r="E10">
        <f t="shared" si="1"/>
        <v>4.4009340297090327E-16</v>
      </c>
      <c r="F10">
        <f t="shared" si="1"/>
        <v>2.5079474287831507E-16</v>
      </c>
      <c r="G10" s="160" t="s">
        <v>234</v>
      </c>
      <c r="I10" s="104" t="s">
        <v>233</v>
      </c>
      <c r="L10">
        <f>'all species output'!$O63</f>
        <v>2.4232084443176842E-23</v>
      </c>
      <c r="M10">
        <f>'all species output'!$P63</f>
        <v>4.5435033969281003E-25</v>
      </c>
      <c r="N10">
        <f>'all species output'!$Q63</f>
        <v>1.8876654461805253E-25</v>
      </c>
      <c r="O10" s="160" t="s">
        <v>158</v>
      </c>
      <c r="Q10" s="104" t="s">
        <v>220</v>
      </c>
      <c r="R10">
        <f>IF((RadP.w*2)&lt;bioavai.cutoff.diameter*0.000000001,'nano micro output'!B9,IF((RadA.w*2)&lt;bioavai.cutoff.diameter*0.000000001,'nano micro output'!J9+'nano micro output'!J23,IF((RadS*2)&lt;bioavai.cutoff.diameter*0.000000001,'nano micro output'!J9,0)))</f>
        <v>6.5480340573346873E-7</v>
      </c>
      <c r="S10">
        <f>IF((RadP.w*2)&lt;bioavai.cutoff.diameter*0.000000001,'nano micro output'!C9,IF((RadA.w*2)&lt;bioavai.cutoff.diameter*0.000000001,'nano micro output'!K9+'nano micro output'!K23,IF((RadS*2)&lt;bioavai.cutoff.diameter*0.000000001,'nano micro output'!K9,0)))</f>
        <v>1.1119931042558344E-11</v>
      </c>
      <c r="T10">
        <f>IF((RadP.w*2)&lt;bioavai.cutoff.diameter*0.000000001,'nano micro output'!D9,IF((RadA.w*2)&lt;bioavai.cutoff.diameter*0.000000001,'nano micro output'!L9+'nano micro output'!L23,IF((RadS*2)&lt;bioavai.cutoff.diameter*0.000000001,'nano micro output'!L9,0)))</f>
        <v>1.4311128420823566E-12</v>
      </c>
      <c r="U10">
        <f>IF((RadP.w*2)&lt;bioavai.cutoff.diameter*0.000000001,'nano micro output'!E9,IF((RadA.w*2)&lt;bioavai.cutoff.diameter*0.000000001,'nano micro output'!M9+'nano micro output'!M23,IF((RadS*2)&lt;bioavai.cutoff.diameter*0.000000001,'nano micro output'!M9,0)))</f>
        <v>5.7807135347458504E-13</v>
      </c>
      <c r="V10">
        <f>IF((RadP.w*2)&lt;bioavai.cutoff.diameter*0.000000001,'nano micro output'!F9,IF((RadA.w*2)&lt;bioavai.cutoff.diameter*0.000000001,'nano micro output'!N9+'nano micro output'!N23,IF((RadS*2)&lt;bioavai.cutoff.diameter*0.000000001,'nano micro output'!N9,0)))</f>
        <v>3.9001773509722929E-13</v>
      </c>
      <c r="W10" s="160" t="s">
        <v>158</v>
      </c>
    </row>
    <row r="11" spans="1:23" ht="15" x14ac:dyDescent="0.2">
      <c r="A11" s="104" t="s">
        <v>236</v>
      </c>
      <c r="B11">
        <f t="shared" ref="B11:C14" si="2">J11+J25+J39</f>
        <v>2.9320697502131897E-7</v>
      </c>
      <c r="C11">
        <f t="shared" si="2"/>
        <v>3.000061054654899E-12</v>
      </c>
      <c r="D11">
        <f t="shared" si="1"/>
        <v>1.233837554447484E-16</v>
      </c>
      <c r="E11">
        <f t="shared" si="1"/>
        <v>4.7211273974235912E-17</v>
      </c>
      <c r="F11">
        <f t="shared" si="1"/>
        <v>2.6858004803030454E-17</v>
      </c>
      <c r="G11" s="160" t="s">
        <v>237</v>
      </c>
      <c r="I11" s="104" t="s">
        <v>236</v>
      </c>
      <c r="J11">
        <f>'all species output'!$M71</f>
        <v>5.1229342635984287E-18</v>
      </c>
      <c r="K11">
        <f>'all species output'!$N71</f>
        <v>1.5146345311820997E-21</v>
      </c>
      <c r="L11">
        <f>'all species output'!$O71</f>
        <v>2.3651713497082206E-29</v>
      </c>
      <c r="M11">
        <f>'all species output'!$P71</f>
        <v>4.7320533320354847E-31</v>
      </c>
      <c r="N11">
        <f>'all species output'!$Q71</f>
        <v>1.7771003938445682E-31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1.0082929508776077E-15</v>
      </c>
      <c r="U11">
        <f>IF((RadP.w*2)&lt;bioavai.cutoff.diameter*0.000000001,'nano micro output'!E10,IF((RadA.w*2)&lt;bioavai.cutoff.diameter*0.000000001,'nano micro output'!M10+'nano micro output'!M24,IF((RadS*2)&lt;bioavai.cutoff.diameter*0.000000001,'nano micro output'!M10,0)))</f>
        <v>4.4008826757047095E-16</v>
      </c>
      <c r="V11">
        <f>IF((RadP.w*2)&lt;bioavai.cutoff.diameter*0.000000001,'nano micro output'!F10,IF((RadA.w*2)&lt;bioavai.cutoff.diameter*0.000000001,'nano micro output'!N10+'nano micro output'!N24,IF((RadS*2)&lt;bioavai.cutoff.diameter*0.000000001,'nano micro output'!N10,0)))</f>
        <v>2.5079254029206028E-16</v>
      </c>
      <c r="W11" s="160" t="s">
        <v>158</v>
      </c>
    </row>
    <row r="12" spans="1:23" ht="15" x14ac:dyDescent="0.2">
      <c r="A12" s="104" t="s">
        <v>238</v>
      </c>
      <c r="B12">
        <f t="shared" si="2"/>
        <v>4.0060607201460902E-7</v>
      </c>
      <c r="C12">
        <f t="shared" si="2"/>
        <v>1.9726830592458579E-8</v>
      </c>
      <c r="G12" s="160" t="s">
        <v>237</v>
      </c>
      <c r="I12" s="104" t="s">
        <v>238</v>
      </c>
      <c r="J12">
        <f>'all species output'!$M79</f>
        <v>4.297086934594151E-11</v>
      </c>
      <c r="K12">
        <f>'all species output'!$N79</f>
        <v>2.8290023363593853E-13</v>
      </c>
      <c r="O12" s="160" t="s">
        <v>175</v>
      </c>
      <c r="Q12" s="104" t="s">
        <v>236</v>
      </c>
      <c r="R12">
        <f>IF((RadP.w*2)&lt;bioavai.cutoff.diameter*0.000000001,'nano micro output'!B11,IF((RadA.w*2)&lt;bioavai.cutoff.diameter*0.000000001,'nano micro output'!J11+'nano micro output'!J25,IF((RadS*2)&lt;bioavai.cutoff.diameter*0.000000001,'nano micro output'!J11,0)))</f>
        <v>6.9756767068292782E-8</v>
      </c>
      <c r="S12">
        <f>IF((RadP.w*2)&lt;bioavai.cutoff.diameter*0.000000001,'nano micro output'!C11,IF((RadA.w*2)&lt;bioavai.cutoff.diameter*0.000000001,'nano micro output'!K11+'nano micro output'!K25,IF((RadS*2)&lt;bioavai.cutoff.diameter*0.000000001,'nano micro output'!K11,0)))</f>
        <v>1.1844606663172454E-12</v>
      </c>
      <c r="T12">
        <f>IF((RadP.w*2)&lt;bioavai.cutoff.diameter*0.000000001,'nano micro output'!D11,IF((RadA.w*2)&lt;bioavai.cutoff.diameter*0.000000001,'nano micro output'!L11+'nano micro output'!L25,IF((RadS*2)&lt;bioavai.cutoff.diameter*0.000000001,'nano micro output'!L11,0)))</f>
        <v>1.0741516521815333E-16</v>
      </c>
      <c r="U12">
        <f>IF((RadP.w*2)&lt;bioavai.cutoff.diameter*0.000000001,'nano micro output'!E11,IF((RadA.w*2)&lt;bioavai.cutoff.diameter*0.000000001,'nano micro output'!M11+'nano micro output'!M25,IF((RadS*2)&lt;bioavai.cutoff.diameter*0.000000001,'nano micro output'!M11,0)))</f>
        <v>4.6883353704662645E-17</v>
      </c>
      <c r="V12">
        <f>IF((RadP.w*2)&lt;bioavai.cutoff.diameter*0.000000001,'nano micro output'!F11,IF((RadA.w*2)&lt;bioavai.cutoff.diameter*0.000000001,'nano micro output'!N11+'nano micro output'!N25,IF((RadS*2)&lt;bioavai.cutoff.diameter*0.000000001,'nano micro output'!N11,0)))</f>
        <v>2.6717358958633853E-17</v>
      </c>
      <c r="W12" s="160" t="s">
        <v>175</v>
      </c>
    </row>
    <row r="13" spans="1:23" ht="15" x14ac:dyDescent="0.2">
      <c r="A13" s="104" t="s">
        <v>240</v>
      </c>
      <c r="B13">
        <f t="shared" si="2"/>
        <v>1.4838213755882036E-6</v>
      </c>
      <c r="C13">
        <f t="shared" si="2"/>
        <v>5.0070340377004263E-9</v>
      </c>
      <c r="G13" s="160" t="s">
        <v>237</v>
      </c>
      <c r="I13" s="104" t="s">
        <v>240</v>
      </c>
      <c r="J13">
        <f>'all species output'!$M87</f>
        <v>3.6900975611097356E-10</v>
      </c>
      <c r="K13">
        <f>'all species output'!$N87</f>
        <v>1.1314954337658474E-13</v>
      </c>
      <c r="O13" s="160" t="s">
        <v>175</v>
      </c>
      <c r="Q13" s="104" t="s">
        <v>238</v>
      </c>
      <c r="R13">
        <f>IF((RadP.w*2)&lt;bioavai.cutoff.diameter*0.000000001,'nano micro output'!B12,IF((RadA.w*2)&lt;bioavai.cutoff.diameter*0.000000001,'nano micro output'!J12+'nano micro output'!J26,IF((RadS*2)&lt;bioavai.cutoff.diameter*0.000000001,'nano micro output'!J12,0)))</f>
        <v>3.2852152398966599E-7</v>
      </c>
      <c r="S13">
        <f>IF((RadP.w*2)&lt;bioavai.cutoff.diameter*0.000000001,'nano micro output'!C12,IF((RadA.w*2)&lt;bioavai.cutoff.diameter*0.000000001,'nano micro output'!K12+'nano micro output'!K26,IF((RadS*2)&lt;bioavai.cutoff.diameter*0.000000001,'nano micro output'!K12,0)))</f>
        <v>1.9212716707138541E-8</v>
      </c>
      <c r="W13" s="160" t="s">
        <v>175</v>
      </c>
    </row>
    <row r="14" spans="1:23" ht="15" x14ac:dyDescent="0.2">
      <c r="A14" s="838" t="s">
        <v>241</v>
      </c>
      <c r="B14" s="487">
        <f t="shared" si="2"/>
        <v>4.0060584550755024E-7</v>
      </c>
      <c r="C14" s="487">
        <f t="shared" si="2"/>
        <v>1.9726829101241372E-8</v>
      </c>
      <c r="D14" s="487">
        <f>L14+L28+L42</f>
        <v>1.346537424831999E-9</v>
      </c>
      <c r="E14" s="487">
        <f>M14+M28+M42</f>
        <v>4.9106617591639779E-10</v>
      </c>
      <c r="F14" s="487">
        <f>N14+N28+N42</f>
        <v>3.8808197473898618E-10</v>
      </c>
      <c r="G14" s="839" t="s">
        <v>237</v>
      </c>
      <c r="I14" s="838" t="s">
        <v>241</v>
      </c>
      <c r="J14" s="487">
        <f>'all species output'!$M95</f>
        <v>7.6383027986968521E-11</v>
      </c>
      <c r="K14" s="487">
        <f>'all species output'!$N95</f>
        <v>5.0287035827388322E-13</v>
      </c>
      <c r="L14" s="487">
        <f>'all species output'!$O95</f>
        <v>8.054436213232816E-16</v>
      </c>
      <c r="M14" s="487">
        <f>'all species output'!$P95</f>
        <v>1.2353130041834516E-17</v>
      </c>
      <c r="N14" s="487">
        <f>'all species output'!$Q95</f>
        <v>7.3744972679447465E-18</v>
      </c>
      <c r="O14" s="839" t="s">
        <v>175</v>
      </c>
      <c r="Q14" s="104" t="s">
        <v>240</v>
      </c>
      <c r="R14">
        <f>IF((RadP.w*2)&lt;bioavai.cutoff.diameter*0.000000001,'nano micro output'!B13,IF((RadA.w*2)&lt;bioavai.cutoff.diameter*0.000000001,'nano micro output'!J13+'nano micro output'!J27,IF((RadS*2)&lt;bioavai.cutoff.diameter*0.000000001,'nano micro output'!J13,0)))</f>
        <v>1.1411704617026702E-6</v>
      </c>
      <c r="S14">
        <f>IF((RadP.w*2)&lt;bioavai.cutoff.diameter*0.000000001,'nano micro output'!C13,IF((RadA.w*2)&lt;bioavai.cutoff.diameter*0.000000001,'nano micro output'!K13+'nano micro output'!K27,IF((RadS*2)&lt;bioavai.cutoff.diameter*0.000000001,'nano micro output'!K13,0)))</f>
        <v>4.8785149533331717E-9</v>
      </c>
      <c r="W14" s="160" t="s">
        <v>175</v>
      </c>
    </row>
    <row r="15" spans="1:23" ht="15" x14ac:dyDescent="0.2">
      <c r="Q15" s="838" t="s">
        <v>241</v>
      </c>
      <c r="R15" s="487">
        <f>IF((RadP.w*2)&lt;bioavai.cutoff.diameter*0.000000001,'nano micro output'!B14,IF((RadA.w*2)&lt;bioavai.cutoff.diameter*0.000000001,'nano micro output'!J14+'nano micro output'!J28,IF((RadS*2)&lt;bioavai.cutoff.diameter*0.000000001,'nano micro output'!J14,0)))</f>
        <v>3.2852929346390504E-7</v>
      </c>
      <c r="S15" s="487">
        <f>IF((RadP.w*2)&lt;bioavai.cutoff.diameter*0.000000001,'nano micro output'!C14,IF((RadA.w*2)&lt;bioavai.cutoff.diameter*0.000000001,'nano micro output'!K14+'nano micro output'!K28,IF((RadS*2)&lt;bioavai.cutoff.diameter*0.000000001,'nano micro output'!K14,0)))</f>
        <v>1.9212767857746174E-8</v>
      </c>
      <c r="T15" s="487">
        <f>IF((RadP.w*2)&lt;bioavai.cutoff.diameter*0.000000001,'nano micro output'!D14,IF((RadA.w*2)&lt;bioavai.cutoff.diameter*0.000000001,'nano micro output'!L14+'nano micro output'!L28,IF((RadS*2)&lt;bioavai.cutoff.diameter*0.000000001,'nano micro output'!L14,0)))</f>
        <v>1.3450064046168316E-9</v>
      </c>
      <c r="U15" s="487">
        <f>IF((RadP.w*2)&lt;bioavai.cutoff.diameter*0.000000001,'nano micro output'!E14,IF((RadA.w*2)&lt;bioavai.cutoff.diameter*0.000000001,'nano micro output'!M14+'nano micro output'!M28,IF((RadS*2)&lt;bioavai.cutoff.diameter*0.000000001,'nano micro output'!M14,0)))</f>
        <v>4.9104315444999271E-10</v>
      </c>
      <c r="V15" s="487">
        <f>IF((RadP.w*2)&lt;bioavai.cutoff.diameter*0.000000001,'nano micro output'!F14,IF((RadA.w*2)&lt;bioavai.cutoff.diameter*0.000000001,'nano micro output'!N14+'nano micro output'!N28,IF((RadS*2)&lt;bioavai.cutoff.diameter*0.000000001,'nano micro output'!N14,0)))</f>
        <v>3.880672811677268E-10</v>
      </c>
      <c r="W15" s="839" t="s">
        <v>175</v>
      </c>
    </row>
    <row r="16" spans="1:23" x14ac:dyDescent="0.2">
      <c r="I16" s="835" t="s">
        <v>278</v>
      </c>
      <c r="J16" s="633"/>
      <c r="K16" s="633"/>
      <c r="L16" s="633"/>
      <c r="M16" s="633"/>
      <c r="N16" s="633"/>
      <c r="O16" s="836"/>
    </row>
    <row r="17" spans="9:15" x14ac:dyDescent="0.2">
      <c r="I17" s="398"/>
      <c r="J17" t="s">
        <v>270</v>
      </c>
      <c r="K17" t="s">
        <v>271</v>
      </c>
      <c r="L17" t="s">
        <v>272</v>
      </c>
      <c r="M17" t="s">
        <v>273</v>
      </c>
      <c r="N17" t="s">
        <v>274</v>
      </c>
      <c r="O17" s="837"/>
    </row>
    <row r="18" spans="9:15" ht="15" x14ac:dyDescent="0.2">
      <c r="I18" s="452" t="s">
        <v>136</v>
      </c>
      <c r="J18">
        <f>'all species output'!$M16</f>
        <v>1.1910421702866776E-7</v>
      </c>
      <c r="K18">
        <f>'all species output'!$N16</f>
        <v>1.6982310203041565E-8</v>
      </c>
      <c r="L18">
        <f>'all species output'!$O16</f>
        <v>1.2743522220489493E-9</v>
      </c>
      <c r="M18">
        <f>'all species output'!$P16</f>
        <v>5.5902877954958364E-10</v>
      </c>
      <c r="N18">
        <f>'all species output'!$Q16</f>
        <v>3.2883952350395528E-10</v>
      </c>
      <c r="O18" s="160" t="s">
        <v>137</v>
      </c>
    </row>
    <row r="19" spans="9:15" ht="15" x14ac:dyDescent="0.2">
      <c r="I19" s="104" t="s">
        <v>157</v>
      </c>
      <c r="J19">
        <f>'all species output'!$M24</f>
        <v>6.6859114908195469E-8</v>
      </c>
      <c r="K19">
        <f>'all species output'!$N24</f>
        <v>2.2539889910430287E-9</v>
      </c>
      <c r="O19" s="160" t="s">
        <v>158</v>
      </c>
    </row>
    <row r="20" spans="9:15" ht="15" x14ac:dyDescent="0.2">
      <c r="I20" s="104" t="s">
        <v>174</v>
      </c>
      <c r="J20">
        <f>'all species output'!$M32</f>
        <v>6.2356993501267134E-7</v>
      </c>
      <c r="K20">
        <f>'all species output'!$N32</f>
        <v>2.1025405208855536E-8</v>
      </c>
      <c r="O20" s="160" t="s">
        <v>175</v>
      </c>
    </row>
    <row r="21" spans="9:15" ht="15" x14ac:dyDescent="0.2">
      <c r="I21" s="104" t="s">
        <v>204</v>
      </c>
      <c r="J21">
        <f>'all species output'!$M40</f>
        <v>6.2746118752638743E-5</v>
      </c>
      <c r="K21">
        <f>'all species output'!$N40</f>
        <v>4.6131006161225449E-8</v>
      </c>
      <c r="O21" s="160" t="s">
        <v>158</v>
      </c>
    </row>
    <row r="22" spans="9:15" ht="15" x14ac:dyDescent="0.2">
      <c r="I22" s="104" t="s">
        <v>209</v>
      </c>
      <c r="J22">
        <f>'all species output'!$M48</f>
        <v>4.890768049405185E-4</v>
      </c>
      <c r="K22">
        <f>'all species output'!$N48</f>
        <v>3.5956956079410739E-7</v>
      </c>
      <c r="O22" s="160" t="s">
        <v>175</v>
      </c>
    </row>
    <row r="23" spans="9:15" ht="15" x14ac:dyDescent="0.2">
      <c r="I23" s="104" t="s">
        <v>220</v>
      </c>
      <c r="J23">
        <f>'all species output'!$M56</f>
        <v>6.5479815709151783E-7</v>
      </c>
      <c r="K23">
        <f>'all species output'!$N56</f>
        <v>1.1118379241592014E-11</v>
      </c>
      <c r="L23">
        <f>'all species output'!$O56</f>
        <v>1.4311040036559692E-12</v>
      </c>
      <c r="M23">
        <f>'all species output'!$P56</f>
        <v>5.7807121185439883E-13</v>
      </c>
      <c r="N23">
        <f>'all species output'!$Q56</f>
        <v>3.9001765621980346E-13</v>
      </c>
      <c r="O23" s="160" t="s">
        <v>158</v>
      </c>
    </row>
    <row r="24" spans="9:15" ht="15" x14ac:dyDescent="0.2">
      <c r="I24" s="104" t="s">
        <v>233</v>
      </c>
      <c r="L24">
        <f>'all species output'!$O64</f>
        <v>1.0082929266455232E-15</v>
      </c>
      <c r="M24">
        <f>'all species output'!$P64</f>
        <v>4.400882671161206E-16</v>
      </c>
      <c r="N24">
        <f>'all species output'!$Q64</f>
        <v>2.5079254010329376E-16</v>
      </c>
      <c r="O24" s="160" t="s">
        <v>158</v>
      </c>
    </row>
    <row r="25" spans="9:15" ht="15" x14ac:dyDescent="0.2">
      <c r="I25" s="104" t="s">
        <v>236</v>
      </c>
      <c r="J25">
        <f>'all species output'!$M72</f>
        <v>6.9756767063169847E-8</v>
      </c>
      <c r="K25">
        <f>'all species output'!$N72</f>
        <v>1.1844606648026109E-12</v>
      </c>
      <c r="L25">
        <f>'all species output'!$O72</f>
        <v>1.0741516521812968E-16</v>
      </c>
      <c r="M25">
        <f>'all species output'!$P72</f>
        <v>4.688335370466217E-17</v>
      </c>
      <c r="N25">
        <f>'all species output'!$Q72</f>
        <v>2.6717358958633674E-17</v>
      </c>
      <c r="O25" s="160" t="s">
        <v>175</v>
      </c>
    </row>
    <row r="26" spans="9:15" ht="15" x14ac:dyDescent="0.2">
      <c r="I26" s="104" t="s">
        <v>238</v>
      </c>
      <c r="J26">
        <f>'all species output'!$M80</f>
        <v>3.2847855312032006E-7</v>
      </c>
      <c r="K26">
        <f>'all species output'!$N80</f>
        <v>1.9212433806904906E-8</v>
      </c>
      <c r="O26" s="160" t="s">
        <v>175</v>
      </c>
    </row>
    <row r="27" spans="9:15" ht="15" x14ac:dyDescent="0.2">
      <c r="I27" s="104" t="s">
        <v>240</v>
      </c>
      <c r="J27">
        <f>'all species output'!$M88</f>
        <v>1.1408014519465593E-6</v>
      </c>
      <c r="K27">
        <f>'all species output'!$N88</f>
        <v>4.8784018037897948E-9</v>
      </c>
      <c r="O27" s="160" t="s">
        <v>175</v>
      </c>
    </row>
    <row r="28" spans="9:15" ht="15" x14ac:dyDescent="0.2">
      <c r="I28" s="838" t="s">
        <v>241</v>
      </c>
      <c r="J28" s="487">
        <f>'all species output'!$M96</f>
        <v>3.2845291043591807E-7</v>
      </c>
      <c r="K28" s="487">
        <f>'all species output'!$N96</f>
        <v>1.92122649873879E-8</v>
      </c>
      <c r="L28" s="487">
        <f>'all species output'!$O96</f>
        <v>1.3450055991732104E-9</v>
      </c>
      <c r="M28" s="487">
        <f>'all species output'!$P96</f>
        <v>4.9104314209686265E-10</v>
      </c>
      <c r="N28" s="487">
        <f>'all species output'!$Q96</f>
        <v>3.8806727379322956E-10</v>
      </c>
      <c r="O28" s="839" t="s">
        <v>175</v>
      </c>
    </row>
    <row r="30" spans="9:15" x14ac:dyDescent="0.2">
      <c r="I30" s="835" t="s">
        <v>279</v>
      </c>
      <c r="J30" s="633"/>
      <c r="K30" s="633"/>
      <c r="L30" s="633"/>
      <c r="M30" s="633"/>
      <c r="N30" s="633"/>
      <c r="O30" s="836"/>
    </row>
    <row r="31" spans="9:15" x14ac:dyDescent="0.2">
      <c r="I31" s="398"/>
      <c r="J31" t="s">
        <v>270</v>
      </c>
      <c r="K31" t="s">
        <v>271</v>
      </c>
      <c r="L31" t="s">
        <v>272</v>
      </c>
      <c r="M31" t="s">
        <v>273</v>
      </c>
      <c r="N31" t="s">
        <v>274</v>
      </c>
      <c r="O31" s="837"/>
    </row>
    <row r="32" spans="9:15" ht="15" x14ac:dyDescent="0.2">
      <c r="I32" s="452" t="s">
        <v>136</v>
      </c>
      <c r="J32">
        <f>'all species output'!$M17</f>
        <v>9.5444861406323903E-11</v>
      </c>
      <c r="K32">
        <f>'all species output'!$N17</f>
        <v>1.0649266653185041E-12</v>
      </c>
      <c r="L32">
        <f>'all species output'!$O17</f>
        <v>3.7748408105237731E-15</v>
      </c>
      <c r="M32">
        <f>'all species output'!$P17</f>
        <v>1.7293628750180983E-16</v>
      </c>
      <c r="N32">
        <f>'all species output'!$Q17</f>
        <v>2.081640662823669E-17</v>
      </c>
      <c r="O32" s="160" t="s">
        <v>137</v>
      </c>
    </row>
    <row r="33" spans="9:15" ht="15" x14ac:dyDescent="0.2">
      <c r="I33" s="104" t="s">
        <v>157</v>
      </c>
      <c r="J33">
        <f>'all species output'!$M25</f>
        <v>1.1629869955412911E-10</v>
      </c>
      <c r="K33">
        <f>'all species output'!$N25</f>
        <v>1.1437930214211464E-12</v>
      </c>
      <c r="O33" s="160" t="s">
        <v>158</v>
      </c>
    </row>
    <row r="34" spans="9:15" ht="15" x14ac:dyDescent="0.2">
      <c r="I34" s="104" t="s">
        <v>174</v>
      </c>
      <c r="J34">
        <f>'all species output'!$M33</f>
        <v>6.5015160793249681E-7</v>
      </c>
      <c r="K34">
        <f>'all species output'!$N33</f>
        <v>6.3952160845673299E-9</v>
      </c>
      <c r="O34" s="160" t="s">
        <v>175</v>
      </c>
    </row>
    <row r="35" spans="9:15" ht="15" x14ac:dyDescent="0.2">
      <c r="I35" s="104" t="s">
        <v>204</v>
      </c>
      <c r="J35">
        <f>'all species output'!$M41</f>
        <v>4.0701141023103535E-7</v>
      </c>
      <c r="K35">
        <f>'all species output'!$N41</f>
        <v>1.1480264521676106E-11</v>
      </c>
      <c r="O35" s="160" t="s">
        <v>158</v>
      </c>
    </row>
    <row r="36" spans="9:15" ht="15" x14ac:dyDescent="0.2">
      <c r="I36" s="104" t="s">
        <v>209</v>
      </c>
      <c r="J36">
        <f>'all species output'!$M49</f>
        <v>1.9015677616967164E-3</v>
      </c>
      <c r="K36">
        <f>'all species output'!$N49</f>
        <v>5.3636087830267441E-8</v>
      </c>
      <c r="O36" s="160" t="s">
        <v>175</v>
      </c>
    </row>
    <row r="37" spans="9:15" ht="15" x14ac:dyDescent="0.2">
      <c r="I37" s="104" t="s">
        <v>220</v>
      </c>
      <c r="J37">
        <f>'all species output'!$M57</f>
        <v>3.4993453744873127E-9</v>
      </c>
      <c r="K37">
        <f>'all species output'!$N57</f>
        <v>2.8433222539991438E-14</v>
      </c>
      <c r="L37">
        <f>'all species output'!$O57</f>
        <v>1.6317015297138666E-16</v>
      </c>
      <c r="M37">
        <f>'all species output'!$P57</f>
        <v>3.2314492213023402E-18</v>
      </c>
      <c r="N37">
        <f>'all species output'!$Q57</f>
        <v>1.4891676799071828E-18</v>
      </c>
      <c r="O37" s="160" t="s">
        <v>158</v>
      </c>
    </row>
    <row r="38" spans="9:15" ht="15" x14ac:dyDescent="0.2">
      <c r="I38" s="104" t="s">
        <v>233</v>
      </c>
      <c r="L38">
        <f>'all species output'!$O65</f>
        <v>2.5007635317480609E-19</v>
      </c>
      <c r="M38">
        <f>'all species output'!$P65</f>
        <v>5.1354004323052109E-21</v>
      </c>
      <c r="N38">
        <f>'all species output'!$Q65</f>
        <v>2.2025862547987808E-21</v>
      </c>
      <c r="O38" s="160" t="s">
        <v>158</v>
      </c>
    </row>
    <row r="39" spans="9:15" ht="15" x14ac:dyDescent="0.2">
      <c r="I39" s="104" t="s">
        <v>236</v>
      </c>
      <c r="J39">
        <f>'all species output'!$M73</f>
        <v>2.2345020795302617E-7</v>
      </c>
      <c r="K39">
        <f>'all species output'!$N73</f>
        <v>1.8156003883376535E-12</v>
      </c>
      <c r="L39">
        <f>'all species output'!$O73</f>
        <v>1.596859022659508E-17</v>
      </c>
      <c r="M39">
        <f>'all species output'!$P73</f>
        <v>3.2792026957326492E-19</v>
      </c>
      <c r="N39">
        <f>'all species output'!$Q73</f>
        <v>1.4064584439660068E-19</v>
      </c>
      <c r="O39" s="160" t="s">
        <v>175</v>
      </c>
    </row>
    <row r="40" spans="9:15" ht="15" x14ac:dyDescent="0.2">
      <c r="I40" s="104" t="s">
        <v>238</v>
      </c>
      <c r="J40">
        <f>'all species output'!$M81</f>
        <v>7.2084548024943004E-8</v>
      </c>
      <c r="K40">
        <f>'all species output'!$N81</f>
        <v>5.1411388532003859E-10</v>
      </c>
      <c r="O40" s="160" t="s">
        <v>175</v>
      </c>
    </row>
    <row r="41" spans="9:15" ht="15" x14ac:dyDescent="0.2">
      <c r="I41" s="104" t="s">
        <v>240</v>
      </c>
      <c r="J41">
        <f>'all species output'!$M89</f>
        <v>3.4265091388553339E-7</v>
      </c>
      <c r="K41">
        <f>'all species output'!$N89</f>
        <v>1.285190843672547E-10</v>
      </c>
      <c r="O41" s="160" t="s">
        <v>175</v>
      </c>
    </row>
    <row r="42" spans="9:15" ht="15" x14ac:dyDescent="0.2">
      <c r="I42" s="838" t="s">
        <v>241</v>
      </c>
      <c r="J42" s="487">
        <f>'all species output'!$M97</f>
        <v>7.2076552043645193E-8</v>
      </c>
      <c r="K42" s="487">
        <f>'all species output'!$N97</f>
        <v>5.1406124349519959E-10</v>
      </c>
      <c r="L42" s="487">
        <f>'all species output'!$O97</f>
        <v>1.5310202151673921E-12</v>
      </c>
      <c r="M42" s="487">
        <f>'all species output'!$P97</f>
        <v>2.3021466405049275E-14</v>
      </c>
      <c r="N42" s="487">
        <f>'all species output'!$Q97</f>
        <v>1.4693571259389336E-14</v>
      </c>
      <c r="O42" s="839" t="s">
        <v>175</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379" zoomScaleNormal="100" workbookViewId="0">
      <selection activeCell="F414" sqref="F414"/>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85</v>
      </c>
      <c r="B5" s="17"/>
      <c r="C5" s="17"/>
      <c r="D5" s="17"/>
      <c r="E5" s="17"/>
      <c r="F5" s="17"/>
      <c r="G5" s="144" t="s">
        <v>289</v>
      </c>
      <c r="H5" s="1004" t="s">
        <v>4313</v>
      </c>
      <c r="I5" s="1005"/>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291</v>
      </c>
      <c r="H6" s="1006"/>
      <c r="I6" s="1007"/>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2">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2">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2">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2">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2">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2">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2">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2">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2">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2">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2">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2">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2">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2">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2">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2">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2">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2">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2">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2">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2">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2">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2">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2">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2">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2">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2">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2">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2">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2">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2">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2">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2">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359</v>
      </c>
      <c r="N44" s="566"/>
      <c r="O44" s="584"/>
      <c r="P44" s="584"/>
      <c r="S44"/>
      <c r="T44"/>
      <c r="U44"/>
      <c r="V44"/>
      <c r="W44"/>
      <c r="X44"/>
      <c r="Y44"/>
    </row>
    <row r="45" spans="1:25" s="11" customFormat="1" ht="12.75" customHeight="1" x14ac:dyDescent="0.2">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359</v>
      </c>
      <c r="N45" s="566"/>
      <c r="O45" s="584"/>
      <c r="P45" s="584"/>
      <c r="S45"/>
      <c r="T45"/>
      <c r="U45"/>
      <c r="V45"/>
      <c r="W45"/>
      <c r="X45"/>
      <c r="Y45"/>
    </row>
    <row r="46" spans="1:25" s="11" customFormat="1" ht="12.75" customHeight="1" x14ac:dyDescent="0.2">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359</v>
      </c>
      <c r="N46" s="566"/>
      <c r="O46" s="584"/>
      <c r="P46" s="584"/>
      <c r="S46"/>
      <c r="T46"/>
      <c r="U46"/>
      <c r="V46"/>
      <c r="W46"/>
      <c r="X46"/>
      <c r="Y46"/>
    </row>
    <row r="47" spans="1:25" s="11" customFormat="1" ht="12.75" customHeight="1" x14ac:dyDescent="0.2">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359</v>
      </c>
      <c r="N47" s="566"/>
      <c r="O47" s="584"/>
      <c r="P47" s="584"/>
      <c r="S47"/>
      <c r="T47"/>
      <c r="U47"/>
      <c r="V47"/>
      <c r="W47"/>
      <c r="X47"/>
      <c r="Y47"/>
    </row>
    <row r="48" spans="1:25" s="11" customFormat="1" ht="12.75" customHeight="1" x14ac:dyDescent="0.2">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359</v>
      </c>
      <c r="N48" s="566"/>
      <c r="O48" s="584"/>
      <c r="P48" s="584"/>
      <c r="S48"/>
      <c r="T48"/>
      <c r="U48"/>
      <c r="V48"/>
      <c r="W48"/>
      <c r="X48"/>
      <c r="Y48"/>
    </row>
    <row r="49" spans="1:25" s="11" customFormat="1" ht="12.75" customHeight="1" x14ac:dyDescent="0.2">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359</v>
      </c>
      <c r="N49" s="566"/>
      <c r="O49" s="584"/>
      <c r="P49" s="584"/>
      <c r="S49"/>
      <c r="T49"/>
      <c r="U49"/>
      <c r="V49"/>
      <c r="W49"/>
      <c r="X49"/>
      <c r="Y49"/>
    </row>
    <row r="50" spans="1:25" s="11" customFormat="1" ht="12.75" customHeight="1" x14ac:dyDescent="0.2">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359</v>
      </c>
      <c r="N50" s="566"/>
      <c r="O50" s="584"/>
      <c r="P50" s="584"/>
      <c r="S50"/>
      <c r="T50"/>
      <c r="U50"/>
      <c r="V50"/>
      <c r="W50"/>
      <c r="X50"/>
      <c r="Y50"/>
    </row>
    <row r="51" spans="1:25" s="11" customFormat="1" ht="12.75" customHeight="1" x14ac:dyDescent="0.2">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359</v>
      </c>
      <c r="N51" s="566"/>
      <c r="O51" s="584"/>
      <c r="P51" s="584"/>
      <c r="S51"/>
      <c r="T51"/>
      <c r="U51"/>
      <c r="V51"/>
      <c r="W51"/>
      <c r="X51"/>
      <c r="Y51"/>
    </row>
    <row r="52" spans="1:25" s="11" customFormat="1" ht="12.75" customHeight="1" x14ac:dyDescent="0.2">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359</v>
      </c>
      <c r="N52" s="566"/>
      <c r="O52" s="584"/>
      <c r="P52" s="584"/>
      <c r="S52"/>
      <c r="T52"/>
      <c r="U52"/>
      <c r="V52"/>
      <c r="W52"/>
      <c r="X52"/>
      <c r="Y52"/>
    </row>
    <row r="53" spans="1:25" s="11" customFormat="1" ht="12.75" customHeight="1" x14ac:dyDescent="0.2">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359</v>
      </c>
      <c r="N53" s="566"/>
      <c r="O53" s="584"/>
      <c r="P53" s="584"/>
      <c r="S53"/>
      <c r="T53"/>
      <c r="U53"/>
      <c r="V53"/>
      <c r="W53"/>
      <c r="X53"/>
      <c r="Y53"/>
    </row>
    <row r="54" spans="1:25" s="11" customFormat="1" ht="12.75" customHeight="1" x14ac:dyDescent="0.2">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2">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359</v>
      </c>
      <c r="N55" s="566"/>
      <c r="O55" s="584"/>
      <c r="P55" s="584"/>
      <c r="S55"/>
      <c r="T55"/>
      <c r="U55"/>
      <c r="V55"/>
      <c r="W55"/>
      <c r="X55"/>
      <c r="Y55"/>
    </row>
    <row r="56" spans="1:25" s="11" customFormat="1" ht="12.75" customHeight="1" x14ac:dyDescent="0.2">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359</v>
      </c>
      <c r="N56" s="566"/>
      <c r="O56" s="584"/>
      <c r="P56" s="584"/>
      <c r="S56"/>
      <c r="T56"/>
      <c r="U56"/>
      <c r="V56"/>
      <c r="W56"/>
      <c r="X56"/>
      <c r="Y56"/>
    </row>
    <row r="57" spans="1:25" s="11" customFormat="1" ht="12.75" customHeight="1" x14ac:dyDescent="0.2">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359</v>
      </c>
      <c r="N57" s="566"/>
      <c r="O57" s="584"/>
      <c r="P57" s="584"/>
      <c r="S57"/>
      <c r="T57"/>
      <c r="U57"/>
      <c r="V57"/>
      <c r="W57"/>
      <c r="X57"/>
      <c r="Y57"/>
    </row>
    <row r="58" spans="1:25" s="11" customFormat="1" ht="12.75" customHeight="1" x14ac:dyDescent="0.2">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359</v>
      </c>
      <c r="N58" s="566"/>
      <c r="O58" s="584"/>
      <c r="P58" s="584"/>
      <c r="S58"/>
      <c r="T58"/>
      <c r="U58"/>
      <c r="V58"/>
      <c r="W58"/>
      <c r="X58"/>
      <c r="Y58"/>
    </row>
    <row r="59" spans="1:25" s="11" customFormat="1" ht="12.75" customHeight="1" x14ac:dyDescent="0.2">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359</v>
      </c>
      <c r="N59" s="566"/>
      <c r="O59" s="584"/>
      <c r="P59" s="584"/>
      <c r="S59"/>
      <c r="T59"/>
      <c r="U59"/>
      <c r="V59"/>
      <c r="W59"/>
      <c r="X59"/>
      <c r="Y59"/>
    </row>
    <row r="60" spans="1:25" s="11" customFormat="1" ht="12.75" customHeight="1" x14ac:dyDescent="0.2">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359</v>
      </c>
      <c r="N60" s="566"/>
      <c r="O60" s="584"/>
      <c r="P60" s="584"/>
      <c r="S60"/>
      <c r="T60"/>
      <c r="U60"/>
      <c r="V60"/>
      <c r="W60"/>
      <c r="X60"/>
      <c r="Y60"/>
    </row>
    <row r="61" spans="1:25" s="11" customFormat="1" ht="12.75" customHeight="1" x14ac:dyDescent="0.2">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359</v>
      </c>
      <c r="N61" s="566"/>
      <c r="O61" s="584"/>
      <c r="P61" s="584"/>
      <c r="S61"/>
      <c r="T61"/>
      <c r="U61"/>
      <c r="V61"/>
      <c r="W61"/>
      <c r="X61"/>
      <c r="Y61"/>
    </row>
    <row r="62" spans="1:25" s="11" customFormat="1" ht="12.75" customHeight="1" x14ac:dyDescent="0.2">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359</v>
      </c>
      <c r="N62" s="566"/>
      <c r="O62" s="584"/>
      <c r="P62" s="584"/>
      <c r="S62"/>
      <c r="T62"/>
      <c r="U62"/>
      <c r="V62"/>
      <c r="W62"/>
      <c r="X62"/>
      <c r="Y62"/>
    </row>
    <row r="63" spans="1:25" s="11" customFormat="1" ht="12.75" customHeight="1" x14ac:dyDescent="0.2">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359</v>
      </c>
      <c r="N63" s="566"/>
      <c r="O63" s="584"/>
      <c r="P63" s="584"/>
      <c r="S63"/>
      <c r="T63"/>
      <c r="U63"/>
      <c r="V63"/>
      <c r="W63"/>
      <c r="X63"/>
      <c r="Y63"/>
    </row>
    <row r="64" spans="1:25" s="11" customFormat="1" ht="12.75" customHeight="1" x14ac:dyDescent="0.2">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359</v>
      </c>
      <c r="N64" s="566"/>
      <c r="O64" s="584"/>
      <c r="P64" s="584"/>
      <c r="S64"/>
      <c r="T64"/>
      <c r="U64"/>
      <c r="V64"/>
      <c r="W64"/>
      <c r="X64"/>
      <c r="Y64"/>
    </row>
    <row r="65" spans="1:25" s="11" customFormat="1" ht="12.75" customHeight="1" x14ac:dyDescent="0.2">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359</v>
      </c>
      <c r="N65" s="566"/>
      <c r="O65" s="584"/>
      <c r="P65" s="584"/>
      <c r="S65"/>
      <c r="T65"/>
      <c r="U65"/>
      <c r="V65"/>
      <c r="W65"/>
      <c r="X65"/>
      <c r="Y65"/>
    </row>
    <row r="66" spans="1:25" s="11" customFormat="1" ht="12.75" customHeight="1" x14ac:dyDescent="0.2">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359</v>
      </c>
      <c r="N66" s="566"/>
      <c r="O66" s="584"/>
      <c r="P66" s="584"/>
      <c r="S66"/>
      <c r="T66"/>
      <c r="U66"/>
      <c r="V66"/>
      <c r="W66"/>
      <c r="X66"/>
      <c r="Y66"/>
    </row>
    <row r="67" spans="1:25" s="11" customFormat="1" ht="12.75" customHeight="1" x14ac:dyDescent="0.2">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359</v>
      </c>
      <c r="N67" s="566"/>
      <c r="O67" s="584"/>
      <c r="P67" s="584"/>
      <c r="S67"/>
      <c r="T67"/>
      <c r="U67"/>
      <c r="V67"/>
      <c r="W67"/>
      <c r="X67"/>
      <c r="Y67"/>
    </row>
    <row r="68" spans="1:25" s="11" customFormat="1" ht="12.75" customHeight="1" x14ac:dyDescent="0.2">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359</v>
      </c>
      <c r="N68" s="566"/>
      <c r="O68" s="584"/>
      <c r="P68" s="584"/>
      <c r="S68"/>
      <c r="T68"/>
      <c r="U68"/>
      <c r="V68"/>
      <c r="W68"/>
      <c r="X68"/>
      <c r="Y68"/>
    </row>
    <row r="69" spans="1:25" s="11" customFormat="1" ht="12.75" customHeight="1" x14ac:dyDescent="0.2">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359</v>
      </c>
      <c r="N69" s="566"/>
      <c r="O69" s="584"/>
      <c r="P69" s="584"/>
      <c r="S69"/>
      <c r="T69"/>
      <c r="U69"/>
      <c r="V69"/>
      <c r="W69"/>
      <c r="X69"/>
      <c r="Y69"/>
    </row>
    <row r="70" spans="1:25" s="11" customFormat="1" ht="12.75" customHeight="1" x14ac:dyDescent="0.2">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359</v>
      </c>
      <c r="N70" s="566"/>
      <c r="O70" s="584"/>
      <c r="P70" s="584"/>
      <c r="S70"/>
      <c r="T70"/>
      <c r="U70"/>
      <c r="V70"/>
      <c r="W70"/>
      <c r="X70"/>
      <c r="Y70"/>
    </row>
    <row r="71" spans="1:25" s="11" customFormat="1" ht="12.75" customHeight="1" x14ac:dyDescent="0.2">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359</v>
      </c>
      <c r="N71" s="566"/>
      <c r="O71" s="584"/>
      <c r="P71" s="584"/>
      <c r="S71"/>
      <c r="T71"/>
      <c r="U71"/>
      <c r="V71"/>
      <c r="W71"/>
      <c r="X71"/>
      <c r="Y71"/>
    </row>
    <row r="72" spans="1:25" s="11" customFormat="1" ht="12.75" customHeight="1" x14ac:dyDescent="0.2">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359</v>
      </c>
      <c r="N72" s="566"/>
      <c r="O72" s="584"/>
      <c r="P72" s="584"/>
      <c r="S72"/>
      <c r="T72"/>
      <c r="U72"/>
      <c r="V72"/>
      <c r="W72"/>
      <c r="X72"/>
      <c r="Y72"/>
    </row>
    <row r="73" spans="1:25" s="11" customFormat="1" ht="12.75" customHeight="1" x14ac:dyDescent="0.2">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359</v>
      </c>
      <c r="N73" s="566"/>
      <c r="O73" s="584"/>
      <c r="P73" s="584"/>
      <c r="S73"/>
      <c r="T73"/>
      <c r="U73"/>
      <c r="V73"/>
      <c r="W73"/>
      <c r="X73"/>
      <c r="Y73"/>
    </row>
    <row r="74" spans="1:25" s="11" customFormat="1" ht="12.75" customHeight="1" x14ac:dyDescent="0.2">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359</v>
      </c>
      <c r="N74" s="598"/>
      <c r="O74" s="584"/>
      <c r="P74" s="584"/>
      <c r="S74"/>
      <c r="T74"/>
      <c r="U74"/>
      <c r="V74"/>
      <c r="W74"/>
      <c r="X74"/>
      <c r="Y74"/>
    </row>
    <row r="75" spans="1:25" s="11" customFormat="1" ht="12.75" customHeight="1" x14ac:dyDescent="0.2">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2">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2">
      <c r="A77" s="566"/>
      <c r="B77" s="566"/>
      <c r="C77" s="779" t="s">
        <v>355</v>
      </c>
      <c r="D77" s="566"/>
      <c r="E77" s="566"/>
      <c r="F77" s="566"/>
      <c r="G77" s="567"/>
      <c r="H77" s="567"/>
      <c r="I77" s="674"/>
      <c r="J77" s="810"/>
      <c r="K77" s="808"/>
      <c r="L77" s="732"/>
      <c r="M77" s="566"/>
      <c r="N77" s="567"/>
      <c r="O77" s="566"/>
      <c r="P77" s="566"/>
    </row>
    <row r="78" spans="1:25" customFormat="1" ht="12.75" customHeight="1" x14ac:dyDescent="0.2">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2">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2">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2">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2">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2">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2">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2">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2">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2">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2">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2">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2">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2">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2">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2">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2">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2">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2">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2">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2">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2">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2">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2">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2">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2">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2">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2">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2">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2">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2">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2">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2">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2">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2">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2">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2">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2">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2">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2">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2">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2">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2">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2">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2">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2">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2">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2">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2">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2">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2">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2">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2">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2">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2">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2">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2">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2">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2">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2">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2">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2">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2">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2">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2">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2">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2">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2">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2">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2">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2">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2">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2">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2">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2">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2">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2">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2">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2">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2">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2">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2">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2">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2">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2">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2">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2">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2">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2">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2">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2">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2">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2">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2">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2">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2">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2">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2">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2">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2">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2">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2">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2">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2">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2">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2">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2">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2">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2">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2">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2">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2">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2">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2">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2">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2">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2">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2">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2">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2">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2">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2">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2">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2">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2">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2">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2">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2">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2">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2">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2">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2">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2">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2">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2">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2">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2">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2">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2">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2">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2">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2">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2">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2">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2">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2">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2">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2">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2">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2">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2">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2">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2">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2">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2">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2">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9" transitionEvaluation="1" transitionEntry="1" codeName="Sheet2"/>
  <dimension ref="A1:S584"/>
  <sheetViews>
    <sheetView tabSelected="1" topLeftCell="A19" zoomScaleNormal="100" workbookViewId="0">
      <selection activeCell="K49" sqref="K49"/>
    </sheetView>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2"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977</v>
      </c>
      <c r="O1" s="19"/>
      <c r="P1" s="11"/>
    </row>
    <row r="2" spans="1:16" ht="12.75" customHeight="1" x14ac:dyDescent="0.2">
      <c r="M2" s="665"/>
      <c r="O2" s="19"/>
      <c r="P2" s="11"/>
    </row>
    <row r="3" spans="1:16" s="414" customFormat="1" ht="12.75" customHeight="1" x14ac:dyDescent="0.2">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2">
      <c r="J4" s="273" t="str">
        <f>IF(HLOOKUP(CaseName,CaseData,ROW()+137,FALSE)="","",HLOOKUP(CaseName,CaseData,ROW()+137,FALSE))</f>
        <v/>
      </c>
      <c r="O4" s="19"/>
      <c r="P4" s="11"/>
    </row>
    <row r="5" spans="1:16" ht="12.75" customHeight="1" x14ac:dyDescent="0.2">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2">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2">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2">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2">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2">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2">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2">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2">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2">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2">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2">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2">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2">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2">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2">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2">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2">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2">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2">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2">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2">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2">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2">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2">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2">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2">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2">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2">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2">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2">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2">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2">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2">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2">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2">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2">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2">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2">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2">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2">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2">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2">
      <c r="A47" s="216"/>
      <c r="B47" s="228"/>
      <c r="C47" s="228"/>
      <c r="D47" s="228"/>
      <c r="E47" s="228"/>
      <c r="F47" s="228"/>
      <c r="G47" s="578"/>
      <c r="H47" s="216"/>
      <c r="I47" s="635"/>
      <c r="J47" s="294"/>
      <c r="K47" s="432"/>
      <c r="L47" s="636"/>
      <c r="M47" s="216"/>
      <c r="N47" s="228"/>
      <c r="O47" s="262"/>
      <c r="P47" s="215"/>
    </row>
    <row r="48" spans="1:16" s="386" customFormat="1" ht="12.75" customHeight="1" x14ac:dyDescent="0.2">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2">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2">
      <c r="A50" s="216"/>
      <c r="B50" s="228"/>
      <c r="C50" s="228"/>
      <c r="D50" s="228"/>
      <c r="E50" s="228"/>
      <c r="F50" s="228"/>
      <c r="G50" s="578"/>
      <c r="H50" s="216"/>
      <c r="I50" s="635"/>
      <c r="J50" s="294"/>
      <c r="K50" s="432"/>
      <c r="L50" s="636"/>
      <c r="M50" s="216"/>
      <c r="N50" s="228"/>
      <c r="O50" s="262"/>
      <c r="P50" s="215"/>
    </row>
    <row r="51" spans="1:16" ht="12.75" customHeight="1" x14ac:dyDescent="0.2">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2">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2">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2">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2">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2">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2">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2">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2">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2">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2">
      <c r="I61" s="611"/>
      <c r="J61" s="640"/>
      <c r="O61" s="19"/>
      <c r="P61" s="11"/>
    </row>
    <row r="62" spans="1:16" s="413" customFormat="1" ht="12.75" customHeight="1" x14ac:dyDescent="0.2">
      <c r="A62" s="630" t="s">
        <v>1099</v>
      </c>
      <c r="G62" s="630" t="s">
        <v>282</v>
      </c>
      <c r="H62" s="630" t="s">
        <v>297</v>
      </c>
      <c r="I62" s="646" t="s">
        <v>283</v>
      </c>
      <c r="J62" s="667" t="s">
        <v>298</v>
      </c>
      <c r="K62" s="413" t="s">
        <v>284</v>
      </c>
      <c r="L62" s="648" t="s">
        <v>285</v>
      </c>
      <c r="N62" s="630" t="s">
        <v>286</v>
      </c>
      <c r="O62" s="209"/>
    </row>
    <row r="63" spans="1:16" ht="12.75" customHeight="1" x14ac:dyDescent="0.2">
      <c r="A63" s="172"/>
      <c r="B63" s="172"/>
      <c r="C63" s="172"/>
      <c r="D63" s="172"/>
      <c r="E63" s="172"/>
      <c r="F63" s="172"/>
      <c r="I63" s="611"/>
      <c r="K63"/>
      <c r="L63" s="668"/>
      <c r="O63" s="19"/>
      <c r="P63" s="11"/>
    </row>
    <row r="64" spans="1:16" ht="12.75" customHeight="1" x14ac:dyDescent="0.2">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2">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2">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25">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25">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25">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2">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2">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2">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2">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2">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2">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2">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2">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2">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2">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2">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2">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2">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2">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2">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2">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2">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2">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2">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2">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2">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2">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2">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2">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2">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2">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2">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2">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2">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2">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2">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2">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2">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2">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2">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2">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2">
      <c r="A106" s="172"/>
      <c r="D106" s="172"/>
      <c r="G106" s="183"/>
      <c r="I106" s="611"/>
      <c r="J106" s="640"/>
      <c r="O106" s="19"/>
      <c r="P106" s="11"/>
    </row>
    <row r="107" spans="1:16" s="413" customFormat="1" ht="12.75" customHeight="1" x14ac:dyDescent="0.2">
      <c r="A107" s="630" t="s">
        <v>1186</v>
      </c>
      <c r="G107" s="630" t="s">
        <v>282</v>
      </c>
      <c r="H107" s="630" t="s">
        <v>297</v>
      </c>
      <c r="I107" s="646" t="s">
        <v>283</v>
      </c>
      <c r="J107" s="498" t="s">
        <v>298</v>
      </c>
      <c r="K107" s="647" t="s">
        <v>284</v>
      </c>
      <c r="L107" s="648" t="s">
        <v>285</v>
      </c>
      <c r="N107" s="630" t="s">
        <v>286</v>
      </c>
      <c r="O107" s="209"/>
    </row>
    <row r="108" spans="1:16" ht="12.75" customHeight="1" x14ac:dyDescent="0.2">
      <c r="I108" s="611"/>
      <c r="J108" s="640"/>
      <c r="O108" s="19"/>
      <c r="P108" s="11"/>
    </row>
    <row r="109" spans="1:16" ht="12.75" customHeight="1" x14ac:dyDescent="0.2">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2">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2">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2">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2">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2">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2">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2">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2">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2">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2">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2">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2">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2">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2">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2">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2">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2">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2">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2">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2">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2">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2">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2">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2">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2">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2">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2">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2">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2">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2">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2">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2">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2">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2">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2">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2">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2">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2">
      <c r="I147" s="611"/>
      <c r="O147" s="19"/>
      <c r="P147" s="11"/>
      <c r="Q147" s="11"/>
    </row>
    <row r="148" spans="1:17" s="386" customFormat="1" ht="12.75" customHeight="1" x14ac:dyDescent="0.2">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2">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2">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2">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2">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2">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8.9277819513144377E-9</v>
      </c>
      <c r="L153" s="298">
        <f t="shared" si="7"/>
        <v>8.9277819513144377E-9</v>
      </c>
      <c r="M153" s="228" t="s">
        <v>1072</v>
      </c>
      <c r="N153" s="228"/>
      <c r="O153" s="945"/>
      <c r="P153" s="946"/>
      <c r="Q153" s="947"/>
    </row>
    <row r="154" spans="1:17" s="386" customFormat="1" ht="12.75" customHeight="1" x14ac:dyDescent="0.2">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2">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2">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2">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2">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2">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2">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2">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2">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2">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2">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2">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2">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2">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2">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2">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2">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2">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2">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2">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2">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2">
      <c r="A175" s="216"/>
      <c r="B175" s="228"/>
      <c r="C175" s="228"/>
      <c r="D175" s="228"/>
      <c r="E175" s="228"/>
      <c r="F175" s="228"/>
      <c r="G175" s="578"/>
      <c r="H175" s="216"/>
      <c r="I175" s="709"/>
      <c r="J175" s="294"/>
      <c r="K175" s="432"/>
      <c r="L175" s="713"/>
      <c r="M175" s="216"/>
      <c r="N175" s="228"/>
      <c r="O175" s="262"/>
      <c r="P175" s="215"/>
      <c r="Q175" s="11"/>
    </row>
    <row r="176" spans="1:17" ht="12.75" customHeight="1" x14ac:dyDescent="0.2">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2">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2">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2">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2">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2">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2">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2">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2">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2">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2">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2">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2">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2">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2">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2">
      <c r="I191" s="611"/>
      <c r="J191" s="640"/>
      <c r="O191" s="19"/>
      <c r="P191" s="11"/>
    </row>
    <row r="192" spans="1:16" s="413" customFormat="1" ht="12.75" customHeight="1" x14ac:dyDescent="0.2">
      <c r="A192" s="630" t="s">
        <v>1351</v>
      </c>
      <c r="G192" s="630" t="s">
        <v>282</v>
      </c>
      <c r="H192" s="630" t="s">
        <v>297</v>
      </c>
      <c r="I192" s="646" t="s">
        <v>283</v>
      </c>
      <c r="J192" s="498" t="s">
        <v>298</v>
      </c>
      <c r="K192" s="647" t="s">
        <v>284</v>
      </c>
      <c r="L192" s="648" t="s">
        <v>285</v>
      </c>
      <c r="N192" s="630" t="s">
        <v>286</v>
      </c>
      <c r="O192" s="209"/>
    </row>
    <row r="193" spans="1:16" ht="12.75" customHeight="1" x14ac:dyDescent="0.2">
      <c r="A193" s="172"/>
      <c r="I193" s="611"/>
      <c r="J193" s="640"/>
      <c r="K193" s="649"/>
      <c r="L193" s="185"/>
      <c r="O193" s="19"/>
      <c r="P193" s="11"/>
    </row>
    <row r="194" spans="1:16" ht="12.75" customHeight="1" x14ac:dyDescent="0.2">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2">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2">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2">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2">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2">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2">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9.1429324159056473E-10</v>
      </c>
      <c r="L200" s="298">
        <f t="shared" si="11"/>
        <v>9.1429324159056473E-10</v>
      </c>
      <c r="M200" s="228" t="s">
        <v>1072</v>
      </c>
      <c r="N200" s="228"/>
      <c r="O200" s="262"/>
      <c r="P200" s="215"/>
    </row>
    <row r="201" spans="1:16" ht="12.75" customHeight="1" x14ac:dyDescent="0.2">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2">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2">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2">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2">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2">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2">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2">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2">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2">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2">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2">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2">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2">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2">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2">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2">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2">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2">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2">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2">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2">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2">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2">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2">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2">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2">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2">
      <c r="A228" t="s">
        <v>1418</v>
      </c>
      <c r="I228" s="611"/>
      <c r="O228" s="19"/>
      <c r="P228" s="11"/>
      <c r="Q228" s="11"/>
    </row>
    <row r="229" spans="1:17" s="413" customFormat="1" ht="12.75" customHeight="1" x14ac:dyDescent="0.2">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2">
      <c r="A230" s="410" t="s">
        <v>1422</v>
      </c>
      <c r="G230" s="654"/>
      <c r="H230" s="654"/>
      <c r="I230" s="655"/>
      <c r="J230" s="656"/>
      <c r="K230" s="657"/>
      <c r="L230" s="658"/>
      <c r="O230" s="417"/>
    </row>
    <row r="231" spans="1:17" customFormat="1" ht="12.75" customHeight="1" x14ac:dyDescent="0.2">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2">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2">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2">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2">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2">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2">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2">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2">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2">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2">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2">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2">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2">
      <c r="A244" s="410" t="s">
        <v>1451</v>
      </c>
      <c r="G244" s="654"/>
      <c r="H244" s="654"/>
      <c r="I244" s="655"/>
      <c r="J244" s="640"/>
      <c r="K244" s="657"/>
      <c r="L244" s="658"/>
      <c r="O244" s="417"/>
    </row>
    <row r="245" spans="1:17" customFormat="1" ht="12.75" customHeight="1" x14ac:dyDescent="0.2">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2">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2">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2">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2">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2">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2">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2">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2">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2">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2">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2">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2">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2">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2">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2">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2">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2">
      <c r="A262" s="410" t="s">
        <v>1488</v>
      </c>
      <c r="G262" s="654"/>
      <c r="H262" s="654"/>
      <c r="I262" s="655"/>
      <c r="J262" s="640"/>
      <c r="K262" s="657"/>
      <c r="L262" s="658"/>
      <c r="O262" s="417"/>
    </row>
    <row r="263" spans="1:16" ht="12.75" customHeight="1" x14ac:dyDescent="0.2">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2">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2">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2">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2">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2">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2">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2">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2">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2">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2">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2">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2">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2">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2">
      <c r="A277" s="410" t="s">
        <v>1518</v>
      </c>
      <c r="I277" s="611"/>
      <c r="J277" s="640"/>
      <c r="K277"/>
      <c r="O277" s="19"/>
      <c r="P277" s="11"/>
    </row>
    <row r="278" spans="1:16" s="386" customFormat="1" ht="12.75" customHeight="1" x14ac:dyDescent="0.2">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2">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2">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2">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2">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2">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2">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2">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2">
      <c r="A286" s="410" t="s">
        <v>1534</v>
      </c>
      <c r="I286" s="611"/>
      <c r="J286" s="640"/>
      <c r="M286" s="172"/>
      <c r="O286" s="19"/>
      <c r="P286" s="11"/>
    </row>
    <row r="287" spans="1:16" ht="12.75" customHeight="1" x14ac:dyDescent="0.2">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2">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2">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2">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2">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2">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2">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2">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2">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2">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2">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2">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2">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2">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2">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2">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2">
      <c r="A303" s="410" t="s">
        <v>1572</v>
      </c>
      <c r="I303" s="611"/>
      <c r="J303" s="640"/>
      <c r="M303" s="172"/>
      <c r="O303" s="19"/>
      <c r="P303"/>
    </row>
    <row r="304" spans="1:16" s="386" customFormat="1" ht="12.75" customHeight="1" x14ac:dyDescent="0.2">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2">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2">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2">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2">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2">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2">
      <c r="A310" s="410" t="s">
        <v>1583</v>
      </c>
      <c r="I310" s="611"/>
      <c r="J310" s="640"/>
      <c r="M310" s="172"/>
      <c r="O310" s="19"/>
      <c r="P310"/>
    </row>
    <row r="311" spans="1:16" ht="12.75" customHeight="1" x14ac:dyDescent="0.2">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2">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2">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2">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2">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2">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2">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2">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2">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2">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2">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2">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2">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2">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2">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2">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2">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2">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2">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2">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2">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2">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2">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2">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2">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2">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2">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2">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2">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2">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2">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2">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2">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2">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2">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2">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2">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2">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2">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2">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2">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2">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2">
      <c r="I353" s="611"/>
      <c r="J353" s="715"/>
      <c r="O353" s="19"/>
      <c r="P353" s="11"/>
    </row>
    <row r="354" spans="1:16" s="633" customFormat="1" ht="12.75" customHeight="1" x14ac:dyDescent="0.2">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2">
      <c r="A355" t="s">
        <v>1636</v>
      </c>
      <c r="I355" s="611"/>
      <c r="J355" s="640"/>
      <c r="O355" s="19"/>
      <c r="P355" s="11"/>
    </row>
    <row r="356" spans="1:16" ht="12.75" customHeight="1" x14ac:dyDescent="0.2">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2">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2">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2">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2">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2">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2">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2">
      <c r="A363" s="633" t="s">
        <v>1655</v>
      </c>
      <c r="B363" s="633"/>
      <c r="C363" s="633"/>
      <c r="D363" s="633"/>
      <c r="E363" s="633"/>
      <c r="F363" s="633"/>
      <c r="G363" s="633"/>
      <c r="H363" s="633"/>
      <c r="I363" s="659"/>
      <c r="J363" s="640"/>
      <c r="K363" s="660"/>
      <c r="L363" s="661"/>
      <c r="M363" s="633"/>
      <c r="N363" s="944"/>
      <c r="O363" s="950"/>
      <c r="P363" s="944"/>
    </row>
    <row r="364" spans="1:16" ht="12.75" customHeight="1" x14ac:dyDescent="0.2">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2">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2">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2">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2">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2">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2">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2">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2">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2">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2">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2">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2">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2">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2">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2">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2">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2">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3.477365584771385E-3</v>
      </c>
      <c r="L381" s="298">
        <f t="shared" si="21"/>
        <v>3.477365584771385E-3</v>
      </c>
      <c r="M381" s="567" t="s">
        <v>314</v>
      </c>
      <c r="N381" s="566"/>
      <c r="O381" s="605"/>
      <c r="P381" s="584"/>
    </row>
    <row r="382" spans="1:16" ht="12.75" customHeight="1" x14ac:dyDescent="0.2">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((L364)^2*(L365-input!L331)*9.81*L378)/(18*DYNVISC.a)</f>
        <v>3.8174013613872763E-7</v>
      </c>
      <c r="L382" s="298">
        <f t="shared" si="21"/>
        <v>3.8174013613872763E-7</v>
      </c>
      <c r="M382" s="567" t="s">
        <v>896</v>
      </c>
      <c r="N382" s="566"/>
      <c r="O382" s="605"/>
      <c r="P382" s="584"/>
    </row>
    <row r="383" spans="1:16" ht="12.75" customHeight="1" x14ac:dyDescent="0.2">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18936.747269026804</v>
      </c>
      <c r="L383" s="298">
        <f t="shared" si="21"/>
        <v>18936.747269026804</v>
      </c>
      <c r="M383" s="567" t="s">
        <v>314</v>
      </c>
      <c r="N383" s="566"/>
      <c r="O383" s="605"/>
      <c r="P383" s="584"/>
    </row>
    <row r="384" spans="1:16" ht="12.75" customHeight="1" x14ac:dyDescent="0.2">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2">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2">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2">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2">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2">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2">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2">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2">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2">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2">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2">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2">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2">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2">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2">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2">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2">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2">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2">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2">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2">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2">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2">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2">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2">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2">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2">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2">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2">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2">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2">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2">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2">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2">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2">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2">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2">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2">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7.3506754231704942E-8</v>
      </c>
      <c r="L422" s="298">
        <f t="shared" si="22"/>
        <v>7.3506754231704942E-8</v>
      </c>
      <c r="M422" s="567" t="s">
        <v>358</v>
      </c>
      <c r="N422" s="584"/>
      <c r="O422" s="605"/>
      <c r="P422" s="566"/>
    </row>
    <row r="423" spans="1:16" ht="12.75" customHeight="1" x14ac:dyDescent="0.2">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2.7343824497380381E-4</v>
      </c>
      <c r="L423" s="298">
        <f t="shared" si="22"/>
        <v>2.7343824497380381E-4</v>
      </c>
      <c r="M423" s="567" t="s">
        <v>896</v>
      </c>
      <c r="N423" s="584"/>
      <c r="O423" s="605"/>
      <c r="P423" s="566"/>
    </row>
    <row r="424" spans="1:16" ht="12.75" customHeight="1" x14ac:dyDescent="0.2">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3588.245660818483</v>
      </c>
      <c r="L424" s="298">
        <f t="shared" si="22"/>
        <v>3588.245660818483</v>
      </c>
      <c r="M424" s="567" t="s">
        <v>1709</v>
      </c>
      <c r="N424" s="584"/>
      <c r="O424" s="605"/>
      <c r="P424" s="566"/>
    </row>
    <row r="425" spans="1:16" ht="12.75" customHeight="1" x14ac:dyDescent="0.2">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2">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2">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1.8730674179172417E-5</v>
      </c>
      <c r="L427" s="298">
        <f t="shared" si="22"/>
        <v>1.8730674179172417E-5</v>
      </c>
      <c r="M427" s="567" t="s">
        <v>314</v>
      </c>
      <c r="N427" s="584"/>
      <c r="O427" s="605"/>
      <c r="P427" s="566" t="s">
        <v>1720</v>
      </c>
    </row>
    <row r="428" spans="1:16" ht="12.75" customHeight="1" x14ac:dyDescent="0.2">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1.6334834273712207E-7</v>
      </c>
      <c r="L428" s="298">
        <f t="shared" ref="L428:L459" si="23">IF(ISBLANK(I428),IF(ISNUMBER(J428)=FALSE,K428,J428),I428)</f>
        <v>1.6334834273712207E-7</v>
      </c>
      <c r="M428" s="567" t="s">
        <v>358</v>
      </c>
      <c r="N428" s="566"/>
      <c r="O428" s="605"/>
      <c r="P428" s="584"/>
    </row>
    <row r="429" spans="1:16" ht="12.75" customHeight="1" x14ac:dyDescent="0.2">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2.7343824497380381E-4</v>
      </c>
      <c r="L429" s="298">
        <f t="shared" si="23"/>
        <v>2.7343824497380381E-4</v>
      </c>
      <c r="M429" s="567" t="s">
        <v>896</v>
      </c>
      <c r="N429" s="566"/>
      <c r="O429" s="605"/>
      <c r="P429" s="584"/>
    </row>
    <row r="430" spans="1:16" ht="12.75" customHeight="1" x14ac:dyDescent="0.2">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3588.245660818483</v>
      </c>
      <c r="L430" s="298">
        <f t="shared" si="23"/>
        <v>3588.245660818483</v>
      </c>
      <c r="M430" s="567" t="s">
        <v>1709</v>
      </c>
      <c r="N430" s="566"/>
      <c r="O430" s="605"/>
      <c r="P430" s="584"/>
    </row>
    <row r="431" spans="1:16" ht="12.75" customHeight="1" x14ac:dyDescent="0.2">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1.4075475589468128E-3</v>
      </c>
      <c r="L431" s="298">
        <f t="shared" si="23"/>
        <v>1.4075475589468128E-3</v>
      </c>
      <c r="M431" s="567" t="s">
        <v>314</v>
      </c>
      <c r="N431" s="584"/>
      <c r="O431" s="605"/>
      <c r="P431" s="566" t="s">
        <v>1720</v>
      </c>
    </row>
    <row r="432" spans="1:16" ht="12.75" customHeight="1" x14ac:dyDescent="0.2">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4.0499237605021189E-5</v>
      </c>
      <c r="L432" s="298">
        <f t="shared" si="23"/>
        <v>4.0499237605021189E-5</v>
      </c>
      <c r="M432" s="567" t="s">
        <v>314</v>
      </c>
      <c r="N432" s="584"/>
      <c r="O432" s="605"/>
      <c r="P432" s="566" t="s">
        <v>1720</v>
      </c>
    </row>
    <row r="433" spans="1:16" ht="12.75" customHeight="1" x14ac:dyDescent="0.2">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1.8730674179172417E-5</v>
      </c>
      <c r="L433" s="298">
        <f t="shared" si="23"/>
        <v>1.8730674179172417E-5</v>
      </c>
      <c r="M433" s="567" t="s">
        <v>314</v>
      </c>
      <c r="N433" s="584"/>
      <c r="O433" s="605"/>
      <c r="P433" s="566" t="s">
        <v>1720</v>
      </c>
    </row>
    <row r="434" spans="1:16" ht="12.75" customHeight="1" x14ac:dyDescent="0.2">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2.7224723789520348E-8</v>
      </c>
      <c r="L434" s="298">
        <f t="shared" si="23"/>
        <v>2.7224723789520348E-8</v>
      </c>
      <c r="M434" s="567" t="s">
        <v>358</v>
      </c>
      <c r="N434" s="584"/>
      <c r="O434" s="605"/>
      <c r="P434" s="566"/>
    </row>
    <row r="435" spans="1:16" ht="12.75" customHeight="1" x14ac:dyDescent="0.2">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2.7343824497380381E-4</v>
      </c>
      <c r="L435" s="298">
        <f t="shared" si="23"/>
        <v>2.7343824497380381E-4</v>
      </c>
      <c r="M435" s="567" t="s">
        <v>896</v>
      </c>
      <c r="N435" s="584"/>
      <c r="O435" s="605"/>
      <c r="P435" s="566"/>
    </row>
    <row r="436" spans="1:16" ht="12.75" customHeight="1" x14ac:dyDescent="0.2">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3588.245660818483</v>
      </c>
      <c r="L436" s="298">
        <f t="shared" si="23"/>
        <v>3588.245660818483</v>
      </c>
      <c r="M436" s="567" t="s">
        <v>1709</v>
      </c>
      <c r="N436" s="584"/>
      <c r="O436" s="605"/>
      <c r="P436" s="566"/>
    </row>
    <row r="437" spans="1:16" ht="12.75" customHeight="1" x14ac:dyDescent="0.2">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2">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2">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1.8730674179172417E-5</v>
      </c>
      <c r="L439" s="298">
        <f t="shared" si="23"/>
        <v>1.8730674179172417E-5</v>
      </c>
      <c r="M439" s="567" t="s">
        <v>314</v>
      </c>
      <c r="N439" s="584"/>
      <c r="O439" s="605"/>
      <c r="P439" s="566" t="s">
        <v>1720</v>
      </c>
    </row>
    <row r="440" spans="1:16" ht="12.75" customHeight="1" x14ac:dyDescent="0.2">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2">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2">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2">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2">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2">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2">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2">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2">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2">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2">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2">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2">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2">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2">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2">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2">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3.1190908398264028E-9</v>
      </c>
      <c r="L456" s="298">
        <f t="shared" si="23"/>
        <v>3.1190908398264028E-9</v>
      </c>
      <c r="M456" s="567" t="s">
        <v>358</v>
      </c>
      <c r="N456" s="577"/>
      <c r="O456" s="605"/>
      <c r="P456" s="584"/>
    </row>
    <row r="457" spans="1:16" ht="12.75" customHeight="1" x14ac:dyDescent="0.2">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1.253094403087093E-3</v>
      </c>
      <c r="L457" s="298">
        <f t="shared" si="23"/>
        <v>1.253094403087093E-3</v>
      </c>
      <c r="M457" s="567" t="s">
        <v>896</v>
      </c>
      <c r="N457" s="577"/>
      <c r="O457" s="605"/>
      <c r="P457" s="584"/>
    </row>
    <row r="458" spans="1:16" s="386" customFormat="1" ht="12.75" customHeight="1" x14ac:dyDescent="0.2">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2">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2">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2">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3.4309999238090437E-8</v>
      </c>
      <c r="L461" s="298">
        <f t="shared" si="24"/>
        <v>3.4309999238090437E-8</v>
      </c>
      <c r="M461" s="567" t="s">
        <v>358</v>
      </c>
      <c r="N461" s="577"/>
      <c r="O461" s="605"/>
      <c r="P461" s="584"/>
    </row>
    <row r="462" spans="1:16" ht="12.75" customHeight="1" x14ac:dyDescent="0.2">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1.253094403087093E-3</v>
      </c>
      <c r="L462" s="298">
        <f t="shared" si="24"/>
        <v>1.253094403087093E-3</v>
      </c>
      <c r="M462" s="567" t="s">
        <v>896</v>
      </c>
      <c r="N462" s="577"/>
      <c r="O462" s="605"/>
      <c r="P462" s="584"/>
    </row>
    <row r="463" spans="1:16" ht="12.75" customHeight="1" x14ac:dyDescent="0.2">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5.0710625145380868E-9</v>
      </c>
      <c r="L463" s="298">
        <f t="shared" si="24"/>
        <v>5.0710625145380868E-9</v>
      </c>
      <c r="M463" s="567" t="s">
        <v>358</v>
      </c>
      <c r="N463" s="577"/>
      <c r="O463" s="605"/>
      <c r="P463" s="584"/>
    </row>
    <row r="464" spans="1:16" ht="12.75" customHeight="1" x14ac:dyDescent="0.2">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1.1641634722133608E-3</v>
      </c>
      <c r="L464" s="298">
        <f t="shared" si="24"/>
        <v>1.1641634722133608E-3</v>
      </c>
      <c r="M464" s="567" t="s">
        <v>896</v>
      </c>
      <c r="N464" s="577"/>
      <c r="O464" s="605"/>
      <c r="P464" s="584"/>
    </row>
    <row r="465" spans="1:16" ht="12.75" customHeight="1" x14ac:dyDescent="0.2">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2">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2">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2">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2">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2">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2">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2">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2">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2">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2">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2">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2">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2">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2">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2">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2">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2">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2">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2">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2">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2">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2">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2">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2">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2">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2">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2">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2">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2">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2">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2">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2">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2">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2">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2">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2">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2">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2">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2">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2">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2">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2">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2">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2">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2">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2">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2">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2">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2">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2">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2">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2">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2">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2">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2">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2">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2">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2">
      <c r="A523" s="632" t="s">
        <v>1925</v>
      </c>
      <c r="G523" s="632" t="s">
        <v>282</v>
      </c>
      <c r="H523" s="632" t="s">
        <v>297</v>
      </c>
      <c r="I523" s="660" t="s">
        <v>283</v>
      </c>
      <c r="J523" s="640"/>
      <c r="K523" s="660" t="s">
        <v>284</v>
      </c>
      <c r="L523" s="180" t="s">
        <v>285</v>
      </c>
      <c r="N523" s="632" t="s">
        <v>286</v>
      </c>
      <c r="O523" s="395"/>
    </row>
    <row r="524" spans="1:19" s="386" customFormat="1" ht="12.75" customHeight="1" x14ac:dyDescent="0.2">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2">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2">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2">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2">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2">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2">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2">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2">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2">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2">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2">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2">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2">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2">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2">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2">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2">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2">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2">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2">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2">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2">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2">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2">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2">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2">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2">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2">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2">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2">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2">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2">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2">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2">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2">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2">
      <c r="O560" s="19"/>
      <c r="P560" s="11"/>
      <c r="Q560" s="11"/>
      <c r="R560" s="11"/>
      <c r="S560" s="11"/>
    </row>
    <row r="561" spans="15:19" ht="12.75" customHeight="1" x14ac:dyDescent="0.2">
      <c r="O561" s="19"/>
      <c r="P561" s="11"/>
      <c r="Q561" s="11"/>
      <c r="R561" s="11"/>
      <c r="S561" s="11"/>
    </row>
    <row r="562" spans="15:19" ht="12.75" customHeight="1" x14ac:dyDescent="0.2">
      <c r="O562" s="19"/>
      <c r="P562" s="11"/>
      <c r="Q562" s="11"/>
      <c r="R562" s="11"/>
      <c r="S562" s="11"/>
    </row>
    <row r="563" spans="15:19" ht="12.75" customHeight="1" x14ac:dyDescent="0.2">
      <c r="O563" s="19"/>
      <c r="P563" s="11"/>
      <c r="Q563" s="11"/>
      <c r="R563" s="11"/>
      <c r="S563" s="11"/>
    </row>
    <row r="564" spans="15:19" ht="12.75" customHeight="1" x14ac:dyDescent="0.2">
      <c r="O564" s="19"/>
      <c r="P564" s="11"/>
      <c r="Q564" s="11"/>
      <c r="R564" s="11"/>
      <c r="S564" s="11"/>
    </row>
    <row r="565" spans="15:19" ht="12.75" customHeight="1" x14ac:dyDescent="0.2">
      <c r="O565" s="19"/>
      <c r="P565" s="11"/>
      <c r="Q565" s="11"/>
      <c r="R565" s="11"/>
      <c r="S565" s="11"/>
    </row>
    <row r="566" spans="15:19" ht="12.75" customHeight="1" x14ac:dyDescent="0.2">
      <c r="O566" s="19"/>
      <c r="P566" s="11"/>
      <c r="Q566" s="11"/>
      <c r="R566" s="11"/>
      <c r="S566" s="11"/>
    </row>
    <row r="567" spans="15:19" ht="12.75" customHeight="1" x14ac:dyDescent="0.2">
      <c r="O567" s="19"/>
      <c r="P567" s="11"/>
      <c r="Q567" s="11"/>
      <c r="R567" s="11"/>
      <c r="S567" s="11"/>
    </row>
    <row r="568" spans="15:19" ht="12.75" customHeight="1" x14ac:dyDescent="0.2">
      <c r="O568" s="19"/>
      <c r="P568" s="11"/>
      <c r="Q568" s="11"/>
      <c r="R568" s="11"/>
      <c r="S568" s="11"/>
    </row>
    <row r="569" spans="15:19" ht="12.75" customHeight="1" x14ac:dyDescent="0.2">
      <c r="O569" s="19"/>
      <c r="P569" s="11"/>
      <c r="Q569" s="11"/>
      <c r="R569" s="11"/>
      <c r="S569" s="11"/>
    </row>
    <row r="570" spans="15:19" ht="12.75" customHeight="1" x14ac:dyDescent="0.2">
      <c r="O570" s="19"/>
      <c r="P570" s="11"/>
      <c r="Q570" s="11"/>
      <c r="R570" s="11"/>
      <c r="S570" s="11"/>
    </row>
    <row r="571" spans="15:19" ht="12.75" customHeight="1" x14ac:dyDescent="0.2">
      <c r="O571" s="19"/>
      <c r="P571" s="11"/>
      <c r="Q571" s="11"/>
      <c r="R571" s="11"/>
      <c r="S571" s="11"/>
    </row>
    <row r="572" spans="15:19" ht="12.75" customHeight="1" x14ac:dyDescent="0.2">
      <c r="O572" s="19"/>
      <c r="P572" s="11"/>
      <c r="Q572" s="11"/>
      <c r="R572" s="11"/>
      <c r="S572" s="11"/>
    </row>
    <row r="573" spans="15:19" ht="12.75" customHeight="1" x14ac:dyDescent="0.2">
      <c r="O573" s="19"/>
      <c r="P573" s="11"/>
      <c r="Q573" s="11"/>
      <c r="R573" s="11"/>
      <c r="S573" s="11"/>
    </row>
    <row r="574" spans="15:19" ht="12.75" customHeight="1" x14ac:dyDescent="0.2">
      <c r="O574" s="19"/>
      <c r="P574" s="11"/>
      <c r="Q574" s="11"/>
      <c r="R574" s="11"/>
      <c r="S574" s="11"/>
    </row>
    <row r="575" spans="15:19" ht="12.75" customHeight="1" x14ac:dyDescent="0.2">
      <c r="O575" s="19"/>
      <c r="P575" s="11"/>
      <c r="Q575" s="11"/>
      <c r="R575" s="11"/>
      <c r="S575" s="11"/>
    </row>
    <row r="576" spans="15:19" ht="12.75" customHeight="1" x14ac:dyDescent="0.2">
      <c r="O576" s="19"/>
      <c r="P576" s="11"/>
      <c r="Q576" s="11"/>
      <c r="R576" s="11"/>
      <c r="S576" s="11"/>
    </row>
    <row r="577" spans="15:15" ht="12.75" customHeight="1" x14ac:dyDescent="0.2">
      <c r="O577" s="19"/>
    </row>
    <row r="578" spans="15:15" ht="12.75" customHeight="1" x14ac:dyDescent="0.2">
      <c r="O578" s="19"/>
    </row>
    <row r="579" spans="15:15" ht="12.75" customHeight="1" x14ac:dyDescent="0.2">
      <c r="O579" s="19"/>
    </row>
    <row r="580" spans="15:15" ht="12.75" customHeight="1" x14ac:dyDescent="0.2">
      <c r="O580" s="19"/>
    </row>
    <row r="581" spans="15:15" ht="12.75" customHeight="1" x14ac:dyDescent="0.2">
      <c r="O581" s="19"/>
    </row>
    <row r="582" spans="15:15" ht="12.75" customHeight="1" x14ac:dyDescent="0.2">
      <c r="O582" s="19"/>
    </row>
    <row r="583" spans="15:15" ht="12.75" customHeight="1" x14ac:dyDescent="0.2">
      <c r="O583" s="19"/>
    </row>
    <row r="584" spans="15:15" ht="12.75" customHeight="1" x14ac:dyDescent="0.2">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88" transitionEvaluation="1" transitionEntry="1" codeName="Sheet3"/>
  <dimension ref="A1:U565"/>
  <sheetViews>
    <sheetView topLeftCell="A388" zoomScaleNormal="100" workbookViewId="0">
      <selection activeCell="K395" sqref="K395"/>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16384" width="10.7109375" style="26" collapsed="1"/>
  </cols>
  <sheetData>
    <row r="1" spans="1:14" ht="12.75" customHeight="1" x14ac:dyDescent="0.2">
      <c r="A1" s="280" t="s">
        <v>1971</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2">
      <c r="A4" s="17"/>
      <c r="B4" s="17"/>
      <c r="C4" s="38"/>
      <c r="D4" s="38"/>
      <c r="E4" s="17"/>
      <c r="F4" s="17"/>
      <c r="G4" s="17"/>
      <c r="H4" s="17"/>
      <c r="I4" s="283"/>
      <c r="J4" s="278"/>
      <c r="K4" s="296"/>
      <c r="L4" s="296"/>
      <c r="M4" s="17"/>
      <c r="N4" s="17"/>
    </row>
    <row r="5" spans="1:14" ht="12.75" customHeight="1" x14ac:dyDescent="0.2">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2">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2">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2">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2">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2">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2">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2">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2">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2">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2">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2">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2">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2">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2">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2">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2">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2">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2">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2">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2">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2">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2">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2">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2">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2">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2">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2">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2">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2">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2">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2">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2">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2">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2">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2">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2">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2">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2">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2">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2">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2">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2">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2">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2">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2">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2">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2">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2">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2">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2">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2">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2">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2">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2">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2">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2">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2">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2">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2">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2">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25">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25">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2">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2">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2">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2">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2">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2">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2">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2">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2">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2">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2">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2">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2">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2">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2">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2">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2">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2">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2">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2">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2">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2">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2">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2">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2">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2">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2">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2">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2">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2">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2">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2">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2">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2">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2">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2">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2">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2">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2">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2">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2">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2">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2">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2">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2">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2">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2">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2">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2">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2">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2">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2">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2">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2">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2">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2">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2">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2">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2">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2">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2">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2">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2">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2">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2">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2">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2">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2">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2">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2">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2">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2">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2">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2">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2">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2">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2">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2">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2">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2">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2">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2">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2">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2">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2">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2">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2">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2">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2">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2">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2">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2">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2">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2">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2">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2">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2">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2">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2">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2">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2">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2">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2">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2">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2">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2">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2">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2">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2">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2">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2">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2">
      <c r="A197" s="17"/>
      <c r="B197" s="17"/>
      <c r="C197" s="17"/>
      <c r="D197" s="17"/>
      <c r="E197" s="17"/>
      <c r="F197" s="17"/>
      <c r="G197" s="17"/>
      <c r="H197" s="17"/>
      <c r="I197" s="282"/>
      <c r="J197" s="294"/>
      <c r="K197" s="296"/>
      <c r="L197" s="296"/>
      <c r="M197" s="17"/>
      <c r="N197" s="17"/>
    </row>
    <row r="198" spans="1:14" customFormat="1" ht="12.75" customHeight="1" x14ac:dyDescent="0.2">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2">
      <c r="A199" s="38"/>
      <c r="B199" s="17"/>
      <c r="C199" s="17"/>
      <c r="D199" s="17"/>
      <c r="E199" s="17"/>
      <c r="F199" s="17"/>
      <c r="G199" s="17"/>
      <c r="H199" s="17"/>
      <c r="I199" s="282"/>
      <c r="J199" s="294"/>
      <c r="K199" s="296"/>
      <c r="L199" s="296"/>
      <c r="M199" s="17"/>
      <c r="N199" s="17"/>
    </row>
    <row r="200" spans="1:14" ht="12.75" customHeight="1" x14ac:dyDescent="0.2">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2">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2">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2">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2">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2">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2">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2">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2">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2">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2">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2">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2">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2">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2">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2">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2">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2">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2">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2">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2">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2">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2">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2">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2">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2">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2">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2">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2">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2">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2">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2">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2">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2">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2">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2">
      <c r="A236" s="410" t="s">
        <v>1422</v>
      </c>
      <c r="G236" s="654"/>
      <c r="H236" s="654"/>
      <c r="J236" s="656"/>
      <c r="K236" s="657"/>
      <c r="L236" s="658"/>
      <c r="O236" s="417"/>
    </row>
    <row r="237" spans="1:16" customFormat="1" ht="12.75" customHeight="1" x14ac:dyDescent="0.2">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2">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2">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2">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2">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2">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2">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2">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2">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2">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2">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2">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2">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2">
      <c r="A250" s="410" t="s">
        <v>1451</v>
      </c>
      <c r="G250" s="654"/>
      <c r="H250" s="654"/>
      <c r="J250" s="656"/>
      <c r="K250" s="657"/>
      <c r="L250" s="658"/>
      <c r="O250" s="417"/>
    </row>
    <row r="251" spans="1:16" customFormat="1" ht="12.75" customHeight="1" x14ac:dyDescent="0.2">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2">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2">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2">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2">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2">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2">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2">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2">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2">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2">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2">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2">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2">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2">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2">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2">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2">
      <c r="A268" s="410" t="s">
        <v>1488</v>
      </c>
      <c r="G268" s="654"/>
      <c r="H268" s="654"/>
      <c r="J268" s="656"/>
      <c r="K268" s="657"/>
      <c r="L268" s="658"/>
      <c r="O268" s="417"/>
    </row>
    <row r="269" spans="1:16" customFormat="1" ht="12.75" customHeight="1" x14ac:dyDescent="0.2">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2">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2">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2">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2">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2">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2">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2">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2">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2">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2">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2">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2">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2">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2">
      <c r="A283" s="410" t="s">
        <v>1518</v>
      </c>
      <c r="G283" s="172"/>
      <c r="H283" s="172"/>
      <c r="J283" s="273"/>
      <c r="K283" s="335"/>
      <c r="L283" s="332"/>
      <c r="O283" s="176"/>
    </row>
    <row r="284" spans="1:16" customFormat="1" ht="12.75" customHeight="1" x14ac:dyDescent="0.2">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2">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2">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2">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2">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2">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2">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2">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2">
      <c r="A292" s="410" t="s">
        <v>1534</v>
      </c>
      <c r="G292" s="172"/>
      <c r="H292" s="172"/>
      <c r="K292" s="335"/>
      <c r="L292" s="332"/>
      <c r="M292" s="172"/>
      <c r="O292" s="176"/>
    </row>
    <row r="293" spans="1:16" customFormat="1" ht="12.75" customHeight="1" x14ac:dyDescent="0.2">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2">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2">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2">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2">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2">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2">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2">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2">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2">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2">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2">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2">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2">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2">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2">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2">
      <c r="A309" s="410" t="s">
        <v>1572</v>
      </c>
      <c r="G309" s="172"/>
      <c r="H309" s="172"/>
      <c r="J309" s="273"/>
      <c r="K309" s="335"/>
      <c r="L309" s="332"/>
      <c r="M309" s="172"/>
      <c r="O309" s="176"/>
    </row>
    <row r="310" spans="1:16" customFormat="1" ht="12.75" customHeight="1" x14ac:dyDescent="0.2">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2">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2">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2">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2">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2">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2">
      <c r="A316" s="410" t="s">
        <v>1583</v>
      </c>
      <c r="G316" s="172"/>
      <c r="H316" s="172"/>
      <c r="J316" s="273"/>
      <c r="K316" s="335"/>
      <c r="L316" s="332"/>
      <c r="M316" s="172"/>
      <c r="O316" s="176"/>
    </row>
    <row r="317" spans="1:16" customFormat="1" ht="12.75" customHeight="1" x14ac:dyDescent="0.2">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2">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2">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2">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2">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2">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2">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2">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2">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2">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2">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2">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2">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2">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2">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2">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2">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2">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2">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2">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2">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2">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2">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2">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2">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2">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2">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2">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2">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2">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2">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2">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2">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2">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2">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2">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2">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2">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2">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2">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2">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2">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2">
      <c r="G359" s="172"/>
      <c r="H359" s="172"/>
      <c r="J359" s="273"/>
      <c r="K359" s="335"/>
      <c r="L359" s="332"/>
      <c r="O359" s="176"/>
    </row>
    <row r="360" spans="1:16" s="633" customFormat="1" ht="12.75" customHeight="1" x14ac:dyDescent="0.2">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2">
      <c r="A361" s="413" t="s">
        <v>1636</v>
      </c>
      <c r="G361" s="630"/>
      <c r="H361" s="630"/>
      <c r="J361" s="696"/>
      <c r="K361" s="647"/>
      <c r="L361" s="695"/>
      <c r="O361" s="209"/>
    </row>
    <row r="362" spans="1:16" customFormat="1" ht="12.75" customHeight="1" x14ac:dyDescent="0.2">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2">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2">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2">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2">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2">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2">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2">
      <c r="A369" s="413" t="s">
        <v>2379</v>
      </c>
      <c r="K369" s="647"/>
      <c r="L369" s="695"/>
      <c r="O369" s="209"/>
    </row>
    <row r="370" spans="1:16" customFormat="1" ht="12.75" customHeight="1" x14ac:dyDescent="0.2">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2">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2">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2">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2">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2">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2">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2">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2">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2">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2">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2">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2">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2">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2">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2">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2">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2">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2">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2">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18936.747269026804</v>
      </c>
      <c r="L389" s="550">
        <f t="shared" si="19"/>
        <v>18936.747269026804</v>
      </c>
      <c r="M389" s="567" t="s">
        <v>314</v>
      </c>
      <c r="N389" s="566"/>
      <c r="O389" s="604"/>
      <c r="P389" s="566"/>
    </row>
    <row r="390" spans="1:16" customFormat="1" ht="12.75" customHeight="1" x14ac:dyDescent="0.2">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2">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2">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2">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2">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2">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2">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2">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2">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2">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2">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2">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2">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2">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2">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2">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2">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2">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2">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2">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2">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2">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2">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2">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2">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2">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2">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2">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2">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2">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2">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2">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2">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2">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2">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2">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2">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2">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2">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2">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2">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2">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2">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2">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2">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2">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2.7458346350807292E-4</v>
      </c>
      <c r="L435" s="550">
        <f t="shared" si="21"/>
        <v>2.7458346350807292E-4</v>
      </c>
      <c r="M435" s="567" t="s">
        <v>896</v>
      </c>
      <c r="N435" s="566"/>
      <c r="O435" s="604"/>
      <c r="P435" s="566"/>
    </row>
    <row r="436" spans="1:16" customFormat="1" ht="12.75" customHeight="1" x14ac:dyDescent="0.2">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3588.2456859546251</v>
      </c>
      <c r="L436" s="550">
        <f t="shared" si="21"/>
        <v>3588.2456859546251</v>
      </c>
      <c r="M436" s="567" t="s">
        <v>1709</v>
      </c>
      <c r="N436" s="566"/>
      <c r="O436" s="604"/>
      <c r="P436" s="566"/>
    </row>
    <row r="437" spans="1:16" customFormat="1" ht="12.75" customHeight="1" x14ac:dyDescent="0.2">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1.4075475589468128E-3</v>
      </c>
      <c r="L437" s="550">
        <f t="shared" si="21"/>
        <v>1.4075475589468128E-3</v>
      </c>
      <c r="M437" s="567" t="s">
        <v>314</v>
      </c>
      <c r="N437" s="566"/>
      <c r="O437" s="604"/>
      <c r="P437" s="566" t="s">
        <v>1720</v>
      </c>
    </row>
    <row r="438" spans="1:16" customFormat="1" ht="12.75" customHeight="1" x14ac:dyDescent="0.2">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4.0499237605021189E-5</v>
      </c>
      <c r="L438" s="550">
        <f t="shared" si="21"/>
        <v>4.0499237605021189E-5</v>
      </c>
      <c r="M438" s="567" t="s">
        <v>314</v>
      </c>
      <c r="N438" s="566"/>
      <c r="O438" s="604"/>
      <c r="P438" s="566" t="s">
        <v>1720</v>
      </c>
    </row>
    <row r="439" spans="1:16" customFormat="1" ht="12.75" customHeight="1" x14ac:dyDescent="0.2">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1.8730663904199339E-5</v>
      </c>
      <c r="L439" s="550">
        <f t="shared" si="21"/>
        <v>1.8730663904199339E-5</v>
      </c>
      <c r="M439" s="567" t="s">
        <v>314</v>
      </c>
      <c r="N439" s="566"/>
      <c r="O439" s="604"/>
      <c r="P439" s="566" t="s">
        <v>1720</v>
      </c>
    </row>
    <row r="440" spans="1:16" customFormat="1" ht="12.75" customHeight="1" x14ac:dyDescent="0.2">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2">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2">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2">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2">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2">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2">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2">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2">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2">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2">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2">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2">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2">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2">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2">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2">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2">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2">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2">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2">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2">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2">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2">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2">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2">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2">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2">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2">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2">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2">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2">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2">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2">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2">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2">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2">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2">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2">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2">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2">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2">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2">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2">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2">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2">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2">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2">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2">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2">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2">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2">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2">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2">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2">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2">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2">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2">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2">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2">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2">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2">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2">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2">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2">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2">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2">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2">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2">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2">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2">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2">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2">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2">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2">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2">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2">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2">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2">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2">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2">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2">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2">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2">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2">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2">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2">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2">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2">
      <c r="G528" s="650"/>
      <c r="H528" s="650"/>
      <c r="J528" s="652"/>
      <c r="K528" s="469"/>
      <c r="L528" s="653"/>
      <c r="M528" s="650"/>
      <c r="N528"/>
      <c r="O528" s="673"/>
    </row>
    <row r="529" spans="1:20" s="413" customFormat="1" ht="12.75" customHeight="1" x14ac:dyDescent="0.2">
      <c r="A529" s="630" t="s">
        <v>2541</v>
      </c>
      <c r="G529" s="630" t="s">
        <v>282</v>
      </c>
      <c r="H529" s="630" t="s">
        <v>297</v>
      </c>
      <c r="I529" s="413" t="s">
        <v>283</v>
      </c>
      <c r="J529" s="498" t="s">
        <v>298</v>
      </c>
      <c r="K529" s="647" t="s">
        <v>284</v>
      </c>
      <c r="L529" s="648" t="s">
        <v>285</v>
      </c>
      <c r="N529" s="630" t="s">
        <v>286</v>
      </c>
      <c r="O529" s="209"/>
    </row>
    <row r="530" spans="1:20" customFormat="1" ht="12.75" customHeight="1" x14ac:dyDescent="0.2">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2">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2">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2">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2">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2">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2">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2">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2">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2">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2">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2">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2">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2">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2">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2">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2">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2">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2">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2">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2">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2">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2">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2">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2">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2">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2">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2">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2">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2">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2">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2">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2">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2">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2">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2">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E460" transitionEvaluation="1" transitionEntry="1" codeName="Sheet4"/>
  <dimension ref="A1:U972"/>
  <sheetViews>
    <sheetView topLeftCell="E460" zoomScaleNormal="100" workbookViewId="0">
      <selection activeCell="K478" sqref="K478"/>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2578</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2">
      <c r="A4" s="17"/>
      <c r="B4" s="17"/>
      <c r="C4" s="17"/>
      <c r="D4" s="17"/>
      <c r="E4" s="17"/>
      <c r="F4" s="17"/>
      <c r="G4" s="17"/>
      <c r="H4" s="38"/>
      <c r="I4" s="13"/>
      <c r="J4" s="270"/>
      <c r="K4" s="296"/>
      <c r="L4" s="296"/>
      <c r="M4" s="17"/>
      <c r="N4" s="17"/>
    </row>
    <row r="5" spans="1:14" ht="12.75" customHeight="1" x14ac:dyDescent="0.2">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2">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2">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2">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2">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2">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2">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2">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2">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2">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2">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2">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2">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2">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2">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2">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2">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2">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2">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2">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2">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2">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2">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2">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2">
      <c r="A31" s="17"/>
      <c r="B31" s="17"/>
      <c r="C31" s="17"/>
      <c r="D31" s="146"/>
      <c r="E31" s="17"/>
      <c r="F31" s="17"/>
      <c r="G31" s="38"/>
      <c r="H31" s="17"/>
      <c r="I31" s="795"/>
      <c r="J31" s="294"/>
      <c r="K31" s="541"/>
      <c r="L31" s="541"/>
      <c r="M31" s="17"/>
      <c r="N31" s="17"/>
    </row>
    <row r="32" spans="1:14" ht="12.75" customHeight="1" x14ac:dyDescent="0.2">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2">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2">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2">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2">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2">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2">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2">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2">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2">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2">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2">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2">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2">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2">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2">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2">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25">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25">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2">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2">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2">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2">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2">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2">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2">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2">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2">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2">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2">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2">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2">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2">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2">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2">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2">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2">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2">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2">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2">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2">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2">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2">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2">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2">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2">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2">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2">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2">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2">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2">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2">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2">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2">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2">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2">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2">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2">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2">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2">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2">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2">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2">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2">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2">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2">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2">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2">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2">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2">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2">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2">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2">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2">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2">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2">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2">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2">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2">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2">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2">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2">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2">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2">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2">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2">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2">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2">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2">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2">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2">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2">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2">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2">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2">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2">
      <c r="A144" s="487"/>
      <c r="B144" s="487"/>
      <c r="C144" s="487"/>
      <c r="D144" s="487"/>
      <c r="E144" s="487"/>
      <c r="F144" s="487"/>
      <c r="G144" s="487"/>
      <c r="H144" s="650"/>
      <c r="I144" s="678"/>
      <c r="J144" s="640"/>
      <c r="K144" s="653"/>
      <c r="L144" s="653"/>
      <c r="M144" s="487"/>
      <c r="N144" s="487"/>
    </row>
    <row r="145" spans="1:16" s="413" customFormat="1" ht="12.75" customHeight="1" x14ac:dyDescent="0.2">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2">
      <c r="A146" s="410" t="s">
        <v>2795</v>
      </c>
      <c r="G146" s="654"/>
      <c r="H146" s="654"/>
      <c r="J146" s="656"/>
      <c r="K146" s="657"/>
      <c r="L146" s="658"/>
      <c r="O146" s="417"/>
    </row>
    <row r="147" spans="1:16" customFormat="1" ht="12.75" customHeight="1" x14ac:dyDescent="0.2">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2">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2">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2">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2">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2">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2">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2">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2">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2">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2">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2">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2">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2">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2">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2">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2">
      <c r="A163" s="410" t="s">
        <v>2812</v>
      </c>
      <c r="G163" s="654"/>
      <c r="H163" s="654"/>
      <c r="J163" s="656"/>
      <c r="K163" s="657"/>
      <c r="L163" s="658"/>
      <c r="O163" s="417"/>
    </row>
    <row r="164" spans="1:16" customFormat="1" ht="12.75" customHeight="1" x14ac:dyDescent="0.2">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2">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2">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2">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2">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2">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2">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2">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2">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2">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2">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2">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2">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2">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2">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2">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2">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2">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2">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2">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2">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2">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2">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2">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2">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2">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2">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2">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2">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2">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2">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2">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2">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2">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2">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2">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2">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2">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2">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2">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2">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2">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2">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2">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2">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2">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2">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2">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2">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2">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2">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2">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2">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2">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2">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2">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2">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2">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2">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2">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2">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2">
      <c r="G225" s="172"/>
      <c r="H225" s="172"/>
      <c r="J225" s="273"/>
      <c r="K225" s="335"/>
      <c r="L225" s="332"/>
      <c r="O225" s="176"/>
    </row>
    <row r="226" spans="1:16" s="633" customFormat="1" ht="12.75" customHeight="1" x14ac:dyDescent="0.2">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2">
      <c r="A227" t="s">
        <v>2880</v>
      </c>
      <c r="G227" s="172"/>
      <c r="H227" s="172"/>
      <c r="J227" s="273"/>
      <c r="K227" s="335"/>
      <c r="L227" s="332"/>
      <c r="O227" s="176"/>
    </row>
    <row r="228" spans="1:16" customFormat="1" ht="12.75" customHeight="1" x14ac:dyDescent="0.2">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2">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2">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2">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2">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2">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2">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2">
      <c r="A235" t="s">
        <v>2888</v>
      </c>
      <c r="J235" s="294" t="str">
        <f>IF(ISBLANK(HLOOKUP(CaseName,CaseData,MATCH($G235,cases!$G$4:$G$2494,0),FALSE)),"",HLOOKUP(CaseName,CaseData,MATCH($G235,cases!$G$4:$G$2494,0),FALSE))</f>
        <v/>
      </c>
      <c r="K235" s="335"/>
      <c r="L235" s="332"/>
      <c r="O235" s="176"/>
    </row>
    <row r="236" spans="1:16" customFormat="1" ht="12.75" customHeight="1" x14ac:dyDescent="0.2">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2">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2">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2">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2">
      <c r="A240" t="s">
        <v>2893</v>
      </c>
      <c r="J240" s="294" t="str">
        <f>IF(ISBLANK(HLOOKUP(CaseName,CaseData,MATCH($G240,cases!$G$4:$G$2494,0),FALSE)),"",HLOOKUP(CaseName,CaseData,MATCH($G240,cases!$G$4:$G$2494,0),FALSE))</f>
        <v/>
      </c>
      <c r="K240" s="437"/>
      <c r="L240" s="332"/>
      <c r="O240" s="176"/>
    </row>
    <row r="241" spans="1:16" customFormat="1" ht="12.75" customHeight="1" x14ac:dyDescent="0.2">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2">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2">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2">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2">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2">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2">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2">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2">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2">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2">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2">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2">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2">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2">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2">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2">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2">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2">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2">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2">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2">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2">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2">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2">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2">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2">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2">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2">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2">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2">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2">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2">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2">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2">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2">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2">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2">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2">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2">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2">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2">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2">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2">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2">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2">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2">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2">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2">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2">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2">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2">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2">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2">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2">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2">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2">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2">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2">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2">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2">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2">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2">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2">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2">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2">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2">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2">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2">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2">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2">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2">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2">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2">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2">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2">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2">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2">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2">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2">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2">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2">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2">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2">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2">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2">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2">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2">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2">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2">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2">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2">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2">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2">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2">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2">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2">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2">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2">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2">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2">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2">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2">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2">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2">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2">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2">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2">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2">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2">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2">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2">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2">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2">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2">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2">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2">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2">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2">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2">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2">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2">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2">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2">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2">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2">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2">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25">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25">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2">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2">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2">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2">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2">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2">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2">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2">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2">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2">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2">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2">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2">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2">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2">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2">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2">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2">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2">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2">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2">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2">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2">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2">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2">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2">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2">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2">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2">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2">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2">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2">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2">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2">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2">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2">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2">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2">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2">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2">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2">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2">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2">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2">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2">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2">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2">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2">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2">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2">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2">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2">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2">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2">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2">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2">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2">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2">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2">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2">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2">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2">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2">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2">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2">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2">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2">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2">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2">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2">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2">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2">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2">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2">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2">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2">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2">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2">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2">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2">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2">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2">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2">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2">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2">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2">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2">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2">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2">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2">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2">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2">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2">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2">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2">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2">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2">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2">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2">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2">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2">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2">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2">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2">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2">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2">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2">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2">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2">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2">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2">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2">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2">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2">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2">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2">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2">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2">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2">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2">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2">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2">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2">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2">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2">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2">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2">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2">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2">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2">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2">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2">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2">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2">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2">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2">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2">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2">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2">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2">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2">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2">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2">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2">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2">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2">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2">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2">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2">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2">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2">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2">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2">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2">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2">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2">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2">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2">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2">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2">
      <c r="G546" s="172"/>
      <c r="H546" s="172"/>
      <c r="J546" s="273"/>
      <c r="K546" s="335"/>
      <c r="L546" s="332"/>
      <c r="O546" s="176"/>
    </row>
    <row r="547" spans="1:16" s="633" customFormat="1" ht="12.75" customHeight="1" x14ac:dyDescent="0.2">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2">
      <c r="A548" t="s">
        <v>3226</v>
      </c>
      <c r="G548" s="172"/>
      <c r="H548" s="172"/>
      <c r="J548" s="273"/>
      <c r="K548" s="335"/>
      <c r="L548" s="332"/>
      <c r="O548" s="176"/>
    </row>
    <row r="549" spans="1:16" customFormat="1" ht="12.75" customHeight="1" x14ac:dyDescent="0.2">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2">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2">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2">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2">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2">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2">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2">
      <c r="A556" t="s">
        <v>3234</v>
      </c>
      <c r="J556" s="294" t="str">
        <f>IF(ISBLANK(HLOOKUP(CaseName,CaseData,MATCH($G556,cases!$G$4:$G$2494,0),FALSE)),"",HLOOKUP(CaseName,CaseData,MATCH($G556,cases!$G$4:$G$2494,0),FALSE))</f>
        <v/>
      </c>
      <c r="K556" s="335"/>
      <c r="L556" s="332"/>
      <c r="O556" s="176"/>
    </row>
    <row r="557" spans="1:16" customFormat="1" ht="12.75" customHeight="1" x14ac:dyDescent="0.2">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2">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2">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2">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2">
      <c r="A561" t="s">
        <v>3239</v>
      </c>
      <c r="J561" s="294" t="str">
        <f>IF(ISBLANK(HLOOKUP(CaseName,CaseData,MATCH($G561,cases!$G$4:$G$2494,0),FALSE)),"",HLOOKUP(CaseName,CaseData,MATCH($G561,cases!$G$4:$G$2494,0),FALSE))</f>
        <v/>
      </c>
      <c r="K561" s="437"/>
      <c r="L561" s="332"/>
      <c r="O561" s="176"/>
    </row>
    <row r="562" spans="1:17" customFormat="1" ht="12.75" customHeight="1" x14ac:dyDescent="0.2">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2">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2">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2">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2">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2">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2">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2">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2">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2">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2">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2">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2">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2">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2">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2">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2">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2">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2">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2">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2">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2">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2">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2">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2">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2">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2">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2">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2">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2">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2">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2">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2">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2">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2">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2">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2">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2">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2">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2">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2">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2">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2">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2">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2">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2">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2">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2">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2">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2">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2">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2">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2">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2">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2">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2">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2">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2">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2">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2">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2">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2">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2">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2">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2">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2">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2">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2">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2">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2">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2">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2">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2">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2">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2">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2">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2">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2">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2">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2">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2">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2">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2">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2">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2">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2">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2">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2">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2">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2">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2">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2">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2">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2">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2">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2">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2">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2">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2">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2">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2">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2">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2">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2">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2">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2">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2">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2">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2">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2">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2">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2">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2">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2">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2">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2">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2">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2">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2">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2">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2">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2">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2">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2">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25">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25">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2">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2">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2">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2">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2">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2">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2">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2">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2">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2">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2">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2">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2">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2">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2">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2">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2">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2">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2">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2">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2">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2">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2">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2">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2">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2">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2">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2">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2">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2">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2">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2">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2">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2">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2">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2">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2">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2">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2">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2">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2">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2">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2">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2">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2">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2">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2">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2">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2">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2">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2">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2">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2">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2">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2">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2">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2">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2">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2">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2">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2">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2">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2">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2">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2">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2">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2">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2">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2">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2">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2">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2">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2">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2">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2">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2">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2">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2">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2">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2">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2">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2">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2">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2">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2">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2">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2">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2">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2">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2">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2">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2">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2">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2">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2">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2">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2">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2">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2">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2">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2">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2">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2">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2">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2">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2">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2">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2">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2">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2">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2">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2">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2">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2">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2">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2">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2">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2">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2">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2">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2">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2">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2">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2">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2">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2">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2">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2">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2">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2">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2">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2">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2">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2">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2">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2">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2">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2">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2">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2">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2">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2">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2">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2">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2">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2">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2">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2">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2">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2">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2">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2">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2">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2">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2">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2">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2">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2">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2">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2">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2">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2">
      <c r="G868" s="172"/>
      <c r="H868" s="172"/>
      <c r="J868" s="294"/>
      <c r="K868" s="335"/>
      <c r="L868" s="332"/>
      <c r="O868" s="176"/>
    </row>
    <row r="869" spans="1:16" s="633" customFormat="1" ht="12.75" customHeight="1" x14ac:dyDescent="0.2">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2">
      <c r="A870" t="s">
        <v>3535</v>
      </c>
      <c r="G870" s="172"/>
      <c r="H870" s="172"/>
      <c r="J870" s="294"/>
      <c r="K870" s="335"/>
      <c r="L870" s="332"/>
      <c r="O870" s="176"/>
    </row>
    <row r="871" spans="1:16" customFormat="1" ht="12.75" customHeight="1" x14ac:dyDescent="0.2">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2">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2">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2">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2">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2">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2">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2">
      <c r="A878" t="s">
        <v>3544</v>
      </c>
      <c r="J878" s="294" t="str">
        <f>IF(ISBLANK(HLOOKUP(CaseName,CaseData,MATCH($G878,cases!$G$4:$G$2494,0),FALSE)),"",HLOOKUP(CaseName,CaseData,MATCH($G878,cases!$G$4:$G$2494,0),FALSE))</f>
        <v/>
      </c>
      <c r="K878" s="335"/>
      <c r="L878" s="332"/>
      <c r="O878" s="176"/>
    </row>
    <row r="879" spans="1:16" customFormat="1" ht="12.75" customHeight="1" x14ac:dyDescent="0.2">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2">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2">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2">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2">
      <c r="A883" t="s">
        <v>3549</v>
      </c>
      <c r="J883" s="294" t="str">
        <f>IF(ISBLANK(HLOOKUP(CaseName,CaseData,MATCH($G883,cases!$G$4:$G$2494,0),FALSE)),"",HLOOKUP(CaseName,CaseData,MATCH($G883,cases!$G$4:$G$2494,0),FALSE))</f>
        <v/>
      </c>
      <c r="K883" s="437"/>
      <c r="L883" s="332"/>
      <c r="O883" s="176"/>
    </row>
    <row r="884" spans="1:16" customFormat="1" ht="12.75" customHeight="1" x14ac:dyDescent="0.2">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2">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2">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2">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2">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2">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2">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2">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2">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2">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2">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2">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2">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2">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2">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2">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2">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2">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2">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2">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2">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2">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2">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2">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2">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2">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2">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2">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2">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2">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2">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2">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2">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2">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2">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2">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2">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2">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2">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2">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2">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2">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2">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2">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2">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2">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2">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2">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2">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2">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2">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2">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2">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2">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2">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2">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2">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2">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2">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2">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2">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2">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2">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2">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2">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2">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2">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2">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2">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2">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2">
      <c r="A954" s="172" t="s">
        <v>3620</v>
      </c>
      <c r="G954" s="172"/>
      <c r="H954" s="172"/>
      <c r="J954" s="418"/>
      <c r="K954" s="335"/>
      <c r="L954" s="185"/>
      <c r="N954" s="172"/>
      <c r="O954" s="176"/>
    </row>
    <row r="955" spans="1:20" customFormat="1" ht="12.75" customHeight="1" x14ac:dyDescent="0.2">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2">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2">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2">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2">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2">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2">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2">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2">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2">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2">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2">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2">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2">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2">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2">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2">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2">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3638</v>
      </c>
    </row>
    <row r="2" spans="2:160" ht="12.75" customHeight="1" x14ac:dyDescent="0.2">
      <c r="B2" s="100"/>
    </row>
    <row r="3" spans="2:160" ht="12.75" customHeight="1" x14ac:dyDescent="0.2">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2">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2">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3955</v>
      </c>
      <c r="C10" s="397"/>
      <c r="D10" s="185">
        <v>0</v>
      </c>
      <c r="E10" s="189">
        <f>-SUM(E9,E11:E163)-k.aRS</f>
        <v>-5.2829935429202704E-5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3956</v>
      </c>
      <c r="C11" s="397"/>
      <c r="D11" s="185">
        <v>0</v>
      </c>
      <c r="E11" s="185">
        <f>k.aRS.aRA</f>
        <v>3.8851272047932112E-5</v>
      </c>
      <c r="F11" s="189">
        <f>-SUM(F$9:F10,F12:F$163)-k.aRA</f>
        <v>-9.9019300206454925E-6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3961</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3962</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3963</v>
      </c>
      <c r="C18" s="336"/>
      <c r="D18" s="185">
        <v>0</v>
      </c>
      <c r="E18" s="185">
        <v>0</v>
      </c>
      <c r="F18" s="185">
        <f>k.aRA.w0RA</f>
        <v>3.1190908398264028E-9</v>
      </c>
      <c r="G18" s="184">
        <v>0</v>
      </c>
      <c r="H18" s="185">
        <v>0</v>
      </c>
      <c r="I18" s="185">
        <f>k.cwRA.w0RA</f>
        <v>1.8416810158380553E-7</v>
      </c>
      <c r="J18" s="185">
        <v>0</v>
      </c>
      <c r="K18" s="370">
        <v>0</v>
      </c>
      <c r="L18" s="184">
        <f>k.w0RS.w0RA</f>
        <v>5.250453258991406E-4</v>
      </c>
      <c r="M18" s="189">
        <f>-SUM(M$9:M17,M19:M$163)-k.w0RA</f>
        <v>-1.348879264915562E-7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-4.2850146005063029E-7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3967</v>
      </c>
      <c r="C22" s="336"/>
      <c r="D22" s="337">
        <v>0</v>
      </c>
      <c r="E22" s="185">
        <v>0</v>
      </c>
      <c r="F22" s="185">
        <f>k.aRA.w1RA</f>
        <v>3.4309999238090437E-8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8.9277819513144377E-9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3971</v>
      </c>
      <c r="C26" s="336"/>
      <c r="D26" s="185">
        <v>0</v>
      </c>
      <c r="E26" s="185">
        <v>0</v>
      </c>
      <c r="F26" s="185">
        <f>k.aRA.w2RA</f>
        <v>5.0710625145380868E-9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-7.9198064291252229E-3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-9.1241029038128738E-3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-9.8420751929050028E-9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-1.3577110855306829E-2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3987</v>
      </c>
      <c r="C42" s="336"/>
      <c r="D42" s="185">
        <v>0</v>
      </c>
      <c r="E42" s="185">
        <v>0</v>
      </c>
      <c r="F42" s="185">
        <f>k.aRA.s1RA</f>
        <v>7.3506754231704942E-8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-4.8700241770746057E-6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3991</v>
      </c>
      <c r="C46" s="336"/>
      <c r="D46" s="185">
        <v>0</v>
      </c>
      <c r="E46" s="185">
        <v>0</v>
      </c>
      <c r="F46" s="185">
        <f>k.aRA.s2RA</f>
        <v>1.6334834273712207E-7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-4.8700110018801633E-6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3995</v>
      </c>
      <c r="C50" s="336"/>
      <c r="D50" s="185">
        <v>0</v>
      </c>
      <c r="E50" s="185">
        <v>0</v>
      </c>
      <c r="F50" s="185">
        <f>k.aRA.s3RA</f>
        <v>2.7224723789520348E-8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-4.8700241770746057E-6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-4.5631383940278208E-5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-7.9198064079853622E-3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-9.1241029038128738E-3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-1.6141041916167664E-7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-1.6141041916167664E-7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-1.3577110855306829E-2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-1.1809803473053893E-5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-1.1809803473053893E-5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-4.8700241770746057E-6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-4.8700110018801633E-6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-4.8700241770746057E-6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-4.5054695685952184E-5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-2.0597243944862911E-6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-3.0290546628252472E-3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1.1800000000000001E-5</v>
      </c>
      <c r="CY106" s="379">
        <f>kdis.w3A.w3D</f>
        <v>1.1800000000000001E-5</v>
      </c>
      <c r="CZ106" s="379">
        <f>kdis.w3P.w3D</f>
        <v>1.1800000000000001E-5</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-3.0287703962861498E-3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-1.1809609223027003E-5</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-1.3577110855306829E-2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-1.1809803473053893E-5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-1.1809803473053893E-5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-4.8700241770746057E-6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-4.3338052032565211E-5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-1.5815622518261284E-6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-2.7979202172601849E-3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1.1800000000000001E-5</v>
      </c>
      <c r="DV129" s="379">
        <f>kdis.w3A.w3D</f>
        <v>1.1800000000000001E-5</v>
      </c>
      <c r="DW129" s="379">
        <f>kdis.w3P.w3D</f>
        <v>1.1800000000000001E-5</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-2.7976618871833323E-3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-1.181095251451596E-5</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-1.2723905244654917E-2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-1.1809803473053893E-5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-1.1809803473053893E-5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-4.8700241770746057E-6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2">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-4.5353760247864239E-5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-1.5485282038561885E-6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2">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-3.1655697723489114E-3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2">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1.1800000000000001E-5</v>
      </c>
      <c r="ES152" s="379">
        <f>kdis.w3A.w3D</f>
        <v>1.1800000000000001E-5</v>
      </c>
      <c r="ET152" s="379">
        <f>kdis.w3P.w3D</f>
        <v>1.1800000000000001E-5</v>
      </c>
      <c r="EU152" s="190">
        <f>k.sdT.w3T</f>
        <v>9.8399612067686899E-9</v>
      </c>
      <c r="EV152" s="190">
        <v>0</v>
      </c>
      <c r="EW152" s="190">
        <v>0</v>
      </c>
      <c r="EX152" s="190">
        <v>0</v>
      </c>
      <c r="EY152" s="190">
        <v>0</v>
      </c>
      <c r="EZ152" s="190">
        <v>0</v>
      </c>
      <c r="FA152" s="190">
        <v>0</v>
      </c>
      <c r="FB152" s="191">
        <v>0</v>
      </c>
    </row>
    <row r="153" spans="2:158" ht="12.75" customHeight="1" x14ac:dyDescent="0.2">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-3.1653332910115549E-3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2">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-1.1807591169978146E-5</v>
      </c>
      <c r="ET154" s="360">
        <v>0</v>
      </c>
      <c r="EU154" s="185">
        <v>0</v>
      </c>
      <c r="EV154" s="185">
        <v>0</v>
      </c>
      <c r="EW154" s="185">
        <f>k.sdTA.w3TA</f>
        <v>9.8013590677599688E-9</v>
      </c>
      <c r="EX154" s="185">
        <v>0</v>
      </c>
      <c r="EY154" s="190">
        <v>0</v>
      </c>
      <c r="EZ154" s="190">
        <v>0</v>
      </c>
      <c r="FA154" s="190">
        <v>0</v>
      </c>
      <c r="FB154" s="191">
        <v>0</v>
      </c>
    </row>
    <row r="155" spans="2:158" ht="12.75" customHeight="1" x14ac:dyDescent="0.2">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9.8013590677599688E-9</v>
      </c>
      <c r="EY155" s="190">
        <v>0</v>
      </c>
      <c r="EZ155" s="190">
        <v>0</v>
      </c>
      <c r="FA155" s="190">
        <v>0</v>
      </c>
      <c r="FB155" s="191">
        <v>0</v>
      </c>
    </row>
    <row r="156" spans="2:158" ht="12.75" customHeight="1" x14ac:dyDescent="0.2">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2">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-1.4076421501660935E-2</v>
      </c>
      <c r="EW157" s="185">
        <v>0</v>
      </c>
      <c r="EX157" s="360">
        <v>0</v>
      </c>
      <c r="EY157" s="190">
        <v>0</v>
      </c>
      <c r="EZ157" s="190">
        <v>0</v>
      </c>
      <c r="FA157" s="190">
        <v>0</v>
      </c>
      <c r="FB157" s="191">
        <v>0</v>
      </c>
    </row>
    <row r="158" spans="2:158" ht="12.75" customHeight="1" x14ac:dyDescent="0.2">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-1.1809802627459439E-5</v>
      </c>
      <c r="EX158" s="360">
        <v>0</v>
      </c>
      <c r="EY158" s="185">
        <v>0</v>
      </c>
      <c r="EZ158" s="190">
        <v>0</v>
      </c>
      <c r="FA158" s="190">
        <v>0</v>
      </c>
      <c r="FB158" s="191">
        <v>0</v>
      </c>
    </row>
    <row r="159" spans="2:158" ht="12.75" customHeight="1" x14ac:dyDescent="0.2">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-1.1809802627459439E-5</v>
      </c>
      <c r="EY159" s="185">
        <v>0</v>
      </c>
      <c r="EZ159" s="185">
        <v>0</v>
      </c>
      <c r="FA159" s="190">
        <v>0</v>
      </c>
      <c r="FB159" s="191">
        <v>0</v>
      </c>
    </row>
    <row r="160" spans="2:158" ht="12.75" customHeight="1" x14ac:dyDescent="0.2">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2">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-3.2222180661004379E-2</v>
      </c>
      <c r="FA161" s="185">
        <v>0</v>
      </c>
      <c r="FB161" s="192">
        <v>0</v>
      </c>
    </row>
    <row r="162" spans="2:160" ht="12.75" customHeight="1" x14ac:dyDescent="0.2">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2">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-4.8700241770746057E-6</v>
      </c>
    </row>
    <row r="164" spans="2:160" ht="12.75" customHeight="1" x14ac:dyDescent="0.2">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2">
      <c r="B168" s="188" t="s">
        <v>4110</v>
      </c>
      <c r="C168" s="336">
        <f>SUM(D168:FB168)</f>
        <v>948258555934.63501</v>
      </c>
      <c r="D168" s="185">
        <f t="array" ref="D168:FB168">TRANSPOSE(MMULT(MINVERSE(D9:FB163),-TRANSPOSE(D5:FB5)))</f>
        <v>8.3083237070094042E-14</v>
      </c>
      <c r="E168" s="185">
        <v>55708.665958978097</v>
      </c>
      <c r="F168" s="185">
        <v>252881.20075532928</v>
      </c>
      <c r="G168" s="185">
        <v>101.56336386270431</v>
      </c>
      <c r="H168" s="185">
        <v>730.27313267632428</v>
      </c>
      <c r="I168" s="185">
        <v>597.57094457613152</v>
      </c>
      <c r="J168" s="185">
        <v>101.56333339369512</v>
      </c>
      <c r="K168" s="185">
        <v>17445432.526332837</v>
      </c>
      <c r="L168" s="185">
        <v>1.8737264467094707</v>
      </c>
      <c r="M168" s="185">
        <v>35417.60427961027</v>
      </c>
      <c r="N168" s="185">
        <v>61.607476029218709</v>
      </c>
      <c r="O168" s="185">
        <v>8014944.0643890947</v>
      </c>
      <c r="P168" s="185">
        <v>2075.1213747503302</v>
      </c>
      <c r="Q168" s="185">
        <v>10968806.247997381</v>
      </c>
      <c r="R168" s="185">
        <v>71150.684509241575</v>
      </c>
      <c r="S168" s="185">
        <v>902403.22305698553</v>
      </c>
      <c r="T168" s="185">
        <v>0.48657105320648769</v>
      </c>
      <c r="U168" s="185">
        <v>60702.526846344539</v>
      </c>
      <c r="V168" s="185">
        <v>324.40394683297643</v>
      </c>
      <c r="W168" s="185">
        <v>80723297.834108174</v>
      </c>
      <c r="X168" s="185">
        <v>1.2227436793841575E-9</v>
      </c>
      <c r="Y168" s="185">
        <v>128.82742703689638</v>
      </c>
      <c r="Z168" s="185">
        <v>134.31911022480998</v>
      </c>
      <c r="AA168" s="185">
        <v>1593360260.9983883</v>
      </c>
      <c r="AB168" s="185">
        <v>3.9181032942974157E-5</v>
      </c>
      <c r="AC168" s="185">
        <v>1111457.643365952</v>
      </c>
      <c r="AD168" s="185">
        <v>4321431.7296710601</v>
      </c>
      <c r="AE168" s="185">
        <v>87164699.729111746</v>
      </c>
      <c r="AF168" s="185">
        <v>1.852177957544627E-9</v>
      </c>
      <c r="AG168" s="185">
        <v>25.220301431942399</v>
      </c>
      <c r="AH168" s="185">
        <v>80.78759720189143</v>
      </c>
      <c r="AI168" s="185">
        <v>3253692406.3712153</v>
      </c>
      <c r="AJ168" s="185">
        <v>2.0896587963930893</v>
      </c>
      <c r="AK168" s="185">
        <v>15973.800586354229</v>
      </c>
      <c r="AL168" s="185">
        <v>3505.4471123602962</v>
      </c>
      <c r="AM168" s="185">
        <v>235409999941.13275</v>
      </c>
      <c r="AN168" s="185">
        <v>159.50950431699442</v>
      </c>
      <c r="AO168" s="185">
        <v>493127.00033160951</v>
      </c>
      <c r="AP168" s="185">
        <v>148115.53494864691</v>
      </c>
      <c r="AQ168" s="185">
        <v>1205070580.2584846</v>
      </c>
      <c r="AR168" s="185">
        <v>1.3757336053522007</v>
      </c>
      <c r="AS168" s="185">
        <v>5915.7605893749087</v>
      </c>
      <c r="AT168" s="185">
        <v>1298.1697298158513</v>
      </c>
      <c r="AU168" s="185">
        <v>3.3173156361538503E-13</v>
      </c>
      <c r="AV168" s="185">
        <v>11501.488396109789</v>
      </c>
      <c r="AW168" s="185">
        <v>1130728.3912079374</v>
      </c>
      <c r="AX168" s="185">
        <v>35.536638756348921</v>
      </c>
      <c r="AY168" s="185">
        <v>150.77058150436392</v>
      </c>
      <c r="AZ168" s="185">
        <v>2671.9678282725695</v>
      </c>
      <c r="BA168" s="185">
        <v>35.536628095357301</v>
      </c>
      <c r="BB168" s="185">
        <v>1514142.7576187989</v>
      </c>
      <c r="BC168" s="185">
        <v>0.18797369703844685</v>
      </c>
      <c r="BD168" s="185">
        <v>18209.523001152847</v>
      </c>
      <c r="BE168" s="185">
        <v>9.2404734073205912</v>
      </c>
      <c r="BF168" s="185">
        <v>406350.34766059113</v>
      </c>
      <c r="BG168" s="185">
        <v>0.76939382727463657</v>
      </c>
      <c r="BH168" s="185">
        <v>122985.42493423847</v>
      </c>
      <c r="BI168" s="185">
        <v>30.606425656992243</v>
      </c>
      <c r="BJ168" s="185">
        <v>737408227.57399392</v>
      </c>
      <c r="BK168" s="185">
        <v>10.684107214949877</v>
      </c>
      <c r="BL168" s="185">
        <v>76549.737015889856</v>
      </c>
      <c r="BM168" s="185">
        <v>195.7619596036518</v>
      </c>
      <c r="BN168" s="185">
        <v>7060672.7304759203</v>
      </c>
      <c r="BO168" s="185">
        <v>1.2266659893784351E-10</v>
      </c>
      <c r="BP168" s="185">
        <v>66.245405145921993</v>
      </c>
      <c r="BQ168" s="185">
        <v>20.149608357580863</v>
      </c>
      <c r="BR168" s="185">
        <v>79611479.472523138</v>
      </c>
      <c r="BS168" s="185">
        <v>1.4527171884678554E-8</v>
      </c>
      <c r="BT168" s="185">
        <v>12461.978304801378</v>
      </c>
      <c r="BU168" s="185">
        <v>1858.9219883324672</v>
      </c>
      <c r="BV168" s="185">
        <v>3556189198.6096106</v>
      </c>
      <c r="BW168" s="185">
        <v>2.0335023784466482E-9</v>
      </c>
      <c r="BX168" s="185">
        <v>1.5902209605460447</v>
      </c>
      <c r="BY168" s="185">
        <v>2.4375700091241321</v>
      </c>
      <c r="BZ168" s="185">
        <v>2443455881.674737</v>
      </c>
      <c r="CA168" s="185">
        <v>0.20980834905053894</v>
      </c>
      <c r="CB168" s="185">
        <v>14248.588509321773</v>
      </c>
      <c r="CC168" s="185">
        <v>381.28418671356161</v>
      </c>
      <c r="CD168" s="185">
        <v>12114682833.506554</v>
      </c>
      <c r="CE168" s="185">
        <v>0.74591569179477324</v>
      </c>
      <c r="CF168" s="185">
        <v>32159.886356905674</v>
      </c>
      <c r="CG168" s="185">
        <v>847.23631102580191</v>
      </c>
      <c r="CH168" s="185">
        <v>904983591.46878576</v>
      </c>
      <c r="CI168" s="185">
        <v>0.13812800298809849</v>
      </c>
      <c r="CJ168" s="185">
        <v>5277.2086322509322</v>
      </c>
      <c r="CK168" s="185">
        <v>141.20190583772231</v>
      </c>
      <c r="CL168" s="185">
        <v>1.6568959986171936E-11</v>
      </c>
      <c r="CM168" s="185">
        <v>352.83286308096723</v>
      </c>
      <c r="CN168" s="185">
        <v>914248.27746784687</v>
      </c>
      <c r="CO168" s="185">
        <v>1.3572768142546312</v>
      </c>
      <c r="CP168" s="185">
        <v>4.6252114603323937</v>
      </c>
      <c r="CQ168" s="185">
        <v>2160.4144756974347</v>
      </c>
      <c r="CR168" s="185">
        <v>1.3572764070715873</v>
      </c>
      <c r="CS168" s="185">
        <v>4030435256.0719776</v>
      </c>
      <c r="CT168" s="185">
        <v>0.31779325308795425</v>
      </c>
      <c r="CU168" s="185">
        <v>51456.580266208322</v>
      </c>
      <c r="CV168" s="185">
        <v>5.8669237539496466</v>
      </c>
      <c r="CW168" s="185">
        <v>120917197546.97035</v>
      </c>
      <c r="CX168" s="185">
        <v>2.6138565645455696E-5</v>
      </c>
      <c r="CY168" s="185">
        <v>1087.6212863476405</v>
      </c>
      <c r="CZ168" s="185">
        <v>0.26975133687586617</v>
      </c>
      <c r="DA168" s="185">
        <v>38875241860.207794</v>
      </c>
      <c r="DB168" s="185">
        <v>3.3166293536030927E-16</v>
      </c>
      <c r="DC168" s="185">
        <v>1.50625995883353E-3</v>
      </c>
      <c r="DD168" s="185">
        <v>2.2392413593086337E-4</v>
      </c>
      <c r="DE168" s="185">
        <v>6873292154.5308971</v>
      </c>
      <c r="DF168" s="185">
        <v>2.461635779646431E-2</v>
      </c>
      <c r="DG168" s="185">
        <v>41106.712116112925</v>
      </c>
      <c r="DH168" s="185">
        <v>46.791780842787723</v>
      </c>
      <c r="DI168" s="185">
        <v>7.2161699050095541E-13</v>
      </c>
      <c r="DJ168" s="185">
        <v>3.0882237593459276</v>
      </c>
      <c r="DK168" s="185">
        <v>219347.9895858923</v>
      </c>
      <c r="DL168" s="185">
        <v>3.4067828503269004E-2</v>
      </c>
      <c r="DM168" s="185">
        <v>7.4249672856660801E-2</v>
      </c>
      <c r="DN168" s="185">
        <v>905.30726082292267</v>
      </c>
      <c r="DO168" s="185">
        <v>3.4067818282920451E-2</v>
      </c>
      <c r="DP168" s="185">
        <v>3231893257.0797048</v>
      </c>
      <c r="DQ168" s="185">
        <v>3.3478397599989045E-3</v>
      </c>
      <c r="DR168" s="185">
        <v>13665.352648824668</v>
      </c>
      <c r="DS168" s="185">
        <v>7.6390057609353537E-2</v>
      </c>
      <c r="DT168" s="185">
        <v>79568447329.868484</v>
      </c>
      <c r="DU168" s="185">
        <v>3.2221934723741507E-7</v>
      </c>
      <c r="DV168" s="185">
        <v>312.10487099641443</v>
      </c>
      <c r="DW168" s="185">
        <v>3.6419591459288829E-3</v>
      </c>
      <c r="DX168" s="185">
        <v>25581494585.06358</v>
      </c>
      <c r="DY168" s="185">
        <v>4.3626838219238797E-18</v>
      </c>
      <c r="DZ168" s="185">
        <v>4.3223783497994372E-4</v>
      </c>
      <c r="EA168" s="185">
        <v>3.0232382320442379E-6</v>
      </c>
      <c r="EB168" s="185">
        <v>1234222219.7410717</v>
      </c>
      <c r="EC168" s="185">
        <v>1.6547949300501415E-4</v>
      </c>
      <c r="ED168" s="185">
        <v>6577.8932078424641</v>
      </c>
      <c r="EE168" s="185">
        <v>0.30838990410027073</v>
      </c>
      <c r="EF168" s="185">
        <v>3.6970460325259002E-10</v>
      </c>
      <c r="EG168" s="185">
        <v>5.1112305861654548</v>
      </c>
      <c r="EH168" s="185">
        <v>388025.41669735755</v>
      </c>
      <c r="EI168" s="185">
        <v>1.2302272379780179E-2</v>
      </c>
      <c r="EJ168" s="185">
        <v>4.650161304282046E-2</v>
      </c>
      <c r="EK168" s="185">
        <v>655.7666413884242</v>
      </c>
      <c r="EL168" s="185">
        <v>1.2302268689098464E-2</v>
      </c>
      <c r="EM168" s="185">
        <v>9289177927.276413</v>
      </c>
      <c r="EN168" s="185">
        <v>6.5261984373529685E-3</v>
      </c>
      <c r="EO168" s="185">
        <v>32269.468635966859</v>
      </c>
      <c r="EP168" s="185">
        <v>0.12321147254261243</v>
      </c>
      <c r="EQ168" s="185">
        <v>299228052179.52264</v>
      </c>
      <c r="ER168" s="185">
        <v>4.6854771782222629E-7</v>
      </c>
      <c r="ES168" s="185">
        <v>622.50581823173161</v>
      </c>
      <c r="ET168" s="185">
        <v>5.4671592632091724E-3</v>
      </c>
      <c r="EU168" s="185">
        <v>96202716696.415756</v>
      </c>
      <c r="EV168" s="185">
        <v>5.7343489347125984E-18</v>
      </c>
      <c r="EW168" s="185">
        <v>8.6211594692930525E-4</v>
      </c>
      <c r="EX168" s="185">
        <v>4.5383612022199661E-6</v>
      </c>
      <c r="EY168" s="185">
        <v>1704033414.7856717</v>
      </c>
      <c r="EZ168" s="185">
        <v>2.2227064283308955E-4</v>
      </c>
      <c r="FA168" s="185">
        <v>11696.521033839232</v>
      </c>
      <c r="FB168" s="192">
        <v>0.44287080334745149</v>
      </c>
    </row>
    <row r="169" spans="2:160" ht="12.75" customHeight="1" x14ac:dyDescent="0.2">
      <c r="B169" s="188" t="s">
        <v>4111</v>
      </c>
      <c r="C169" s="336"/>
      <c r="D169" s="185">
        <f t="shared" ref="D169:AI169" si="0">D168*Molweight</f>
        <v>8.9621887827510443E-15</v>
      </c>
      <c r="E169" s="185">
        <f t="shared" si="0"/>
        <v>6009.293796994968</v>
      </c>
      <c r="F169" s="185">
        <f t="shared" si="0"/>
        <v>27278.295125477372</v>
      </c>
      <c r="G169" s="185">
        <f t="shared" si="0"/>
        <v>10.955640059869914</v>
      </c>
      <c r="H169" s="185">
        <f t="shared" si="0"/>
        <v>78.774562821795101</v>
      </c>
      <c r="I169" s="185">
        <f t="shared" si="0"/>
        <v>64.459977791427306</v>
      </c>
      <c r="J169" s="185">
        <f t="shared" si="0"/>
        <v>10.955636773177893</v>
      </c>
      <c r="K169" s="185">
        <f t="shared" si="0"/>
        <v>1881838.8066155233</v>
      </c>
      <c r="L169" s="185">
        <f t="shared" si="0"/>
        <v>0.20211887180655064</v>
      </c>
      <c r="M169" s="185">
        <f t="shared" si="0"/>
        <v>3820.4969736415601</v>
      </c>
      <c r="N169" s="185">
        <f t="shared" si="0"/>
        <v>6.645598439271823</v>
      </c>
      <c r="O169" s="185">
        <f t="shared" si="0"/>
        <v>864572.01622565172</v>
      </c>
      <c r="P169" s="185">
        <f t="shared" si="0"/>
        <v>223.84334269431812</v>
      </c>
      <c r="Q169" s="185">
        <f t="shared" si="0"/>
        <v>1183205.1299714774</v>
      </c>
      <c r="R169" s="185">
        <f t="shared" si="0"/>
        <v>7675.0243380118891</v>
      </c>
      <c r="S169" s="185">
        <f t="shared" si="0"/>
        <v>97342.235671157032</v>
      </c>
      <c r="T169" s="185">
        <f t="shared" si="0"/>
        <v>5.2486419509383833E-2</v>
      </c>
      <c r="U169" s="185">
        <f t="shared" si="0"/>
        <v>6547.9815709151862</v>
      </c>
      <c r="V169" s="185">
        <f t="shared" si="0"/>
        <v>34.993453744873172</v>
      </c>
      <c r="W169" s="185">
        <f t="shared" si="0"/>
        <v>8707622.1373652499</v>
      </c>
      <c r="X169" s="185">
        <f t="shared" si="0"/>
        <v>1.3189736069516908E-10</v>
      </c>
      <c r="Y169" s="185">
        <f t="shared" si="0"/>
        <v>13.896614554470014</v>
      </c>
      <c r="Z169" s="185">
        <f t="shared" si="0"/>
        <v>14.489002419950253</v>
      </c>
      <c r="AA169" s="185">
        <f t="shared" si="0"/>
        <v>171875771.35389617</v>
      </c>
      <c r="AB169" s="185">
        <f t="shared" si="0"/>
        <v>4.2264580235586224E-6</v>
      </c>
      <c r="AC169" s="185">
        <f t="shared" si="0"/>
        <v>119892.93598988524</v>
      </c>
      <c r="AD169" s="185">
        <f t="shared" si="0"/>
        <v>466152.84067961731</v>
      </c>
      <c r="AE169" s="185">
        <f t="shared" si="0"/>
        <v>9402456.1597792841</v>
      </c>
      <c r="AF169" s="185">
        <f t="shared" si="0"/>
        <v>1.9979443628033892E-10</v>
      </c>
      <c r="AG169" s="185">
        <f t="shared" si="0"/>
        <v>2.7205139154636266</v>
      </c>
      <c r="AH169" s="185">
        <f t="shared" si="0"/>
        <v>8.7145581101680296</v>
      </c>
      <c r="AI169" s="185">
        <f t="shared" si="0"/>
        <v>350975799.87526304</v>
      </c>
      <c r="AJ169" s="185">
        <f t="shared" ref="AJ169:BO169" si="1">AJ168*Molweight</f>
        <v>0.22541149436692257</v>
      </c>
      <c r="AK169" s="185">
        <f t="shared" si="1"/>
        <v>1723.0938692500308</v>
      </c>
      <c r="AL169" s="185">
        <f t="shared" si="1"/>
        <v>378.13258001030516</v>
      </c>
      <c r="AM169" s="185">
        <f t="shared" si="1"/>
        <v>25393676693.64999</v>
      </c>
      <c r="AN169" s="185">
        <f t="shared" si="1"/>
        <v>17.206290230674188</v>
      </c>
      <c r="AO169" s="185">
        <f t="shared" si="1"/>
        <v>53193.60952577072</v>
      </c>
      <c r="AP169" s="185">
        <f t="shared" si="1"/>
        <v>15977.222754910543</v>
      </c>
      <c r="AQ169" s="185">
        <f t="shared" si="1"/>
        <v>129990963.49248274</v>
      </c>
      <c r="AR169" s="185">
        <f t="shared" si="1"/>
        <v>0.14840038400934188</v>
      </c>
      <c r="AS169" s="185">
        <f t="shared" si="1"/>
        <v>638.13309477587143</v>
      </c>
      <c r="AT169" s="185">
        <f t="shared" si="1"/>
        <v>140.03356875523588</v>
      </c>
      <c r="AU169" s="185">
        <f t="shared" si="1"/>
        <v>3.5783883767191585E-14</v>
      </c>
      <c r="AV169" s="185">
        <f t="shared" si="1"/>
        <v>1240.6655532883631</v>
      </c>
      <c r="AW169" s="185">
        <f t="shared" si="1"/>
        <v>121971.67155960022</v>
      </c>
      <c r="AX169" s="185">
        <f t="shared" si="1"/>
        <v>3.8333372226473585</v>
      </c>
      <c r="AY169" s="185">
        <f t="shared" si="1"/>
        <v>16.263622626875737</v>
      </c>
      <c r="AZ169" s="185">
        <f t="shared" si="1"/>
        <v>288.22516963576209</v>
      </c>
      <c r="BA169" s="185">
        <f t="shared" si="1"/>
        <v>3.8333360726461922</v>
      </c>
      <c r="BB169" s="185">
        <f t="shared" si="1"/>
        <v>163330.57926433985</v>
      </c>
      <c r="BC169" s="185">
        <f t="shared" si="1"/>
        <v>2.0276722699537262E-2</v>
      </c>
      <c r="BD169" s="185">
        <f t="shared" si="1"/>
        <v>1964.2612461343579</v>
      </c>
      <c r="BE169" s="185">
        <f t="shared" si="1"/>
        <v>0.99676986644767229</v>
      </c>
      <c r="BF169" s="185">
        <f t="shared" si="1"/>
        <v>43833.012002147967</v>
      </c>
      <c r="BG169" s="185">
        <f t="shared" si="1"/>
        <v>8.2994512148115054E-2</v>
      </c>
      <c r="BH169" s="185">
        <f t="shared" si="1"/>
        <v>13266.437787656305</v>
      </c>
      <c r="BI169" s="185">
        <f t="shared" si="1"/>
        <v>3.3015151356197534</v>
      </c>
      <c r="BJ169" s="185">
        <f t="shared" si="1"/>
        <v>79544225.508406729</v>
      </c>
      <c r="BK169" s="185">
        <f t="shared" si="1"/>
        <v>1.1524946452766434</v>
      </c>
      <c r="BL169" s="185">
        <f t="shared" si="1"/>
        <v>8257.4201319040385</v>
      </c>
      <c r="BM169" s="185">
        <f t="shared" si="1"/>
        <v>21.116842582445923</v>
      </c>
      <c r="BN169" s="185">
        <f t="shared" si="1"/>
        <v>761634.76743643754</v>
      </c>
      <c r="BO169" s="185">
        <f t="shared" si="1"/>
        <v>1.3232046027425181E-11</v>
      </c>
      <c r="BP169" s="185">
        <f t="shared" ref="BP169:CU169" si="2">BP168*Molweight</f>
        <v>7.1458918530906059</v>
      </c>
      <c r="BQ169" s="185">
        <f t="shared" si="2"/>
        <v>2.1735382535322478</v>
      </c>
      <c r="BR169" s="185">
        <f t="shared" si="2"/>
        <v>8587690.2907010708</v>
      </c>
      <c r="BS169" s="185">
        <f t="shared" si="2"/>
        <v>1.5670460312002756E-9</v>
      </c>
      <c r="BT169" s="185">
        <f t="shared" si="2"/>
        <v>1344.2735997389248</v>
      </c>
      <c r="BU169" s="185">
        <f t="shared" si="2"/>
        <v>200.52191488142324</v>
      </c>
      <c r="BV169" s="185">
        <f t="shared" si="2"/>
        <v>383606128.85401869</v>
      </c>
      <c r="BW169" s="185">
        <f t="shared" si="2"/>
        <v>2.1935390156303997E-10</v>
      </c>
      <c r="BX169" s="185">
        <f t="shared" si="2"/>
        <v>0.17153713501410184</v>
      </c>
      <c r="BY169" s="185">
        <f t="shared" si="2"/>
        <v>0.26294067688422013</v>
      </c>
      <c r="BZ169" s="185">
        <f t="shared" si="2"/>
        <v>263575585.95625389</v>
      </c>
      <c r="CA169" s="185">
        <f t="shared" si="2"/>
        <v>2.2632026612081638E-2</v>
      </c>
      <c r="CB169" s="185">
        <f t="shared" si="2"/>
        <v>1536.9952425005397</v>
      </c>
      <c r="CC169" s="185">
        <f t="shared" si="2"/>
        <v>41.129125220791892</v>
      </c>
      <c r="CD169" s="185">
        <f t="shared" si="2"/>
        <v>1306810837.2503521</v>
      </c>
      <c r="CE169" s="185">
        <f t="shared" si="2"/>
        <v>8.0461925673902202E-2</v>
      </c>
      <c r="CF169" s="185">
        <f t="shared" si="2"/>
        <v>3469.0869413194155</v>
      </c>
      <c r="CG169" s="185">
        <f t="shared" si="2"/>
        <v>91.39138087035326</v>
      </c>
      <c r="CH169" s="185">
        <f t="shared" si="2"/>
        <v>97620580.011737928</v>
      </c>
      <c r="CI169" s="185">
        <f t="shared" si="2"/>
        <v>1.4899867682326186E-2</v>
      </c>
      <c r="CJ169" s="185">
        <f t="shared" si="2"/>
        <v>569.2524951609081</v>
      </c>
      <c r="CK169" s="185">
        <f t="shared" si="2"/>
        <v>15.231449582715106</v>
      </c>
      <c r="CL169" s="185">
        <f t="shared" si="2"/>
        <v>1.7872937137083668E-12</v>
      </c>
      <c r="CM169" s="185">
        <f t="shared" si="2"/>
        <v>38.060080940543941</v>
      </c>
      <c r="CN169" s="185">
        <f t="shared" si="2"/>
        <v>98619.96169045665</v>
      </c>
      <c r="CO169" s="185">
        <f t="shared" si="2"/>
        <v>0.14640944995364708</v>
      </c>
      <c r="CP169" s="185">
        <f t="shared" si="2"/>
        <v>0.49892156022605533</v>
      </c>
      <c r="CQ169" s="185">
        <f t="shared" si="2"/>
        <v>233.04390949348229</v>
      </c>
      <c r="CR169" s="185">
        <f t="shared" si="2"/>
        <v>0.14640940603081212</v>
      </c>
      <c r="CS169" s="185">
        <f t="shared" si="2"/>
        <v>434763051.07248425</v>
      </c>
      <c r="CT169" s="185">
        <f t="shared" si="2"/>
        <v>3.4280358210597627E-2</v>
      </c>
      <c r="CU169" s="185">
        <f t="shared" si="2"/>
        <v>5550.6213133158917</v>
      </c>
      <c r="CV169" s="185">
        <f t="shared" ref="CV169:EA169" si="3">CV168*Molweight</f>
        <v>0.63286506533854847</v>
      </c>
      <c r="CW169" s="185">
        <f t="shared" si="3"/>
        <v>13043338099.391693</v>
      </c>
      <c r="CX169" s="185">
        <f t="shared" si="3"/>
        <v>2.8195670761753062E-6</v>
      </c>
      <c r="CY169" s="185">
        <f t="shared" si="3"/>
        <v>117.32170815831999</v>
      </c>
      <c r="CZ169" s="185">
        <f t="shared" si="3"/>
        <v>2.9098076708799686E-2</v>
      </c>
      <c r="DA169" s="185">
        <f t="shared" si="3"/>
        <v>4193472339.4606152</v>
      </c>
      <c r="DB169" s="185">
        <f t="shared" si="3"/>
        <v>3.5776480837316561E-17</v>
      </c>
      <c r="DC169" s="185">
        <f t="shared" si="3"/>
        <v>1.6248026175937289E-4</v>
      </c>
      <c r="DD169" s="185">
        <f t="shared" si="3"/>
        <v>2.4154696542862233E-5</v>
      </c>
      <c r="DE169" s="185">
        <f t="shared" si="3"/>
        <v>741422024.70924795</v>
      </c>
      <c r="DF169" s="185">
        <f t="shared" si="3"/>
        <v>2.6553665155046053E-3</v>
      </c>
      <c r="DG169" s="185">
        <f t="shared" si="3"/>
        <v>4434.1810359651017</v>
      </c>
      <c r="DH169" s="185">
        <f t="shared" si="3"/>
        <v>5.047429399511512</v>
      </c>
      <c r="DI169" s="185">
        <f t="shared" si="3"/>
        <v>7.784082476533806E-14</v>
      </c>
      <c r="DJ169" s="185">
        <f t="shared" si="3"/>
        <v>0.33312669692064523</v>
      </c>
      <c r="DK169" s="185">
        <f t="shared" si="3"/>
        <v>23661.067636630203</v>
      </c>
      <c r="DL169" s="185">
        <f t="shared" si="3"/>
        <v>3.6748966606476277E-3</v>
      </c>
      <c r="DM169" s="185">
        <f t="shared" si="3"/>
        <v>8.0093122110480013E-3</v>
      </c>
      <c r="DN169" s="185">
        <f t="shared" si="3"/>
        <v>97.655494224968677</v>
      </c>
      <c r="DO169" s="185">
        <f t="shared" si="3"/>
        <v>3.6748955581786293E-3</v>
      </c>
      <c r="DP169" s="185">
        <f t="shared" si="3"/>
        <v>348624325.64118779</v>
      </c>
      <c r="DQ169" s="185">
        <f t="shared" si="3"/>
        <v>3.6113147491108186E-4</v>
      </c>
      <c r="DR169" s="185">
        <f t="shared" si="3"/>
        <v>1474.081590228717</v>
      </c>
      <c r="DS169" s="185">
        <f t="shared" si="3"/>
        <v>8.2401955143209665E-3</v>
      </c>
      <c r="DT169" s="185">
        <f t="shared" si="3"/>
        <v>8583048413.4729137</v>
      </c>
      <c r="DU169" s="185">
        <f t="shared" si="3"/>
        <v>3.4757800986499968E-8</v>
      </c>
      <c r="DV169" s="185">
        <f t="shared" si="3"/>
        <v>33.666752434383227</v>
      </c>
      <c r="DW169" s="185">
        <f t="shared" si="3"/>
        <v>3.9285813307134864E-4</v>
      </c>
      <c r="DX169" s="185">
        <f t="shared" si="3"/>
        <v>2759475820.8908086</v>
      </c>
      <c r="DY169" s="185">
        <f t="shared" si="3"/>
        <v>4.7060270387092892E-19</v>
      </c>
      <c r="DZ169" s="185">
        <f t="shared" si="3"/>
        <v>4.6625495259286532E-5</v>
      </c>
      <c r="EA169" s="185">
        <f t="shared" si="3"/>
        <v>3.2611670809061197E-7</v>
      </c>
      <c r="EB169" s="185">
        <f t="shared" ref="EB169:FB169" si="4">EB168*Molweight</f>
        <v>133135550.84346941</v>
      </c>
      <c r="EC169" s="185">
        <f t="shared" si="4"/>
        <v>1.7850272910450878E-5</v>
      </c>
      <c r="ED169" s="185">
        <f t="shared" si="4"/>
        <v>709.55734032996668</v>
      </c>
      <c r="EE169" s="185">
        <f t="shared" si="4"/>
        <v>3.3266018955296205E-2</v>
      </c>
      <c r="EF169" s="185">
        <f t="shared" si="4"/>
        <v>3.9880035552856886E-11</v>
      </c>
      <c r="EG169" s="185">
        <f t="shared" si="4"/>
        <v>0.55134844332966759</v>
      </c>
      <c r="EH169" s="185">
        <f t="shared" si="4"/>
        <v>41856.301699143958</v>
      </c>
      <c r="EI169" s="185">
        <f t="shared" si="4"/>
        <v>1.3270461216068881E-3</v>
      </c>
      <c r="EJ169" s="185">
        <f t="shared" si="4"/>
        <v>5.0161289989290436E-3</v>
      </c>
      <c r="EK169" s="185">
        <f t="shared" si="4"/>
        <v>70.737547606569322</v>
      </c>
      <c r="EL169" s="185">
        <f t="shared" si="4"/>
        <v>1.3270457234930515E-3</v>
      </c>
      <c r="EM169" s="185">
        <f t="shared" si="4"/>
        <v>1002023623.0153067</v>
      </c>
      <c r="EN169" s="185">
        <f t="shared" si="4"/>
        <v>7.0398102543726472E-4</v>
      </c>
      <c r="EO169" s="185">
        <f t="shared" si="4"/>
        <v>3480.9075817617454</v>
      </c>
      <c r="EP169" s="185">
        <f t="shared" si="4"/>
        <v>1.3290821543171604E-2</v>
      </c>
      <c r="EQ169" s="185">
        <f t="shared" si="4"/>
        <v>32277729988.60511</v>
      </c>
      <c r="ER169" s="185">
        <f t="shared" si="4"/>
        <v>5.0542242321483554E-8</v>
      </c>
      <c r="ES169" s="185">
        <f t="shared" si="4"/>
        <v>67.149702612656895</v>
      </c>
      <c r="ET169" s="185">
        <f t="shared" si="4"/>
        <v>5.897424697223735E-4</v>
      </c>
      <c r="EU169" s="185">
        <f t="shared" si="4"/>
        <v>10377387050.042368</v>
      </c>
      <c r="EV169" s="185">
        <f t="shared" si="4"/>
        <v>6.1856421958744799E-19</v>
      </c>
      <c r="EW169" s="185">
        <f t="shared" si="4"/>
        <v>9.2996447195264166E-5</v>
      </c>
      <c r="EX169" s="185">
        <f t="shared" si="4"/>
        <v>4.8955302288346774E-7</v>
      </c>
      <c r="EY169" s="185">
        <f t="shared" si="4"/>
        <v>183814084.45293042</v>
      </c>
      <c r="EZ169" s="185">
        <f t="shared" si="4"/>
        <v>2.3976334242405372E-5</v>
      </c>
      <c r="FA169" s="185">
        <f t="shared" si="4"/>
        <v>1261.703723920238</v>
      </c>
      <c r="FB169" s="185">
        <f t="shared" si="4"/>
        <v>4.7772473557089593E-2</v>
      </c>
    </row>
    <row r="170" spans="2:160" ht="12.75" customHeight="1" x14ac:dyDescent="0.2">
      <c r="B170" s="188" t="s">
        <v>4112</v>
      </c>
      <c r="C170" s="188"/>
      <c r="D170" s="195">
        <f>D171*8.314*TEMP.R</f>
        <v>8.5753782491050516E-25</v>
      </c>
      <c r="E170" s="195"/>
      <c r="F170" s="195"/>
      <c r="G170" s="195"/>
      <c r="H170" s="195"/>
      <c r="I170" s="195"/>
      <c r="J170" s="195"/>
      <c r="K170" s="434">
        <f>K171*KawD.R*8.314*TEMP.R</f>
        <v>8.1820678355569299E-24</v>
      </c>
      <c r="L170" s="195"/>
      <c r="M170" s="195"/>
      <c r="N170" s="195"/>
      <c r="O170" s="195">
        <f>O171*KawD.R*8.314*TEMP.R</f>
        <v>1.1391158381920421E-23</v>
      </c>
      <c r="P170" s="195"/>
      <c r="Q170" s="195"/>
      <c r="R170" s="195"/>
      <c r="S170" s="195">
        <f>S171*KawD.R*8.314*TEMP.R</f>
        <v>2.4184728099723451E-24</v>
      </c>
      <c r="T170" s="195"/>
      <c r="U170" s="195"/>
      <c r="V170" s="195"/>
      <c r="W170" s="195"/>
      <c r="X170" s="195"/>
      <c r="Y170" s="195"/>
      <c r="Z170" s="195"/>
      <c r="AA170" s="195">
        <f>AA171*KawD.R/Ksdw1.R*8.314*TEMP.R</f>
        <v>9.5346143884673306E-24</v>
      </c>
      <c r="AB170" s="195"/>
      <c r="AC170" s="195"/>
      <c r="AD170" s="195"/>
      <c r="AE170" s="195">
        <f>AE171*KawD.R/Ksdw2.R*8.314*TEMP.R</f>
        <v>3.2785492536519271E-24</v>
      </c>
      <c r="AF170" s="195"/>
      <c r="AG170" s="195"/>
      <c r="AH170" s="195"/>
      <c r="AI170" s="195">
        <f>AI171*KawD.R/Ks1w.R*8.314*TEMP.R</f>
        <v>9.9155352001649209E-25</v>
      </c>
      <c r="AJ170" s="195"/>
      <c r="AK170" s="195"/>
      <c r="AL170" s="195"/>
      <c r="AM170" s="195">
        <f>AM171*KawD.R/Ks2w.R*8.314*TEMP.R</f>
        <v>8.0708095004799106E-24</v>
      </c>
      <c r="AN170" s="195"/>
      <c r="AO170" s="195"/>
      <c r="AP170" s="195"/>
      <c r="AQ170" s="195">
        <f>AQ171*KawD.R/Ks3w.R*8.314*TEMP.R</f>
        <v>9.9155295938127654E-25</v>
      </c>
      <c r="AR170" s="195"/>
      <c r="AS170" s="195"/>
      <c r="AT170" s="195"/>
      <c r="AU170" s="195">
        <f>AU171*8.314*TEMP.C</f>
        <v>1.0918288133923342E-25</v>
      </c>
      <c r="AV170" s="195"/>
      <c r="AW170" s="195"/>
      <c r="AX170" s="195"/>
      <c r="AY170" s="195"/>
      <c r="AZ170" s="195"/>
      <c r="BA170" s="195"/>
      <c r="BB170" s="195">
        <f>BB171*Kaw.C*8.314*TEMP.C</f>
        <v>4.6565035367457686E-26</v>
      </c>
      <c r="BC170" s="195"/>
      <c r="BD170" s="195"/>
      <c r="BE170" s="195"/>
      <c r="BF170" s="195">
        <f>BF171*Kaw.C*8.314*TEMP.C</f>
        <v>3.7868648808716428E-26</v>
      </c>
      <c r="BG170" s="195"/>
      <c r="BH170" s="195"/>
      <c r="BI170" s="195"/>
      <c r="BJ170" s="195">
        <f>BJ171*Kaw.C*8.314*TEMP.C</f>
        <v>2.6610047634535616E-26</v>
      </c>
      <c r="BK170" s="195"/>
      <c r="BL170" s="195"/>
      <c r="BM170" s="195"/>
      <c r="BN170" s="195"/>
      <c r="BO170" s="195"/>
      <c r="BP170" s="195"/>
      <c r="BQ170" s="195"/>
      <c r="BR170" s="195">
        <f>BR171*Kaw.C/Ksdw1.C*8.314*TEMP.C</f>
        <v>3.1237525658990599E-26</v>
      </c>
      <c r="BS170" s="195"/>
      <c r="BT170" s="195"/>
      <c r="BU170" s="195"/>
      <c r="BV170" s="195">
        <f>BV171*Kaw.C/Ksdw2.C*8.314*TEMP.C</f>
        <v>3.6020773123376812E-26</v>
      </c>
      <c r="BW170" s="195"/>
      <c r="BX170" s="195"/>
      <c r="BY170" s="195"/>
      <c r="BZ170" s="195">
        <f>BZ171*Kaw.C/Ks1w.C*8.314*TEMP.C</f>
        <v>4.8826539783470905E-26</v>
      </c>
      <c r="CA170" s="195"/>
      <c r="CB170" s="195"/>
      <c r="CC170" s="195"/>
      <c r="CD170" s="195">
        <f>CD171*Kaw.C/Ks2w.C*8.314*TEMP.C</f>
        <v>2.7234287459081513E-26</v>
      </c>
      <c r="CE170" s="195"/>
      <c r="CF170" s="195"/>
      <c r="CG170" s="195"/>
      <c r="CH170" s="195">
        <f>CH171*Kaw.C/Ks3w.C*8.314*TEMP.C</f>
        <v>4.8826536092509227E-26</v>
      </c>
      <c r="CI170" s="195"/>
      <c r="CJ170" s="195"/>
      <c r="CK170" s="195"/>
      <c r="CL170" s="195">
        <f>CL171*8.314*TEMP.M</f>
        <v>5.0611576071981331E-25</v>
      </c>
      <c r="CM170" s="195"/>
      <c r="CN170" s="195"/>
      <c r="CO170" s="195"/>
      <c r="CP170" s="195"/>
      <c r="CQ170" s="195"/>
      <c r="CR170" s="195"/>
      <c r="CS170" s="195">
        <f>CS171*Kaw.M*8.314*TEMP.M</f>
        <v>2.7849802408601706E-26</v>
      </c>
      <c r="CT170" s="195"/>
      <c r="CU170" s="195"/>
      <c r="CV170" s="195"/>
      <c r="CW170" s="195">
        <f>CW171*Kaw.M*8.314*TEMP.M</f>
        <v>2.7850755940165578E-26</v>
      </c>
      <c r="CX170" s="195"/>
      <c r="CY170" s="195"/>
      <c r="CZ170" s="195"/>
      <c r="DA170" s="195">
        <f>DA171*Kaw.M/Ksdw.M*8.314*TEMP.M</f>
        <v>3.7700210558944689E-26</v>
      </c>
      <c r="DB170" s="195"/>
      <c r="DC170" s="195"/>
      <c r="DD170" s="195"/>
      <c r="DE170" s="185">
        <f>DE171*Kaw.M/Kslw.M*8.314*TEMP.M</f>
        <v>3.3328599257412702E-27</v>
      </c>
      <c r="DF170" s="185"/>
      <c r="DG170" s="185"/>
      <c r="DH170" s="185"/>
      <c r="DI170" s="195">
        <f>DI171*8.314*TEMP.A</f>
        <v>3.7126475192614559E-26</v>
      </c>
      <c r="DJ170" s="195"/>
      <c r="DK170" s="195"/>
      <c r="DL170" s="195"/>
      <c r="DM170" s="195"/>
      <c r="DN170" s="195"/>
      <c r="DO170" s="195"/>
      <c r="DP170" s="195">
        <f>DP171*Kaw.A*8.314*TEMP.A</f>
        <v>6.9809252958074027E-32</v>
      </c>
      <c r="DQ170" s="195"/>
      <c r="DR170" s="195"/>
      <c r="DS170" s="195"/>
      <c r="DT170" s="195">
        <f>DT171*Kaw.A*8.314*TEMP.A</f>
        <v>5.7289576369972211E-32</v>
      </c>
      <c r="DU170" s="195"/>
      <c r="DV170" s="195"/>
      <c r="DW170" s="195"/>
      <c r="DX170" s="195">
        <f>DX171*Kaw.A/Ksdw.A*8.314*TEMP.A</f>
        <v>7.7550106594965235E-32</v>
      </c>
      <c r="DY170" s="195"/>
      <c r="DZ170" s="195"/>
      <c r="EA170" s="195"/>
      <c r="EB170" s="185">
        <f>EB171*Kaw.A/Kslw.A*8.314*TEMP.A</f>
        <v>2.8062262959753562E-33</v>
      </c>
      <c r="EC170" s="185"/>
      <c r="ED170" s="185"/>
      <c r="EE170" s="185"/>
      <c r="EF170" s="195">
        <f>EF171*8.314*TEMP.T</f>
        <v>7.1840788084763949E-24</v>
      </c>
      <c r="EG170" s="195"/>
      <c r="EH170" s="195"/>
      <c r="EI170" s="195"/>
      <c r="EJ170" s="195"/>
      <c r="EK170" s="195"/>
      <c r="EL170" s="195"/>
      <c r="EM170" s="195">
        <f>EM171*Kaw.T*8.314*TEMP.T</f>
        <v>2.578667466177936E-23</v>
      </c>
      <c r="EN170" s="195"/>
      <c r="EO170" s="195"/>
      <c r="EP170" s="195"/>
      <c r="EQ170" s="195">
        <f>EQ171*Kaw.T*8.314*TEMP.T</f>
        <v>2.7688479689804825E-23</v>
      </c>
      <c r="ER170" s="195"/>
      <c r="ES170" s="195"/>
      <c r="ET170" s="195"/>
      <c r="EU170" s="195">
        <f>EU171*Kaw.T/Ksdw.T*8.314*TEMP.T</f>
        <v>3.7480545108372499E-23</v>
      </c>
      <c r="EV170" s="195"/>
      <c r="EW170" s="195"/>
      <c r="EX170" s="195"/>
      <c r="EY170" s="195">
        <f>EY171*Kaw.T/Kslw.T*8.314*TEMP.T</f>
        <v>7.7455995388035846E-25</v>
      </c>
      <c r="EZ170" s="195"/>
      <c r="FA170" s="195"/>
      <c r="FB170" s="196"/>
    </row>
    <row r="171" spans="2:160" ht="12.75" customHeight="1" x14ac:dyDescent="0.2">
      <c r="B171" s="188" t="s">
        <v>4113</v>
      </c>
      <c r="C171" s="389"/>
      <c r="D171" s="185">
        <f>D168/D4</f>
        <v>3.6190818484589728E-28</v>
      </c>
      <c r="E171" s="185">
        <f t="shared" ref="E171:AI171" si="5">E168/E4</f>
        <v>2.4266534247324519E-10</v>
      </c>
      <c r="F171" s="185">
        <f t="shared" si="5"/>
        <v>1.1015432182763961E-9</v>
      </c>
      <c r="G171" s="185">
        <f>G168/G4</f>
        <v>4.4240708425196063E-13</v>
      </c>
      <c r="H171" s="185">
        <f t="shared" si="5"/>
        <v>1.0603495691340766E-5</v>
      </c>
      <c r="I171" s="185">
        <f t="shared" si="5"/>
        <v>8.6766726756903297E-6</v>
      </c>
      <c r="J171" s="185">
        <f t="shared" si="5"/>
        <v>1.4746898384327843E-6</v>
      </c>
      <c r="K171" s="32">
        <f t="shared" si="5"/>
        <v>3.0529697731693288E-4</v>
      </c>
      <c r="L171" s="185">
        <f t="shared" si="5"/>
        <v>3.2790417757526724E-11</v>
      </c>
      <c r="M171" s="185">
        <f t="shared" si="5"/>
        <v>6.1981194871785917E-7</v>
      </c>
      <c r="N171" s="185">
        <f t="shared" si="5"/>
        <v>1.0781375688711329E-9</v>
      </c>
      <c r="O171" s="185">
        <f t="shared" si="5"/>
        <v>4.250375689902885E-4</v>
      </c>
      <c r="P171" s="185">
        <f t="shared" si="5"/>
        <v>1.1004500310893846E-7</v>
      </c>
      <c r="Q171" s="185">
        <f t="shared" si="5"/>
        <v>5.8168275472919942E-4</v>
      </c>
      <c r="R171" s="185">
        <f t="shared" si="5"/>
        <v>3.7731659426257096E-6</v>
      </c>
      <c r="S171" s="185">
        <f t="shared" si="5"/>
        <v>9.024032230569845E-5</v>
      </c>
      <c r="T171" s="185">
        <f t="shared" si="5"/>
        <v>4.8657105320648712E-11</v>
      </c>
      <c r="U171" s="185">
        <f t="shared" si="5"/>
        <v>6.0702526846344472E-6</v>
      </c>
      <c r="V171" s="185">
        <f t="shared" si="5"/>
        <v>3.2440394683297605E-8</v>
      </c>
      <c r="W171" s="185">
        <f t="shared" si="5"/>
        <v>4.7088884708759196</v>
      </c>
      <c r="X171" s="185">
        <f t="shared" si="5"/>
        <v>7.1327160425495177E-17</v>
      </c>
      <c r="Y171" s="185">
        <f t="shared" si="5"/>
        <v>7.5149802124452834E-6</v>
      </c>
      <c r="Z171" s="185">
        <f t="shared" si="5"/>
        <v>7.8353304005955856E-6</v>
      </c>
      <c r="AA171" s="185">
        <f t="shared" si="5"/>
        <v>8.4496905582847148</v>
      </c>
      <c r="AB171" s="185">
        <f t="shared" si="5"/>
        <v>2.0777950362251818E-13</v>
      </c>
      <c r="AC171" s="185">
        <f t="shared" si="5"/>
        <v>5.8941304016193012E-3</v>
      </c>
      <c r="AD171" s="185">
        <f t="shared" si="5"/>
        <v>2.291682664508882E-2</v>
      </c>
      <c r="AE171" s="185">
        <f t="shared" si="5"/>
        <v>2.9054899909703886</v>
      </c>
      <c r="AF171" s="185">
        <f t="shared" si="5"/>
        <v>6.1739265251487503E-17</v>
      </c>
      <c r="AG171" s="185">
        <f t="shared" si="5"/>
        <v>8.4067671439807909E-7</v>
      </c>
      <c r="AH171" s="185">
        <f t="shared" si="5"/>
        <v>2.6929199067297118E-6</v>
      </c>
      <c r="AI171" s="185">
        <f t="shared" si="5"/>
        <v>1.0544439441912485</v>
      </c>
      <c r="AJ171" s="185">
        <f t="shared" ref="AJ171:BO171" si="6">AJ168/AJ4</f>
        <v>6.7720847212478514E-10</v>
      </c>
      <c r="AK171" s="185">
        <f t="shared" si="6"/>
        <v>5.176726989010329E-6</v>
      </c>
      <c r="AL171" s="185">
        <f t="shared" si="6"/>
        <v>1.1360316273514705E-6</v>
      </c>
      <c r="AM171" s="185">
        <f t="shared" si="6"/>
        <v>8.5827098897906087</v>
      </c>
      <c r="AN171" s="185">
        <f t="shared" si="6"/>
        <v>5.8154870250176616E-9</v>
      </c>
      <c r="AO171" s="185">
        <f t="shared" si="6"/>
        <v>1.797870092063735E-5</v>
      </c>
      <c r="AP171" s="185">
        <f t="shared" si="6"/>
        <v>5.4000792954983486E-6</v>
      </c>
      <c r="AQ171" s="185">
        <f t="shared" si="6"/>
        <v>1.0544433479970989</v>
      </c>
      <c r="AR171" s="185">
        <f t="shared" si="6"/>
        <v>1.2037744282733522E-9</v>
      </c>
      <c r="AS171" s="185">
        <f t="shared" si="6"/>
        <v>5.1763228677209681E-6</v>
      </c>
      <c r="AT171" s="185">
        <f t="shared" si="6"/>
        <v>1.1359056129989511E-6</v>
      </c>
      <c r="AU171" s="185">
        <f t="shared" si="6"/>
        <v>4.607864196060478E-29</v>
      </c>
      <c r="AV171" s="185">
        <f t="shared" si="6"/>
        <v>1.5975958393662317E-12</v>
      </c>
      <c r="AW171" s="185">
        <f t="shared" si="6"/>
        <v>1.5706201763052493E-10</v>
      </c>
      <c r="AX171" s="185">
        <f t="shared" si="6"/>
        <v>4.936159935735493E-15</v>
      </c>
      <c r="AY171" s="185">
        <f t="shared" si="6"/>
        <v>6.980848779875308E-8</v>
      </c>
      <c r="AZ171" s="185">
        <f t="shared" si="6"/>
        <v>1.2371513837613447E-6</v>
      </c>
      <c r="BA171" s="185">
        <f t="shared" si="6"/>
        <v>1.6453861516291709E-8</v>
      </c>
      <c r="BB171" s="185">
        <f t="shared" si="6"/>
        <v>1.7374782062501996E-6</v>
      </c>
      <c r="BC171" s="185">
        <f t="shared" si="6"/>
        <v>2.1569974185670811E-13</v>
      </c>
      <c r="BD171" s="185">
        <f t="shared" si="6"/>
        <v>2.0895420330425777E-8</v>
      </c>
      <c r="BE171" s="185">
        <f t="shared" si="6"/>
        <v>1.0603439523696544E-11</v>
      </c>
      <c r="BF171" s="185">
        <f t="shared" si="6"/>
        <v>1.412990487091294E-6</v>
      </c>
      <c r="BG171" s="185">
        <f t="shared" si="6"/>
        <v>2.6753912357271446E-12</v>
      </c>
      <c r="BH171" s="185">
        <f t="shared" si="6"/>
        <v>4.276537142970747E-7</v>
      </c>
      <c r="BI171" s="185">
        <f t="shared" si="6"/>
        <v>1.064268519669612E-10</v>
      </c>
      <c r="BJ171" s="185">
        <f t="shared" si="6"/>
        <v>9.9289901677163842E-7</v>
      </c>
      <c r="BK171" s="185">
        <f t="shared" si="6"/>
        <v>1.4385843759441966E-14</v>
      </c>
      <c r="BL171" s="185">
        <f t="shared" si="6"/>
        <v>1.0307202411784567E-10</v>
      </c>
      <c r="BM171" s="185">
        <f t="shared" si="6"/>
        <v>2.6358786075824083E-13</v>
      </c>
      <c r="BN171" s="185">
        <f t="shared" si="6"/>
        <v>2.7007063741598086E-2</v>
      </c>
      <c r="BO171" s="185">
        <f t="shared" si="6"/>
        <v>4.6919957671739954E-19</v>
      </c>
      <c r="BP171" s="185">
        <f t="shared" ref="BP171:CU171" si="7">BP168/BP4</f>
        <v>2.5338858599714653E-7</v>
      </c>
      <c r="BQ171" s="185">
        <f t="shared" si="7"/>
        <v>7.707222499246805E-8</v>
      </c>
      <c r="BR171" s="185">
        <f t="shared" si="7"/>
        <v>2.7683072945688197E-2</v>
      </c>
      <c r="BS171" s="185">
        <f t="shared" si="7"/>
        <v>5.0514920918773559E-18</v>
      </c>
      <c r="BT171" s="185">
        <f t="shared" si="7"/>
        <v>4.3333682120361507E-6</v>
      </c>
      <c r="BU171" s="185">
        <f t="shared" si="7"/>
        <v>6.4639764697643153E-7</v>
      </c>
      <c r="BV171" s="185">
        <f t="shared" si="7"/>
        <v>3.1922044684980569E-2</v>
      </c>
      <c r="BW171" s="185">
        <f t="shared" si="7"/>
        <v>1.8253683976422821E-20</v>
      </c>
      <c r="BX171" s="185">
        <f t="shared" si="7"/>
        <v>1.4274579255060665E-11</v>
      </c>
      <c r="BY171" s="185">
        <f t="shared" si="7"/>
        <v>2.1880787103355424E-11</v>
      </c>
      <c r="BZ171" s="185">
        <f t="shared" si="7"/>
        <v>5.1923419312391382E-2</v>
      </c>
      <c r="CA171" s="185">
        <f t="shared" si="7"/>
        <v>4.4584258568749009E-12</v>
      </c>
      <c r="CB171" s="185">
        <f t="shared" si="7"/>
        <v>3.0278239984924766E-7</v>
      </c>
      <c r="CC171" s="185">
        <f t="shared" si="7"/>
        <v>8.1022861318630358E-9</v>
      </c>
      <c r="CD171" s="185">
        <f t="shared" si="7"/>
        <v>2.896165351227287E-2</v>
      </c>
      <c r="CE171" s="185">
        <f t="shared" si="7"/>
        <v>1.7832040765754528E-12</v>
      </c>
      <c r="CF171" s="185">
        <f t="shared" si="7"/>
        <v>7.6882201413207118E-8</v>
      </c>
      <c r="CG171" s="185">
        <f t="shared" si="7"/>
        <v>2.0254235971477983E-9</v>
      </c>
      <c r="CH171" s="185">
        <f t="shared" si="7"/>
        <v>5.1923415387326199E-2</v>
      </c>
      <c r="CI171" s="185">
        <f t="shared" si="7"/>
        <v>7.9250913976601618E-12</v>
      </c>
      <c r="CJ171" s="185">
        <f t="shared" si="7"/>
        <v>3.0277973930248846E-7</v>
      </c>
      <c r="CK171" s="185">
        <f t="shared" si="7"/>
        <v>8.1014565119295384E-9</v>
      </c>
      <c r="CL171" s="185">
        <f t="shared" si="7"/>
        <v>2.1359691778391694E-28</v>
      </c>
      <c r="CM171" s="185">
        <f t="shared" si="7"/>
        <v>4.5485058875069055E-15</v>
      </c>
      <c r="CN171" s="185">
        <f t="shared" si="7"/>
        <v>1.1785930699293377E-11</v>
      </c>
      <c r="CO171" s="185">
        <f t="shared" si="7"/>
        <v>1.7497184153158397E-17</v>
      </c>
      <c r="CP171" s="185">
        <f t="shared" si="7"/>
        <v>1.9875134243999073E-10</v>
      </c>
      <c r="CQ171" s="185">
        <f t="shared" si="7"/>
        <v>9.2835815390113176E-8</v>
      </c>
      <c r="CR171" s="185">
        <f t="shared" si="7"/>
        <v>5.8323929680010523E-11</v>
      </c>
      <c r="CS171" s="185">
        <f t="shared" si="7"/>
        <v>1.0391579078910435E-6</v>
      </c>
      <c r="CT171" s="185">
        <f t="shared" si="7"/>
        <v>8.1935907920429795E-17</v>
      </c>
      <c r="CU171" s="185">
        <f t="shared" si="7"/>
        <v>1.3266932452544443E-11</v>
      </c>
      <c r="CV171" s="185">
        <f t="shared" ref="CV171:EA171" si="8">CV168/CV4</f>
        <v>1.5126555388095545E-15</v>
      </c>
      <c r="CW171" s="185">
        <f t="shared" si="8"/>
        <v>1.0391934869537058E-6</v>
      </c>
      <c r="CX171" s="185">
        <f t="shared" si="8"/>
        <v>2.2464155412234022E-22</v>
      </c>
      <c r="CY171" s="185">
        <f t="shared" si="8"/>
        <v>9.3472969930983869E-15</v>
      </c>
      <c r="CZ171" s="185">
        <f t="shared" si="8"/>
        <v>2.3183123498174292E-18</v>
      </c>
      <c r="DA171" s="185">
        <f t="shared" si="8"/>
        <v>3.3410382447199072E-2</v>
      </c>
      <c r="DB171" s="185">
        <f t="shared" si="8"/>
        <v>2.8503965464176196E-28</v>
      </c>
      <c r="DC171" s="185">
        <f t="shared" si="8"/>
        <v>1.2945185388297819E-15</v>
      </c>
      <c r="DD171" s="185">
        <f t="shared" si="8"/>
        <v>1.9244616014251976E-16</v>
      </c>
      <c r="DE171" s="185">
        <f t="shared" si="8"/>
        <v>3.5442504056433831E-3</v>
      </c>
      <c r="DF171" s="185">
        <f t="shared" si="8"/>
        <v>1.2693558507922303E-14</v>
      </c>
      <c r="DG171" s="185">
        <f t="shared" si="8"/>
        <v>2.1196899217525335E-8</v>
      </c>
      <c r="DH171" s="185">
        <f t="shared" si="8"/>
        <v>2.4128435763275856E-11</v>
      </c>
      <c r="DI171" s="185">
        <f t="shared" si="8"/>
        <v>1.6979228399673353E-29</v>
      </c>
      <c r="DJ171" s="185">
        <f t="shared" si="8"/>
        <v>7.2664110254431375E-17</v>
      </c>
      <c r="DK171" s="185">
        <f t="shared" si="8"/>
        <v>5.1611307150660922E-12</v>
      </c>
      <c r="DL171" s="185">
        <f t="shared" si="8"/>
        <v>8.0159620526166172E-19</v>
      </c>
      <c r="DM171" s="185">
        <f t="shared" si="8"/>
        <v>5.8235055005152422E-12</v>
      </c>
      <c r="DN171" s="185">
        <f t="shared" si="8"/>
        <v>7.100451234628881E-8</v>
      </c>
      <c r="DO171" s="185">
        <f t="shared" si="8"/>
        <v>2.6719865492760003E-12</v>
      </c>
      <c r="DP171" s="185">
        <f t="shared" si="8"/>
        <v>1.2674091204234135E-6</v>
      </c>
      <c r="DQ171" s="185">
        <f t="shared" si="8"/>
        <v>1.3128783372544724E-18</v>
      </c>
      <c r="DR171" s="185">
        <f t="shared" si="8"/>
        <v>5.3589618230684976E-12</v>
      </c>
      <c r="DS171" s="185">
        <f t="shared" si="8"/>
        <v>2.9956885337001389E-17</v>
      </c>
      <c r="DT171" s="185">
        <f t="shared" si="8"/>
        <v>1.0401104226126599E-6</v>
      </c>
      <c r="DU171" s="185">
        <f t="shared" si="8"/>
        <v>4.212017610946602E-24</v>
      </c>
      <c r="DV171" s="185">
        <f t="shared" si="8"/>
        <v>4.0798022352472473E-15</v>
      </c>
      <c r="DW171" s="185">
        <f t="shared" si="8"/>
        <v>4.760730909710958E-20</v>
      </c>
      <c r="DX171" s="185">
        <f t="shared" si="8"/>
        <v>3.3439862202697491E-2</v>
      </c>
      <c r="DY171" s="185">
        <f t="shared" si="8"/>
        <v>5.702854669181542E-30</v>
      </c>
      <c r="DZ171" s="185">
        <f t="shared" si="8"/>
        <v>5.6501677775156039E-16</v>
      </c>
      <c r="EA171" s="185">
        <f t="shared" si="8"/>
        <v>3.9519454013650169E-18</v>
      </c>
      <c r="EB171" s="185">
        <f t="shared" ref="EB171:FB171" si="9">EB168/EB4</f>
        <v>1.452026140871849E-3</v>
      </c>
      <c r="EC171" s="185">
        <f t="shared" si="9"/>
        <v>1.9468175647648724E-16</v>
      </c>
      <c r="ED171" s="185">
        <f t="shared" si="9"/>
        <v>7.7386978915793695E-9</v>
      </c>
      <c r="EE171" s="185">
        <f t="shared" si="9"/>
        <v>3.6281165188267144E-13</v>
      </c>
      <c r="EF171" s="185">
        <f t="shared" si="9"/>
        <v>2.8996448169725826E-27</v>
      </c>
      <c r="EG171" s="185">
        <f t="shared" si="9"/>
        <v>4.0088095055177184E-17</v>
      </c>
      <c r="EH171" s="185">
        <f t="shared" si="9"/>
        <v>3.0433375145491566E-12</v>
      </c>
      <c r="EI171" s="185">
        <f t="shared" si="9"/>
        <v>9.6488439768337251E-20</v>
      </c>
      <c r="EJ171" s="185">
        <f t="shared" si="9"/>
        <v>1.2157288102825766E-12</v>
      </c>
      <c r="EK171" s="185">
        <f t="shared" si="9"/>
        <v>1.7144231061920933E-8</v>
      </c>
      <c r="EL171" s="185">
        <f t="shared" si="9"/>
        <v>3.216280360726844E-13</v>
      </c>
      <c r="EM171" s="185">
        <f t="shared" si="9"/>
        <v>1.0408042495547802E-6</v>
      </c>
      <c r="EN171" s="185">
        <f t="shared" si="9"/>
        <v>7.3122671566980045E-19</v>
      </c>
      <c r="EO171" s="185">
        <f t="shared" si="9"/>
        <v>3.6156267379234581E-12</v>
      </c>
      <c r="EP171" s="185">
        <f t="shared" si="9"/>
        <v>1.3805207007575625E-17</v>
      </c>
      <c r="EQ171" s="185">
        <f t="shared" si="9"/>
        <v>1.11756508750522E-6</v>
      </c>
      <c r="ER171" s="185">
        <f t="shared" si="9"/>
        <v>1.7499447911194263E-24</v>
      </c>
      <c r="ES171" s="185">
        <f t="shared" si="9"/>
        <v>2.3249517020792967E-15</v>
      </c>
      <c r="ET171" s="185">
        <f t="shared" si="9"/>
        <v>2.0418895474170582E-20</v>
      </c>
      <c r="EU171" s="185">
        <f t="shared" si="9"/>
        <v>3.5930052921163684E-2</v>
      </c>
      <c r="EV171" s="185">
        <f t="shared" si="9"/>
        <v>2.1416802744024645E-30</v>
      </c>
      <c r="EW171" s="185">
        <f t="shared" si="9"/>
        <v>3.2198541435268171E-16</v>
      </c>
      <c r="EX171" s="185">
        <f t="shared" si="9"/>
        <v>1.6949995153015747E-18</v>
      </c>
      <c r="EY171" s="185">
        <f t="shared" si="9"/>
        <v>8.9099786394022029E-4</v>
      </c>
      <c r="EZ171" s="185">
        <f t="shared" si="9"/>
        <v>1.162199439650141E-16</v>
      </c>
      <c r="FA171" s="185">
        <f t="shared" si="9"/>
        <v>6.1158279915499238E-9</v>
      </c>
      <c r="FB171" s="192">
        <f t="shared" si="9"/>
        <v>2.315664331228504E-13</v>
      </c>
    </row>
    <row r="172" spans="2:160" ht="12.75" customHeight="1" x14ac:dyDescent="0.2">
      <c r="B172" s="197" t="s">
        <v>4114</v>
      </c>
      <c r="C172" s="441">
        <f>SUM(D172:FB172)</f>
        <v>1.0000000000000004</v>
      </c>
      <c r="D172" s="198">
        <f t="shared" ref="D172:AI172" si="10">D168/SUM($D$168:$FB$168)</f>
        <v>8.7616649014260096E-26</v>
      </c>
      <c r="E172" s="198">
        <f t="shared" si="10"/>
        <v>5.8748392630182802E-8</v>
      </c>
      <c r="F172" s="198">
        <f t="shared" si="10"/>
        <v>2.6667958772708481E-7</v>
      </c>
      <c r="G172" s="198">
        <f t="shared" si="10"/>
        <v>1.0710513838981405E-10</v>
      </c>
      <c r="H172" s="198">
        <f t="shared" si="10"/>
        <v>7.7012026741645685E-10</v>
      </c>
      <c r="I172" s="198">
        <f t="shared" si="10"/>
        <v>6.3017722417188822E-10</v>
      </c>
      <c r="J172" s="198">
        <f t="shared" si="10"/>
        <v>1.071051062582725E-10</v>
      </c>
      <c r="K172" s="198">
        <f t="shared" si="10"/>
        <v>1.8397337326567056E-5</v>
      </c>
      <c r="L172" s="198">
        <f t="shared" si="10"/>
        <v>1.9759657690224202E-12</v>
      </c>
      <c r="M172" s="198">
        <f t="shared" si="10"/>
        <v>3.7350155248218677E-8</v>
      </c>
      <c r="N172" s="198">
        <f t="shared" si="10"/>
        <v>6.4969069504989959E-11</v>
      </c>
      <c r="O172" s="198">
        <f t="shared" si="10"/>
        <v>8.4522770864843924E-6</v>
      </c>
      <c r="P172" s="198">
        <f t="shared" si="10"/>
        <v>2.1883497509864511E-9</v>
      </c>
      <c r="Q172" s="198">
        <f t="shared" si="10"/>
        <v>1.1567315875348113E-5</v>
      </c>
      <c r="R172" s="198">
        <f t="shared" si="10"/>
        <v>7.5033000297174331E-8</v>
      </c>
      <c r="S172" s="198">
        <f t="shared" si="10"/>
        <v>9.516425846192836E-7</v>
      </c>
      <c r="T172" s="198">
        <f t="shared" si="10"/>
        <v>5.1312065697831447E-13</v>
      </c>
      <c r="U172" s="198">
        <f t="shared" si="10"/>
        <v>6.4014742041018681E-8</v>
      </c>
      <c r="V172" s="198">
        <f t="shared" si="10"/>
        <v>3.4210495102069834E-10</v>
      </c>
      <c r="W172" s="198">
        <f t="shared" si="10"/>
        <v>8.5127940400753484E-5</v>
      </c>
      <c r="X172" s="198">
        <f t="shared" si="10"/>
        <v>1.2894623219918969E-21</v>
      </c>
      <c r="Y172" s="198">
        <f t="shared" si="10"/>
        <v>1.3585685700449053E-10</v>
      </c>
      <c r="Z172" s="198">
        <f t="shared" si="10"/>
        <v>1.4164819224058635E-10</v>
      </c>
      <c r="AA172" s="198">
        <f t="shared" si="10"/>
        <v>1.6803014863682614E-3</v>
      </c>
      <c r="AB172" s="198">
        <f t="shared" si="10"/>
        <v>4.131893426931016E-17</v>
      </c>
      <c r="AC172" s="198">
        <f t="shared" si="10"/>
        <v>1.1721039967527237E-6</v>
      </c>
      <c r="AD172" s="198">
        <f t="shared" si="10"/>
        <v>4.5572293575687427E-6</v>
      </c>
      <c r="AE172" s="198">
        <f t="shared" si="10"/>
        <v>9.1920815460715068E-5</v>
      </c>
      <c r="AF172" s="198">
        <f t="shared" si="10"/>
        <v>1.9532414930008823E-21</v>
      </c>
      <c r="AG172" s="198">
        <f t="shared" si="10"/>
        <v>2.6596439625144679E-11</v>
      </c>
      <c r="AH172" s="198">
        <f t="shared" si="10"/>
        <v>8.5195748244279749E-11</v>
      </c>
      <c r="AI172" s="198">
        <f t="shared" si="10"/>
        <v>3.4312291579212469E-3</v>
      </c>
      <c r="AJ172" s="198">
        <f t="shared" ref="AJ172:BO172" si="11">AJ168/SUM($D$168:$FB$168)</f>
        <v>2.203680402686641E-12</v>
      </c>
      <c r="AK172" s="198">
        <f t="shared" si="11"/>
        <v>1.6845406230592799E-8</v>
      </c>
      <c r="AL172" s="198">
        <f t="shared" si="11"/>
        <v>3.6967207840325905E-9</v>
      </c>
      <c r="AM172" s="198">
        <f t="shared" si="11"/>
        <v>0.24825507607374539</v>
      </c>
      <c r="AN172" s="198">
        <f t="shared" si="11"/>
        <v>1.6821309264093754E-10</v>
      </c>
      <c r="AO172" s="198">
        <f t="shared" si="11"/>
        <v>5.200343273945651E-7</v>
      </c>
      <c r="AP172" s="198">
        <f t="shared" si="11"/>
        <v>1.561974147469298E-7</v>
      </c>
      <c r="AQ172" s="198">
        <f t="shared" si="11"/>
        <v>1.2708248955061916E-3</v>
      </c>
      <c r="AR172" s="198">
        <f t="shared" si="11"/>
        <v>1.4508000974441324E-12</v>
      </c>
      <c r="AS172" s="198">
        <f t="shared" si="11"/>
        <v>6.2385522939406953E-9</v>
      </c>
      <c r="AT172" s="198">
        <f t="shared" si="11"/>
        <v>1.3690039722724486E-9</v>
      </c>
      <c r="AU172" s="198">
        <f t="shared" si="11"/>
        <v>3.4983239701794142E-25</v>
      </c>
      <c r="AV172" s="198">
        <f t="shared" si="11"/>
        <v>1.2129063665313878E-8</v>
      </c>
      <c r="AW172" s="198">
        <f t="shared" si="11"/>
        <v>1.1924262471783911E-6</v>
      </c>
      <c r="AX172" s="198">
        <f t="shared" si="11"/>
        <v>3.7475684805525256E-11</v>
      </c>
      <c r="AY172" s="198">
        <f t="shared" si="11"/>
        <v>1.589973331226729E-10</v>
      </c>
      <c r="AZ172" s="198">
        <f t="shared" si="11"/>
        <v>2.8177629524671039E-9</v>
      </c>
      <c r="BA172" s="198">
        <f t="shared" si="11"/>
        <v>3.7475673562819821E-11</v>
      </c>
      <c r="BB172" s="198">
        <f t="shared" si="11"/>
        <v>1.5967615036453952E-6</v>
      </c>
      <c r="BC172" s="198">
        <f t="shared" si="11"/>
        <v>1.9823042551213658E-13</v>
      </c>
      <c r="BD172" s="198">
        <f t="shared" si="11"/>
        <v>1.9203120169271701E-8</v>
      </c>
      <c r="BE172" s="198">
        <f t="shared" si="11"/>
        <v>9.7446770709206776E-12</v>
      </c>
      <c r="BF172" s="198">
        <f t="shared" si="11"/>
        <v>4.2852273266343351E-7</v>
      </c>
      <c r="BG172" s="198">
        <f t="shared" si="11"/>
        <v>8.1137557099740226E-13</v>
      </c>
      <c r="BH172" s="198">
        <f t="shared" si="11"/>
        <v>1.2969608780700108E-7</v>
      </c>
      <c r="BI172" s="198">
        <f t="shared" si="11"/>
        <v>3.2276456105186982E-11</v>
      </c>
      <c r="BJ172" s="198">
        <f t="shared" si="11"/>
        <v>7.7764468662998775E-4</v>
      </c>
      <c r="BK172" s="198">
        <f t="shared" si="11"/>
        <v>1.1267082324840474E-11</v>
      </c>
      <c r="BL172" s="198">
        <f t="shared" si="11"/>
        <v>8.0726650486627992E-8</v>
      </c>
      <c r="BM172" s="198">
        <f t="shared" si="11"/>
        <v>2.064436522913335E-10</v>
      </c>
      <c r="BN172" s="198">
        <f t="shared" si="11"/>
        <v>7.4459362230765082E-6</v>
      </c>
      <c r="BO172" s="198">
        <f t="shared" si="11"/>
        <v>1.2935986516561326E-22</v>
      </c>
      <c r="BP172" s="198">
        <f t="shared" ref="BP172:CU172" si="12">BP168/SUM($D$168:$FB$168)</f>
        <v>6.986006583471143E-11</v>
      </c>
      <c r="BQ172" s="198">
        <f t="shared" si="12"/>
        <v>2.1249065702044462E-11</v>
      </c>
      <c r="BR172" s="198">
        <f t="shared" si="12"/>
        <v>8.3955456003300107E-5</v>
      </c>
      <c r="BS172" s="198">
        <f t="shared" si="12"/>
        <v>1.5319842667130056E-20</v>
      </c>
      <c r="BT172" s="198">
        <f t="shared" si="12"/>
        <v>1.3141962418170264E-8</v>
      </c>
      <c r="BU172" s="198">
        <f t="shared" si="12"/>
        <v>1.9603535098085692E-9</v>
      </c>
      <c r="BV172" s="198">
        <f t="shared" si="12"/>
        <v>3.7502315970189301E-3</v>
      </c>
      <c r="BW172" s="198">
        <f t="shared" si="12"/>
        <v>2.1444598266159181E-21</v>
      </c>
      <c r="BX172" s="198">
        <f t="shared" si="12"/>
        <v>1.6769908909270745E-12</v>
      </c>
      <c r="BY172" s="198">
        <f t="shared" si="12"/>
        <v>2.5705752865278211E-12</v>
      </c>
      <c r="BZ172" s="198">
        <f t="shared" si="12"/>
        <v>2.5767823199511087E-3</v>
      </c>
      <c r="CA172" s="198">
        <f t="shared" si="12"/>
        <v>2.2125647877096651E-13</v>
      </c>
      <c r="CB172" s="198">
        <f t="shared" si="12"/>
        <v>1.5026058473343161E-8</v>
      </c>
      <c r="CC172" s="198">
        <f t="shared" si="12"/>
        <v>4.0208884415259009E-10</v>
      </c>
      <c r="CD172" s="198">
        <f t="shared" si="12"/>
        <v>1.2775716873512331E-2</v>
      </c>
      <c r="CE172" s="198">
        <f t="shared" si="12"/>
        <v>7.8661635808766741E-13</v>
      </c>
      <c r="CF172" s="198">
        <f t="shared" si="12"/>
        <v>3.3914680922871109E-8</v>
      </c>
      <c r="CG172" s="198">
        <f t="shared" si="12"/>
        <v>8.9346550655768961E-10</v>
      </c>
      <c r="CH172" s="198">
        <f t="shared" si="12"/>
        <v>9.5436375006055605E-4</v>
      </c>
      <c r="CI172" s="198">
        <f t="shared" si="12"/>
        <v>1.4566491609659664E-13</v>
      </c>
      <c r="CJ172" s="198">
        <f t="shared" si="12"/>
        <v>5.5651579405466487E-9</v>
      </c>
      <c r="CK172" s="198">
        <f t="shared" si="12"/>
        <v>1.4890654553446031E-10</v>
      </c>
      <c r="CL172" s="198">
        <f t="shared" si="12"/>
        <v>1.7473040324788867E-23</v>
      </c>
      <c r="CM172" s="198">
        <f t="shared" si="12"/>
        <v>3.7208508256822789E-10</v>
      </c>
      <c r="CN172" s="198">
        <f t="shared" si="12"/>
        <v>9.6413396087603298E-7</v>
      </c>
      <c r="CO172" s="198">
        <f t="shared" si="12"/>
        <v>1.4313362170688292E-12</v>
      </c>
      <c r="CP172" s="198">
        <f t="shared" si="12"/>
        <v>4.8775847382401229E-12</v>
      </c>
      <c r="CQ172" s="198">
        <f t="shared" si="12"/>
        <v>2.2782968444382329E-9</v>
      </c>
      <c r="CR172" s="198">
        <f t="shared" si="12"/>
        <v>1.4313357876679643E-12</v>
      </c>
      <c r="CS172" s="198">
        <f t="shared" si="12"/>
        <v>4.2503547485521469E-3</v>
      </c>
      <c r="CT172" s="198">
        <f t="shared" si="12"/>
        <v>3.3513354675163118E-13</v>
      </c>
      <c r="CU172" s="198">
        <f t="shared" si="12"/>
        <v>5.426429315524711E-8</v>
      </c>
      <c r="CV172" s="198">
        <f t="shared" ref="CV172:EA172" si="13">CV168/SUM($D$168:$FB$168)</f>
        <v>6.1870506912189289E-12</v>
      </c>
      <c r="CW172" s="198">
        <f t="shared" si="13"/>
        <v>0.12751500821185879</v>
      </c>
      <c r="CX172" s="198">
        <f t="shared" si="13"/>
        <v>2.7564808650413557E-17</v>
      </c>
      <c r="CY172" s="198">
        <f t="shared" si="13"/>
        <v>1.1469670160535963E-9</v>
      </c>
      <c r="CZ172" s="198">
        <f t="shared" si="13"/>
        <v>2.8447023777179667E-13</v>
      </c>
      <c r="DA172" s="198">
        <f t="shared" si="13"/>
        <v>4.0996457787708614E-2</v>
      </c>
      <c r="DB172" s="198">
        <f t="shared" si="13"/>
        <v>3.4976002408268421E-28</v>
      </c>
      <c r="DC172" s="198">
        <f t="shared" si="13"/>
        <v>1.5884485823056036E-15</v>
      </c>
      <c r="DD172" s="198">
        <f t="shared" si="13"/>
        <v>2.3614248933420521E-16</v>
      </c>
      <c r="DE172" s="198">
        <f t="shared" si="13"/>
        <v>7.2483312821325961E-3</v>
      </c>
      <c r="DF172" s="198">
        <f t="shared" si="13"/>
        <v>2.5959541986100628E-14</v>
      </c>
      <c r="DG172" s="198">
        <f t="shared" si="13"/>
        <v>4.334968754971769E-8</v>
      </c>
      <c r="DH172" s="198">
        <f t="shared" si="13"/>
        <v>4.9344960348570958E-11</v>
      </c>
      <c r="DI172" s="198">
        <f t="shared" si="13"/>
        <v>7.6099180543613007E-25</v>
      </c>
      <c r="DJ172" s="198">
        <f t="shared" si="13"/>
        <v>3.2567317637351263E-12</v>
      </c>
      <c r="DK172" s="198">
        <f t="shared" si="13"/>
        <v>2.3131664693464923E-7</v>
      </c>
      <c r="DL172" s="198">
        <f t="shared" si="13"/>
        <v>3.592672936095011E-14</v>
      </c>
      <c r="DM172" s="198">
        <f t="shared" si="13"/>
        <v>7.8301084015506581E-14</v>
      </c>
      <c r="DN172" s="198">
        <f t="shared" si="13"/>
        <v>9.547050803360503E-10</v>
      </c>
      <c r="DO172" s="198">
        <f t="shared" si="13"/>
        <v>3.5926718582931299E-14</v>
      </c>
      <c r="DP172" s="198">
        <f t="shared" si="13"/>
        <v>3.4082405445783124E-3</v>
      </c>
      <c r="DQ172" s="198">
        <f t="shared" si="13"/>
        <v>3.5305136336989471E-15</v>
      </c>
      <c r="DR172" s="198">
        <f t="shared" si="13"/>
        <v>1.4410998522819174E-8</v>
      </c>
      <c r="DS172" s="198">
        <f t="shared" si="13"/>
        <v>8.0558258221104015E-14</v>
      </c>
      <c r="DT172" s="198">
        <f t="shared" si="13"/>
        <v>8.3910075824671249E-2</v>
      </c>
      <c r="DU172" s="198">
        <f t="shared" si="13"/>
        <v>3.3980114940257514E-19</v>
      </c>
      <c r="DV172" s="198">
        <f t="shared" si="13"/>
        <v>3.2913477979515149E-10</v>
      </c>
      <c r="DW172" s="198">
        <f t="shared" si="13"/>
        <v>3.8406815558223437E-15</v>
      </c>
      <c r="DX172" s="198">
        <f t="shared" si="13"/>
        <v>2.6977341174474943E-2</v>
      </c>
      <c r="DY172" s="198">
        <f t="shared" si="13"/>
        <v>4.6007323578787791E-30</v>
      </c>
      <c r="DZ172" s="198">
        <f t="shared" si="13"/>
        <v>4.5582276297408763E-16</v>
      </c>
      <c r="EA172" s="198">
        <f t="shared" si="13"/>
        <v>3.1882003206018365E-18</v>
      </c>
      <c r="EB172" s="198">
        <f t="shared" ref="EB172:FB172" si="14">EB168/SUM($D$168:$FB$168)</f>
        <v>1.3015671854651302E-3</v>
      </c>
      <c r="EC172" s="198">
        <f t="shared" si="14"/>
        <v>1.7450883197348227E-16</v>
      </c>
      <c r="ED172" s="198">
        <f t="shared" si="14"/>
        <v>6.9368139804012365E-9</v>
      </c>
      <c r="EE172" s="198">
        <f t="shared" si="14"/>
        <v>3.2521710684309243E-13</v>
      </c>
      <c r="EF172" s="198">
        <f t="shared" si="14"/>
        <v>3.8987742418859266E-22</v>
      </c>
      <c r="EG172" s="198">
        <f t="shared" si="14"/>
        <v>5.3901233520932027E-12</v>
      </c>
      <c r="EH172" s="198">
        <f t="shared" si="14"/>
        <v>4.0919790733119922E-7</v>
      </c>
      <c r="EI172" s="198">
        <f t="shared" si="14"/>
        <v>1.2973542187188232E-14</v>
      </c>
      <c r="EJ172" s="198">
        <f t="shared" si="14"/>
        <v>4.9038959629514685E-14</v>
      </c>
      <c r="EK172" s="198">
        <f t="shared" si="14"/>
        <v>6.9154835174893718E-10</v>
      </c>
      <c r="EL172" s="198">
        <f t="shared" si="14"/>
        <v>1.2973538295125574E-14</v>
      </c>
      <c r="EM172" s="198">
        <f t="shared" si="14"/>
        <v>9.7960391384190482E-3</v>
      </c>
      <c r="EN172" s="198">
        <f t="shared" si="14"/>
        <v>6.8822985002445154E-15</v>
      </c>
      <c r="EO172" s="198">
        <f t="shared" si="14"/>
        <v>3.4030242526165245E-8</v>
      </c>
      <c r="EP172" s="198">
        <f t="shared" si="14"/>
        <v>1.2993446963541618E-13</v>
      </c>
      <c r="EQ172" s="198">
        <f t="shared" si="14"/>
        <v>0.315555341216609</v>
      </c>
      <c r="ER172" s="198">
        <f t="shared" si="14"/>
        <v>4.941138836974797E-19</v>
      </c>
      <c r="ES172" s="198">
        <f t="shared" si="14"/>
        <v>6.5647266173957093E-10</v>
      </c>
      <c r="ET172" s="198">
        <f t="shared" si="14"/>
        <v>5.7654731707857453E-15</v>
      </c>
      <c r="EU172" s="198">
        <f t="shared" si="14"/>
        <v>0.101451989116613</v>
      </c>
      <c r="EV172" s="198">
        <f t="shared" si="14"/>
        <v>6.0472419666813704E-30</v>
      </c>
      <c r="EW172" s="198">
        <f t="shared" si="14"/>
        <v>9.091570453372553E-16</v>
      </c>
      <c r="EX172" s="198">
        <f t="shared" si="14"/>
        <v>4.7859955218087196E-18</v>
      </c>
      <c r="EY172" s="198">
        <f t="shared" si="14"/>
        <v>1.7970134876411634E-3</v>
      </c>
      <c r="EZ172" s="198">
        <f t="shared" si="14"/>
        <v>2.3439877388083489E-16</v>
      </c>
      <c r="FA172" s="198">
        <f t="shared" si="14"/>
        <v>1.2334738200501396E-8</v>
      </c>
      <c r="FB172" s="387">
        <f t="shared" si="14"/>
        <v>4.6703591607559327E-13</v>
      </c>
    </row>
    <row r="173" spans="2:160" ht="12.75" customHeight="1" x14ac:dyDescent="0.2">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5"/>
      <c r="O174" s="176"/>
      <c r="P174" s="176"/>
      <c r="Q174" s="176"/>
      <c r="R174" s="176"/>
      <c r="BF174" s="176"/>
      <c r="BG174" s="176"/>
      <c r="BH174" s="176"/>
      <c r="BI174" s="176"/>
    </row>
    <row r="175" spans="2:160" ht="12.75" customHeight="1" x14ac:dyDescent="0.2">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2">
      <c r="B176" s="188" t="s">
        <v>3954</v>
      </c>
      <c r="C176" s="201">
        <f t="array" ref="C176:C330">TRANSPOSE(D5:FB5)</f>
        <v>0</v>
      </c>
      <c r="D176" s="189">
        <f>C176+SUM(E176:FB176)-SUM(D177:D330)-D331</f>
        <v>1.3076199158547126E-34</v>
      </c>
      <c r="E176" s="184">
        <f t="shared" ref="E176:AJ176" si="15">E9*E$168</f>
        <v>0</v>
      </c>
      <c r="F176" s="184">
        <f t="shared" si="15"/>
        <v>0</v>
      </c>
      <c r="G176" s="184">
        <f t="shared" si="15"/>
        <v>0</v>
      </c>
      <c r="H176" s="184">
        <f t="shared" si="15"/>
        <v>0</v>
      </c>
      <c r="I176" s="184">
        <f t="shared" si="15"/>
        <v>0</v>
      </c>
      <c r="J176" s="184">
        <f t="shared" si="15"/>
        <v>0</v>
      </c>
      <c r="K176" s="184">
        <f t="shared" si="15"/>
        <v>9.3037765127509718E-21</v>
      </c>
      <c r="L176" s="184">
        <f t="shared" si="15"/>
        <v>0</v>
      </c>
      <c r="M176" s="184">
        <f t="shared" si="15"/>
        <v>0</v>
      </c>
      <c r="N176" s="184">
        <f t="shared" si="15"/>
        <v>0</v>
      </c>
      <c r="O176" s="184">
        <f t="shared" si="15"/>
        <v>6.1553232130304185E-20</v>
      </c>
      <c r="P176" s="184">
        <f t="shared" si="15"/>
        <v>0</v>
      </c>
      <c r="Q176" s="184">
        <f t="shared" si="15"/>
        <v>0</v>
      </c>
      <c r="R176" s="184">
        <f t="shared" si="15"/>
        <v>0</v>
      </c>
      <c r="S176" s="184">
        <f t="shared" si="15"/>
        <v>3.4179571093248004E-21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3.4384640109646146E-20</v>
      </c>
      <c r="AJ176" s="184">
        <f t="shared" si="15"/>
        <v>0</v>
      </c>
      <c r="AK176" s="184">
        <f t="shared" ref="AK176:BP176" si="16">AK9*AK$168</f>
        <v>0</v>
      </c>
      <c r="AL176" s="184">
        <f t="shared" si="16"/>
        <v>0</v>
      </c>
      <c r="AM176" s="184">
        <f t="shared" si="16"/>
        <v>1.13207723202469E-18</v>
      </c>
      <c r="AN176" s="184">
        <f t="shared" si="16"/>
        <v>0</v>
      </c>
      <c r="AO176" s="184">
        <f t="shared" si="16"/>
        <v>0</v>
      </c>
      <c r="AP176" s="184">
        <f t="shared" si="16"/>
        <v>0</v>
      </c>
      <c r="AQ176" s="184">
        <f t="shared" si="16"/>
        <v>1.2735044691923776E-20</v>
      </c>
      <c r="AR176" s="184">
        <f t="shared" si="16"/>
        <v>0</v>
      </c>
      <c r="AS176" s="184">
        <f t="shared" si="16"/>
        <v>0</v>
      </c>
      <c r="AT176" s="184">
        <f t="shared" si="16"/>
        <v>0</v>
      </c>
      <c r="AU176" s="184">
        <f t="shared" si="16"/>
        <v>9.9648819569161539E-20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3955</v>
      </c>
      <c r="C177" s="201">
        <v>2.9396302942212462</v>
      </c>
      <c r="D177" s="190">
        <f t="shared" ref="D177:D208" si="20">D10*D$168</f>
        <v>0</v>
      </c>
      <c r="E177" s="189">
        <f>$C177+SUM($D177:D177,F177:$FB177)-SUM(E$176:E176,E178:E$330)-E$331</f>
        <v>-6.2779710358236429E-16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3.4549312385889447E-3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3956</v>
      </c>
      <c r="C178" s="201">
        <v>0</v>
      </c>
      <c r="D178" s="190">
        <f t="shared" si="20"/>
        <v>0</v>
      </c>
      <c r="E178" s="190">
        <f t="shared" ref="E178:E209" si="26">E11*E$168</f>
        <v>2.1643525365996328</v>
      </c>
      <c r="F178" s="189">
        <f>$C178+SUM($D178:E178,G178:$FB178)-SUM(F$176:F177,F179:F$330)-F$331</f>
        <v>2.8567371992277435E-16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0.33965941681644179</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3957</v>
      </c>
      <c r="C179" s="201">
        <v>0</v>
      </c>
      <c r="D179" s="190">
        <f t="shared" si="20"/>
        <v>0</v>
      </c>
      <c r="E179" s="190">
        <f t="shared" si="26"/>
        <v>8.5622911323376058E-3</v>
      </c>
      <c r="F179" s="184">
        <f t="shared" ref="F179:F210" si="32">F12*F$168</f>
        <v>0</v>
      </c>
      <c r="G179" s="189">
        <f>$C179+SUM($D179:F179,H179:$FB179)-SUM(G$176:G178,G180:G$330)-G$331</f>
        <v>3.9767667477997367E-18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1.0674848256621106E-5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3958</v>
      </c>
      <c r="C180" s="201">
        <v>0</v>
      </c>
      <c r="D180" s="190">
        <f t="shared" si="20"/>
        <v>0</v>
      </c>
      <c r="E180" s="190">
        <f t="shared" si="26"/>
        <v>5.4032570842934113E-2</v>
      </c>
      <c r="F180" s="190">
        <f t="shared" si="32"/>
        <v>0</v>
      </c>
      <c r="G180" s="190">
        <f t="shared" ref="G180:G211" si="38">G13*G$168</f>
        <v>0</v>
      </c>
      <c r="H180" s="189">
        <f>$C180+SUM($D180:G180,I180:$FB180)-SUM(H$176:H179,H181:H$330)-H$331</f>
        <v>2.0816681711721685E-17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3959</v>
      </c>
      <c r="C181" s="201">
        <v>0</v>
      </c>
      <c r="D181" s="190">
        <f t="shared" si="20"/>
        <v>0</v>
      </c>
      <c r="E181" s="190">
        <f t="shared" si="26"/>
        <v>0</v>
      </c>
      <c r="F181" s="190">
        <f t="shared" si="32"/>
        <v>4.4213997409651214E-2</v>
      </c>
      <c r="G181" s="190">
        <f t="shared" si="38"/>
        <v>0</v>
      </c>
      <c r="H181" s="190">
        <f t="shared" ref="H181:H212" si="44">H14*H$168</f>
        <v>0</v>
      </c>
      <c r="I181" s="189">
        <f>$C181+SUM($D181:H181,J181:$FB181)-SUM(I$176:I180,I182:I$330)-I$331</f>
        <v>1.3877787807814457E-17</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3960</v>
      </c>
      <c r="C182" s="201">
        <v>0</v>
      </c>
      <c r="D182" s="190">
        <f t="shared" si="20"/>
        <v>0</v>
      </c>
      <c r="E182" s="190">
        <f t="shared" si="26"/>
        <v>0</v>
      </c>
      <c r="F182" s="190">
        <f t="shared" si="32"/>
        <v>0</v>
      </c>
      <c r="G182" s="190">
        <f t="shared" si="38"/>
        <v>7.5146239962680756E-3</v>
      </c>
      <c r="H182" s="190">
        <f t="shared" si="44"/>
        <v>0</v>
      </c>
      <c r="I182" s="184">
        <f t="shared" ref="I182:I213" si="50">I15*I$168</f>
        <v>0</v>
      </c>
      <c r="J182" s="189">
        <f>$C182+SUM($D182:I182,K182:$FB182)-SUM(J$176:J181,J183:J$330)-J$331</f>
        <v>1.7347234759768071E-18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3961</v>
      </c>
      <c r="C183" s="201">
        <v>0</v>
      </c>
      <c r="D183" s="190">
        <f t="shared" si="20"/>
        <v>1.4198737986446483E-21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-1.0897236555493233E-17</v>
      </c>
      <c r="L183" s="184">
        <f t="shared" ref="L183:AQ183" si="57">L16*L$168</f>
        <v>2.4733189096565012E-7</v>
      </c>
      <c r="M183" s="184">
        <f t="shared" si="57"/>
        <v>4.6751237649085555E-3</v>
      </c>
      <c r="N183" s="184">
        <f t="shared" si="57"/>
        <v>8.1321868358568692E-6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7.8971355135273123E-3</v>
      </c>
      <c r="AJ183" s="184">
        <f t="shared" si="57"/>
        <v>0</v>
      </c>
      <c r="AK183" s="184">
        <f t="shared" si="57"/>
        <v>0</v>
      </c>
      <c r="AL183" s="184">
        <f t="shared" si="57"/>
        <v>0</v>
      </c>
      <c r="AM183" s="184">
        <f t="shared" si="57"/>
        <v>0.26000467896622936</v>
      </c>
      <c r="AN183" s="184">
        <f t="shared" si="57"/>
        <v>0</v>
      </c>
      <c r="AO183" s="184">
        <f t="shared" si="57"/>
        <v>0</v>
      </c>
      <c r="AP183" s="184">
        <f t="shared" si="57"/>
        <v>0</v>
      </c>
      <c r="AQ183" s="184">
        <f t="shared" si="57"/>
        <v>2.9248633512594215E-3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3962</v>
      </c>
      <c r="C184" s="201">
        <v>0</v>
      </c>
      <c r="D184" s="190">
        <f t="shared" si="20"/>
        <v>0</v>
      </c>
      <c r="E184" s="190">
        <f t="shared" si="26"/>
        <v>8.559521453779061E-4</v>
      </c>
      <c r="F184" s="190">
        <f t="shared" si="32"/>
        <v>0</v>
      </c>
      <c r="G184" s="190">
        <f t="shared" si="38"/>
        <v>0</v>
      </c>
      <c r="H184" s="190">
        <f t="shared" si="44"/>
        <v>1.3449301648265719E-4</v>
      </c>
      <c r="I184" s="184">
        <f t="shared" si="50"/>
        <v>0</v>
      </c>
      <c r="J184" s="190">
        <f t="shared" si="56"/>
        <v>0</v>
      </c>
      <c r="K184" s="190">
        <f t="shared" ref="K184:K215" si="62">K17*K$168</f>
        <v>0</v>
      </c>
      <c r="L184" s="189">
        <f>$C184+SUM($D184:K184,M184:$FB184)-SUM(L$176:L183,L185:L$330)-L$331</f>
        <v>4.3368086899420177E-19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2.4562539267285384E-8</v>
      </c>
      <c r="AK184" s="184">
        <f t="shared" si="63"/>
        <v>0</v>
      </c>
      <c r="AL184" s="184">
        <f t="shared" si="63"/>
        <v>0</v>
      </c>
      <c r="AM184" s="184">
        <f t="shared" si="63"/>
        <v>0</v>
      </c>
      <c r="AN184" s="184">
        <f t="shared" si="63"/>
        <v>8.5314177791822317E-7</v>
      </c>
      <c r="AO184" s="184">
        <f t="shared" si="63"/>
        <v>0</v>
      </c>
      <c r="AP184" s="184">
        <f t="shared" si="63"/>
        <v>0</v>
      </c>
      <c r="AQ184" s="184">
        <f t="shared" si="63"/>
        <v>0</v>
      </c>
      <c r="AR184" s="184">
        <f t="shared" si="63"/>
        <v>1.6170826912563073E-8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3963</v>
      </c>
      <c r="C185" s="201">
        <v>0</v>
      </c>
      <c r="D185" s="190">
        <f t="shared" si="20"/>
        <v>0</v>
      </c>
      <c r="E185" s="190">
        <f t="shared" si="26"/>
        <v>0</v>
      </c>
      <c r="F185" s="190">
        <f t="shared" si="32"/>
        <v>7.8875943684024918E-4</v>
      </c>
      <c r="G185" s="190">
        <f t="shared" si="38"/>
        <v>0</v>
      </c>
      <c r="H185" s="190">
        <f t="shared" si="44"/>
        <v>0</v>
      </c>
      <c r="I185" s="184">
        <f t="shared" si="50"/>
        <v>1.1005350642422761E-4</v>
      </c>
      <c r="J185" s="190">
        <f t="shared" si="56"/>
        <v>0</v>
      </c>
      <c r="K185" s="190">
        <f t="shared" si="62"/>
        <v>0</v>
      </c>
      <c r="L185" s="190">
        <f t="shared" ref="L185:L216" si="68">L18*L$168</f>
        <v>9.8379131285841271E-4</v>
      </c>
      <c r="M185" s="189">
        <f>$C185+SUM($D185:L185,N185:$FB185)-SUM(M$176:M184,M186:M$330)-M$331</f>
        <v>0</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1.8776132487626708E-4</v>
      </c>
      <c r="AL185" s="184">
        <f t="shared" si="69"/>
        <v>0</v>
      </c>
      <c r="AM185" s="184">
        <f t="shared" si="69"/>
        <v>0</v>
      </c>
      <c r="AN185" s="184">
        <f t="shared" si="69"/>
        <v>0</v>
      </c>
      <c r="AO185" s="184">
        <f t="shared" si="69"/>
        <v>2.6375058188778202E-3</v>
      </c>
      <c r="AP185" s="184">
        <f t="shared" si="69"/>
        <v>0</v>
      </c>
      <c r="AQ185" s="184">
        <f t="shared" si="69"/>
        <v>0</v>
      </c>
      <c r="AR185" s="184">
        <f t="shared" si="69"/>
        <v>0</v>
      </c>
      <c r="AS185" s="184">
        <f t="shared" si="69"/>
        <v>6.9535802698119878E-5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3964</v>
      </c>
      <c r="C186" s="201">
        <v>0</v>
      </c>
      <c r="D186" s="190">
        <f t="shared" si="20"/>
        <v>0</v>
      </c>
      <c r="E186" s="190">
        <f t="shared" si="26"/>
        <v>0</v>
      </c>
      <c r="F186" s="190">
        <f t="shared" si="32"/>
        <v>0</v>
      </c>
      <c r="G186" s="190">
        <f t="shared" si="38"/>
        <v>2.5280246811867656E-7</v>
      </c>
      <c r="H186" s="190">
        <f t="shared" si="44"/>
        <v>0</v>
      </c>
      <c r="I186" s="184">
        <f t="shared" si="50"/>
        <v>0</v>
      </c>
      <c r="J186" s="190">
        <f t="shared" si="56"/>
        <v>1.8704726301639951E-5</v>
      </c>
      <c r="K186" s="190">
        <f t="shared" si="62"/>
        <v>0</v>
      </c>
      <c r="L186" s="190">
        <f t="shared" si="68"/>
        <v>7.2958907614145673E-6</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7.0626213634492315E-9</v>
      </c>
      <c r="AM186" s="184">
        <f t="shared" si="75"/>
        <v>0</v>
      </c>
      <c r="AN186" s="184">
        <f t="shared" si="75"/>
        <v>0</v>
      </c>
      <c r="AO186" s="184">
        <f t="shared" si="75"/>
        <v>0</v>
      </c>
      <c r="AP186" s="184">
        <f t="shared" si="75"/>
        <v>1.3579578048374462E-7</v>
      </c>
      <c r="AQ186" s="184">
        <f t="shared" si="75"/>
        <v>0</v>
      </c>
      <c r="AR186" s="184">
        <f t="shared" si="75"/>
        <v>0</v>
      </c>
      <c r="AS186" s="184">
        <f t="shared" si="75"/>
        <v>0</v>
      </c>
      <c r="AT186" s="184">
        <f t="shared" si="75"/>
        <v>2.615495534036799E-9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3965</v>
      </c>
      <c r="C187" s="201">
        <v>0</v>
      </c>
      <c r="D187" s="190">
        <f t="shared" si="20"/>
        <v>1.5618611785091135E-20</v>
      </c>
      <c r="E187" s="190">
        <f t="shared" si="26"/>
        <v>0</v>
      </c>
      <c r="F187" s="190">
        <f t="shared" si="32"/>
        <v>0</v>
      </c>
      <c r="G187" s="190">
        <f t="shared" si="38"/>
        <v>0</v>
      </c>
      <c r="H187" s="190">
        <f t="shared" si="44"/>
        <v>0</v>
      </c>
      <c r="I187" s="184">
        <f t="shared" si="50"/>
        <v>0</v>
      </c>
      <c r="J187" s="190">
        <f t="shared" si="56"/>
        <v>0</v>
      </c>
      <c r="K187" s="190">
        <f t="shared" si="62"/>
        <v>4.1821242357647205E-2</v>
      </c>
      <c r="L187" s="190">
        <f t="shared" si="68"/>
        <v>0</v>
      </c>
      <c r="M187" s="190">
        <f t="shared" si="74"/>
        <v>0</v>
      </c>
      <c r="N187" s="190">
        <f t="shared" ref="N187:N218" si="80">N20*N$168</f>
        <v>0</v>
      </c>
      <c r="O187" s="189">
        <f>$C187+SUM($D187:N187,P187:$FB187)-SUM(O$176:O186,O188:O$330)-O$331</f>
        <v>7.894494517527139E-15</v>
      </c>
      <c r="P187" s="184">
        <f t="shared" ref="P187:AU187" si="81">P20*P$168</f>
        <v>2.7391602146704355E-4</v>
      </c>
      <c r="Q187" s="184">
        <f t="shared" si="81"/>
        <v>1.4478824247356541</v>
      </c>
      <c r="R187" s="184">
        <f t="shared" si="81"/>
        <v>9.3918903552198865E-3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42.30953554512832</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8.6868490648800437E-2</v>
      </c>
      <c r="AJ187" s="184">
        <f t="shared" si="81"/>
        <v>0</v>
      </c>
      <c r="AK187" s="184">
        <f t="shared" si="81"/>
        <v>0</v>
      </c>
      <c r="AL187" s="184">
        <f t="shared" si="81"/>
        <v>0</v>
      </c>
      <c r="AM187" s="184">
        <f t="shared" si="81"/>
        <v>2.8600514686285239</v>
      </c>
      <c r="AN187" s="184">
        <f t="shared" si="81"/>
        <v>0</v>
      </c>
      <c r="AO187" s="184">
        <f t="shared" si="81"/>
        <v>0</v>
      </c>
      <c r="AP187" s="184">
        <f t="shared" si="81"/>
        <v>0</v>
      </c>
      <c r="AQ187" s="184">
        <f t="shared" si="81"/>
        <v>3.2173496863853637E-2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3966</v>
      </c>
      <c r="C188" s="201">
        <v>2.9396302942212462</v>
      </c>
      <c r="D188" s="190">
        <f t="shared" si="20"/>
        <v>0</v>
      </c>
      <c r="E188" s="190">
        <f t="shared" si="26"/>
        <v>9.4154735991569677E-3</v>
      </c>
      <c r="F188" s="190">
        <f t="shared" si="32"/>
        <v>0</v>
      </c>
      <c r="G188" s="190">
        <f t="shared" si="38"/>
        <v>0</v>
      </c>
      <c r="H188" s="190">
        <f t="shared" si="44"/>
        <v>1.479423181309229E-3</v>
      </c>
      <c r="I188" s="184">
        <f t="shared" si="50"/>
        <v>0</v>
      </c>
      <c r="J188" s="190">
        <f t="shared" si="56"/>
        <v>0</v>
      </c>
      <c r="K188" s="190">
        <f t="shared" si="62"/>
        <v>0</v>
      </c>
      <c r="L188" s="190">
        <f t="shared" si="68"/>
        <v>4.4918099749884567E-9</v>
      </c>
      <c r="M188" s="190">
        <f t="shared" si="74"/>
        <v>0</v>
      </c>
      <c r="N188" s="190">
        <f t="shared" si="80"/>
        <v>0</v>
      </c>
      <c r="O188" s="190">
        <f t="shared" ref="O188:O219" si="86">O21*O$168</f>
        <v>0</v>
      </c>
      <c r="P188" s="189">
        <f>$C188+SUM($D188:O188,Q188:$FB188)-SUM(P$176:P187,P189:P$330)-P$331</f>
        <v>-8.8817841970012523E-16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1.0388870830048992E-12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2.7018793194013926E-7</v>
      </c>
      <c r="AK188" s="184">
        <f t="shared" si="87"/>
        <v>0</v>
      </c>
      <c r="AL188" s="184">
        <f t="shared" si="87"/>
        <v>0</v>
      </c>
      <c r="AM188" s="184">
        <f t="shared" si="87"/>
        <v>0</v>
      </c>
      <c r="AN188" s="184">
        <f t="shared" si="87"/>
        <v>9.3845595571004552E-6</v>
      </c>
      <c r="AO188" s="184">
        <f t="shared" si="87"/>
        <v>0</v>
      </c>
      <c r="AP188" s="184">
        <f t="shared" si="87"/>
        <v>0</v>
      </c>
      <c r="AQ188" s="184">
        <f t="shared" si="87"/>
        <v>0</v>
      </c>
      <c r="AR188" s="184">
        <f t="shared" si="87"/>
        <v>1.7787909603819381E-7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3967</v>
      </c>
      <c r="C189" s="201">
        <v>0</v>
      </c>
      <c r="D189" s="190">
        <f t="shared" si="20"/>
        <v>0</v>
      </c>
      <c r="E189" s="190">
        <f t="shared" si="26"/>
        <v>0</v>
      </c>
      <c r="F189" s="190">
        <f t="shared" si="32"/>
        <v>8.6763538052427418E-3</v>
      </c>
      <c r="G189" s="190">
        <f t="shared" si="38"/>
        <v>0</v>
      </c>
      <c r="H189" s="190">
        <f t="shared" si="44"/>
        <v>0</v>
      </c>
      <c r="I189" s="184">
        <f t="shared" si="50"/>
        <v>1.2105885706665037E-3</v>
      </c>
      <c r="J189" s="190">
        <f t="shared" si="56"/>
        <v>0</v>
      </c>
      <c r="K189" s="190">
        <f t="shared" si="62"/>
        <v>0</v>
      </c>
      <c r="L189" s="190">
        <f t="shared" si="68"/>
        <v>0</v>
      </c>
      <c r="M189" s="190">
        <f t="shared" si="74"/>
        <v>8.4905215738791741E-5</v>
      </c>
      <c r="N189" s="190">
        <f t="shared" si="80"/>
        <v>0</v>
      </c>
      <c r="O189" s="190">
        <f t="shared" si="86"/>
        <v>0</v>
      </c>
      <c r="P189" s="190">
        <f t="shared" ref="P189:P220" si="92">P22*P$168</f>
        <v>2.352818855759804</v>
      </c>
      <c r="Q189" s="189">
        <f>$C189+SUM($D189:P189,R189:$FB189)-SUM(Q$176:Q188,Q190:Q$330)-Q$331</f>
        <v>-4.4408920985006262E-16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2.9470355992924566E-2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2.065374573638938E-3</v>
      </c>
      <c r="AL189" s="184">
        <f t="shared" si="93"/>
        <v>0</v>
      </c>
      <c r="AM189" s="184">
        <f t="shared" si="93"/>
        <v>0</v>
      </c>
      <c r="AN189" s="184">
        <f t="shared" si="93"/>
        <v>0</v>
      </c>
      <c r="AO189" s="184">
        <f t="shared" si="93"/>
        <v>2.9012564007656026E-2</v>
      </c>
      <c r="AP189" s="184">
        <f t="shared" si="93"/>
        <v>0</v>
      </c>
      <c r="AQ189" s="184">
        <f t="shared" si="93"/>
        <v>0</v>
      </c>
      <c r="AR189" s="184">
        <f t="shared" si="93"/>
        <v>0</v>
      </c>
      <c r="AS189" s="184">
        <f t="shared" si="93"/>
        <v>7.6489382967931873E-4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3968</v>
      </c>
      <c r="C190" s="201">
        <v>0</v>
      </c>
      <c r="D190" s="190">
        <f t="shared" si="20"/>
        <v>0</v>
      </c>
      <c r="E190" s="190">
        <f t="shared" si="26"/>
        <v>0</v>
      </c>
      <c r="F190" s="190">
        <f t="shared" si="32"/>
        <v>0</v>
      </c>
      <c r="G190" s="190">
        <f t="shared" si="38"/>
        <v>2.7808271493054429E-6</v>
      </c>
      <c r="H190" s="190">
        <f t="shared" si="44"/>
        <v>0</v>
      </c>
      <c r="I190" s="184">
        <f t="shared" si="50"/>
        <v>0</v>
      </c>
      <c r="J190" s="190">
        <f t="shared" si="56"/>
        <v>2.0575198931803947E-4</v>
      </c>
      <c r="K190" s="190">
        <f t="shared" si="62"/>
        <v>0</v>
      </c>
      <c r="L190" s="190">
        <f t="shared" si="68"/>
        <v>0</v>
      </c>
      <c r="M190" s="190">
        <f t="shared" si="74"/>
        <v>0</v>
      </c>
      <c r="N190" s="190">
        <f t="shared" si="80"/>
        <v>1.4768915486456539E-7</v>
      </c>
      <c r="O190" s="190">
        <f t="shared" si="86"/>
        <v>0</v>
      </c>
      <c r="P190" s="190">
        <f t="shared" si="92"/>
        <v>0.59729115321066439</v>
      </c>
      <c r="Q190" s="190">
        <f t="shared" ref="Q190:Q221" si="98">Q23*Q$168</f>
        <v>0</v>
      </c>
      <c r="R190" s="189">
        <f>$C190+SUM($D190:Q190,S190:$FB190)-SUM(R$176:R189,R191:R$330)-R$331</f>
        <v>4.4408920985006262E-16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0.11458298229597404</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7.7688834997941537E-8</v>
      </c>
      <c r="AM190" s="184">
        <f t="shared" si="99"/>
        <v>0</v>
      </c>
      <c r="AN190" s="184">
        <f t="shared" si="99"/>
        <v>0</v>
      </c>
      <c r="AO190" s="184">
        <f t="shared" si="99"/>
        <v>0</v>
      </c>
      <c r="AP190" s="184">
        <f t="shared" si="99"/>
        <v>1.4937535853211909E-6</v>
      </c>
      <c r="AQ190" s="184">
        <f t="shared" si="99"/>
        <v>0</v>
      </c>
      <c r="AR190" s="184">
        <f t="shared" si="99"/>
        <v>0</v>
      </c>
      <c r="AS190" s="184">
        <f t="shared" si="99"/>
        <v>0</v>
      </c>
      <c r="AT190" s="184">
        <f t="shared" si="99"/>
        <v>2.8770450874404787E-8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3969</v>
      </c>
      <c r="C191" s="201">
        <v>0</v>
      </c>
      <c r="D191" s="190">
        <f t="shared" si="20"/>
        <v>2.4847946775948724E-21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0.58223960617189352</v>
      </c>
      <c r="P191" s="190">
        <f t="shared" si="92"/>
        <v>0</v>
      </c>
      <c r="Q191" s="190">
        <f t="shared" si="98"/>
        <v>0</v>
      </c>
      <c r="R191" s="190">
        <f t="shared" ref="R191:R222" si="104">R24*R$168</f>
        <v>0</v>
      </c>
      <c r="S191" s="189">
        <f>$C191+SUM($D191:R191,T191:$FB191)-SUM(S$176:S190,S192:S$330)-S$331</f>
        <v>-2.6385859821795234E-16</v>
      </c>
      <c r="T191" s="184">
        <f t="shared" ref="T191:AY191" si="105">T24*T$168</f>
        <v>5.7415384278365549E-6</v>
      </c>
      <c r="U191" s="184">
        <f t="shared" si="105"/>
        <v>0.71628981678686554</v>
      </c>
      <c r="V191" s="184">
        <f t="shared" si="105"/>
        <v>3.827966572629122E-3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0.77818743303330629</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1.2241144247089112E-2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3970</v>
      </c>
      <c r="C192" s="201">
        <v>0</v>
      </c>
      <c r="D192" s="190">
        <f t="shared" si="20"/>
        <v>0</v>
      </c>
      <c r="E192" s="190">
        <f t="shared" si="26"/>
        <v>1.088263825951824E-3</v>
      </c>
      <c r="F192" s="190">
        <f t="shared" si="32"/>
        <v>0</v>
      </c>
      <c r="G192" s="190">
        <f t="shared" si="38"/>
        <v>0</v>
      </c>
      <c r="H192" s="190">
        <f t="shared" si="44"/>
        <v>2.3536424987121205E-4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1.5074563743516304E-4</v>
      </c>
      <c r="Q192" s="190">
        <f t="shared" si="98"/>
        <v>0</v>
      </c>
      <c r="R192" s="190">
        <f t="shared" si="104"/>
        <v>0</v>
      </c>
      <c r="S192" s="190">
        <f t="shared" ref="S192:S223" si="110">S25*S$168</f>
        <v>0</v>
      </c>
      <c r="T192" s="189">
        <f>$C192+SUM($D192:S192,U192:$FB192)-SUM(T$176:T191,T193:T$330)-T$331</f>
        <v>8.6736173798840355E-19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1.6464342909003334E-17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1.7735860908392633E-10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3971</v>
      </c>
      <c r="C193" s="201">
        <v>0</v>
      </c>
      <c r="D193" s="190">
        <f t="shared" si="20"/>
        <v>0</v>
      </c>
      <c r="E193" s="190">
        <f t="shared" si="26"/>
        <v>0</v>
      </c>
      <c r="F193" s="190">
        <f t="shared" si="32"/>
        <v>1.2823763777817308E-3</v>
      </c>
      <c r="G193" s="190">
        <f t="shared" si="38"/>
        <v>0</v>
      </c>
      <c r="H193" s="190">
        <f t="shared" si="44"/>
        <v>0</v>
      </c>
      <c r="I193" s="184">
        <f t="shared" si="50"/>
        <v>1.9259483996014832E-4</v>
      </c>
      <c r="J193" s="190">
        <f t="shared" si="56"/>
        <v>0</v>
      </c>
      <c r="K193" s="190">
        <f t="shared" si="62"/>
        <v>0</v>
      </c>
      <c r="L193" s="190">
        <f t="shared" si="68"/>
        <v>0</v>
      </c>
      <c r="M193" s="190">
        <f t="shared" si="74"/>
        <v>0</v>
      </c>
      <c r="N193" s="190">
        <f t="shared" si="80"/>
        <v>0</v>
      </c>
      <c r="O193" s="190">
        <f t="shared" si="86"/>
        <v>0</v>
      </c>
      <c r="P193" s="190">
        <f t="shared" si="92"/>
        <v>0</v>
      </c>
      <c r="Q193" s="190">
        <f t="shared" si="98"/>
        <v>0.79682071124929077</v>
      </c>
      <c r="R193" s="190">
        <f t="shared" si="104"/>
        <v>0</v>
      </c>
      <c r="S193" s="190">
        <f t="shared" si="110"/>
        <v>0</v>
      </c>
      <c r="T193" s="190">
        <f t="shared" ref="T193:T224" si="116">T26*T$168</f>
        <v>1.4441128328937175E-3</v>
      </c>
      <c r="U193" s="189">
        <f>$C193+SUM($D193:T193,V193:$FB193)-SUM(U$176:U192,U194:U$330)-U$331</f>
        <v>0</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2.2418779434908733E-7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1.2707430400811703E-6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3972</v>
      </c>
      <c r="C194" s="201">
        <v>0</v>
      </c>
      <c r="D194" s="190">
        <f t="shared" si="20"/>
        <v>0</v>
      </c>
      <c r="E194" s="190">
        <f t="shared" si="26"/>
        <v>0</v>
      </c>
      <c r="F194" s="190">
        <f t="shared" si="32"/>
        <v>0</v>
      </c>
      <c r="G194" s="190">
        <f t="shared" si="38"/>
        <v>4.4240708425196113E-7</v>
      </c>
      <c r="H194" s="190">
        <f t="shared" si="44"/>
        <v>0</v>
      </c>
      <c r="I194" s="184">
        <f t="shared" si="50"/>
        <v>0</v>
      </c>
      <c r="J194" s="190">
        <f t="shared" si="56"/>
        <v>3.2733475612092529E-5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5.1686881648473531E-3</v>
      </c>
      <c r="S194" s="190">
        <f t="shared" si="110"/>
        <v>0</v>
      </c>
      <c r="T194" s="190">
        <f t="shared" si="116"/>
        <v>2.3852962624568671E-5</v>
      </c>
      <c r="U194" s="190">
        <f t="shared" ref="U194:U225" si="122">U27*U$168</f>
        <v>0</v>
      </c>
      <c r="V194" s="189">
        <f>$C194+SUM($D194:U194,W194:$FB194)-SUM(V$176:V193,V195:V$330)-V$331</f>
        <v>-1.7347234759768071E-18</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7.1813547813173914E-7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3.249693041105479E-9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0.23368893875693666</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1.6140216567870878E-16</v>
      </c>
      <c r="Y195" s="184">
        <f t="shared" si="129"/>
        <v>1.7005220368870322E-5</v>
      </c>
      <c r="Z195" s="184">
        <f t="shared" si="129"/>
        <v>1.7730122549674914E-5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9.6838932531588825E-12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-3.2074591368220577E-28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1.7378221927748912E-5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1.2839156956206588E-12</v>
      </c>
      <c r="Y197" s="189">
        <f>$C197+SUM($D197:X197,Z197:$FB197)-SUM(Y$176:Y196,Y198:Y$330)-Y$331</f>
        <v>-4.7645603283054394E-22</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1.8119017437832991E-5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8.3998126150793101E-12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46.205758868567571</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5.1718963484725885E-12</v>
      </c>
      <c r="AC199" s="184">
        <f t="shared" si="151"/>
        <v>0.14671240892430565</v>
      </c>
      <c r="AD199" s="184">
        <f t="shared" si="151"/>
        <v>0.57042898831657984</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3.5749177644937839E-7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1.7552092032295095E-24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0.1794007557704059</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8.8325741699947535E-8</v>
      </c>
      <c r="AC201" s="189">
        <f>$C201+SUM($D201:AB201,AD201:$FB201)-SUM(AC$176:AC200,AC202:AC$330)-AC$331</f>
        <v>-4.6837533851373792E-17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0.69752383770506421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2.6915971052248033E-7</v>
      </c>
      <c r="AC202" s="190">
        <f t="shared" ref="AC202:AC233" si="165">AC35*AC$168</f>
        <v>0</v>
      </c>
      <c r="AD202" s="189">
        <f>$C202+SUM($D202:AC202,AE202:$FB202)-SUM(AD$176:AD201,AD203:AD$330)-AD$331</f>
        <v>-4.1980308118638732E-16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0.85663063569700315</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1.1102230246251565E-16</v>
      </c>
      <c r="AF203" s="184">
        <f t="shared" ref="AF203:BK203" si="171">AF36*AF$168</f>
        <v>2.1855699899026598E-14</v>
      </c>
      <c r="AG203" s="184">
        <f t="shared" si="171"/>
        <v>2.9759955689692035E-4</v>
      </c>
      <c r="AH203" s="184">
        <f t="shared" si="171"/>
        <v>9.5329364698231887E-4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2.5147225453339177E-11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-8.9119523133462647E-27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2.9784679245462497E-4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1.0987794454050916E-11</v>
      </c>
      <c r="AG205" s="189">
        <f>$C205+SUM($D205:AF205,AH205:$FB205)-SUM(AG$176:AG204,AG206:AG$330)-AG$331</f>
        <v>-2.135118597121875E-20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9.5408563187701937E-4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1.4137557141612546E-11</v>
      </c>
      <c r="AG206" s="190">
        <f t="shared" ref="AG206:AG237" si="185">AG39*AG$168</f>
        <v>0</v>
      </c>
      <c r="AH206" s="189">
        <f>$C206+SUM($D206:AG206,AI206:$FB206)-SUM(AH$176:AH205,AH207:AH$330)-AH$331</f>
        <v>1.3991925497456974E-19</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3985</v>
      </c>
      <c r="C207" s="201">
        <v>0</v>
      </c>
      <c r="D207" s="190">
        <f t="shared" si="20"/>
        <v>1.5334637025358525E-19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-4.2012834183813297E-18</v>
      </c>
      <c r="AJ207" s="184">
        <f t="shared" ref="AJ207:BO207" si="191">AJ40*AJ$168</f>
        <v>1.0176638338434344E-5</v>
      </c>
      <c r="AK207" s="184">
        <f t="shared" si="191"/>
        <v>7.77924088555451E-2</v>
      </c>
      <c r="AL207" s="184">
        <f t="shared" si="191"/>
        <v>1.7071527437194641E-2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3986</v>
      </c>
      <c r="C208" s="201">
        <v>0</v>
      </c>
      <c r="D208" s="190">
        <f t="shared" si="20"/>
        <v>0</v>
      </c>
      <c r="E208" s="190">
        <f t="shared" si="26"/>
        <v>5.0095895924947363E-2</v>
      </c>
      <c r="F208" s="190">
        <f t="shared" si="32"/>
        <v>0</v>
      </c>
      <c r="G208" s="190">
        <f t="shared" si="38"/>
        <v>0</v>
      </c>
      <c r="H208" s="190">
        <f t="shared" si="44"/>
        <v>1.4525245780126978E-2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1.0966269215944184E-17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3987</v>
      </c>
      <c r="C209" s="201">
        <v>0</v>
      </c>
      <c r="D209" s="190">
        <f t="shared" ref="D209:D240" si="200">D42*D$168</f>
        <v>0</v>
      </c>
      <c r="E209" s="190">
        <f t="shared" si="26"/>
        <v>0</v>
      </c>
      <c r="F209" s="190">
        <f t="shared" si="32"/>
        <v>1.8588476273740426E-2</v>
      </c>
      <c r="G209" s="190">
        <f t="shared" si="38"/>
        <v>0</v>
      </c>
      <c r="H209" s="190">
        <f t="shared" si="44"/>
        <v>0</v>
      </c>
      <c r="I209" s="184">
        <f t="shared" si="50"/>
        <v>1.1885778693816584E-2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4.9586469249002452E-2</v>
      </c>
      <c r="AK209" s="189">
        <f>$C209+SUM($D209:AJ209,AL209:$FB209)-SUM(AK$176:AK208,AK210:AK$330)-AK$331</f>
        <v>-2.5377107099738838E-18</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3988</v>
      </c>
      <c r="C210" s="201">
        <v>0</v>
      </c>
      <c r="D210" s="190">
        <f t="shared" si="200"/>
        <v>0</v>
      </c>
      <c r="E210" s="190">
        <f t="shared" ref="E210:E241" si="206">E43*E$168</f>
        <v>0</v>
      </c>
      <c r="F210" s="190">
        <f t="shared" si="32"/>
        <v>0</v>
      </c>
      <c r="G210" s="190">
        <f t="shared" si="38"/>
        <v>2.7302666556817077E-5</v>
      </c>
      <c r="H210" s="190">
        <f t="shared" si="44"/>
        <v>0</v>
      </c>
      <c r="I210" s="184">
        <f t="shared" si="50"/>
        <v>0</v>
      </c>
      <c r="J210" s="190">
        <f t="shared" si="56"/>
        <v>2.020110440577115E-3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1.5024199081517071E-2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3989</v>
      </c>
      <c r="C211" s="201">
        <v>0</v>
      </c>
      <c r="D211" s="190">
        <f t="shared" si="200"/>
        <v>3.4076971167463379E-19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6.3794455829047081E-16</v>
      </c>
      <c r="AN211" s="184">
        <f t="shared" ref="AN211:BS211" si="214">AN44*AN$168</f>
        <v>7.7681128602376281E-4</v>
      </c>
      <c r="AO211" s="184">
        <f t="shared" si="214"/>
        <v>2.4015284916149384</v>
      </c>
      <c r="AP211" s="184">
        <f t="shared" si="214"/>
        <v>0.72132265519991046</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3990</v>
      </c>
      <c r="C212" s="201">
        <v>2.9396302942212462</v>
      </c>
      <c r="D212" s="190">
        <f t="shared" si="200"/>
        <v>0</v>
      </c>
      <c r="E212" s="190">
        <f t="shared" si="206"/>
        <v>0.11132421316654964</v>
      </c>
      <c r="F212" s="190">
        <f t="shared" si="212"/>
        <v>0</v>
      </c>
      <c r="G212" s="190">
        <f t="shared" ref="G212:G243" si="218">G45*G$168</f>
        <v>0</v>
      </c>
      <c r="H212" s="190">
        <f t="shared" si="44"/>
        <v>3.2278323955837726E-2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-4.0806189428335243E-16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3991</v>
      </c>
      <c r="C213" s="201">
        <v>0</v>
      </c>
      <c r="D213" s="190">
        <f t="shared" si="200"/>
        <v>0</v>
      </c>
      <c r="E213" s="190">
        <f t="shared" si="206"/>
        <v>0</v>
      </c>
      <c r="F213" s="190">
        <f t="shared" si="212"/>
        <v>4.1307725052756497E-2</v>
      </c>
      <c r="G213" s="190">
        <f t="shared" si="218"/>
        <v>0</v>
      </c>
      <c r="H213" s="190">
        <f t="shared" ref="H213:H244" si="224">H46*H$168</f>
        <v>0</v>
      </c>
      <c r="I213" s="184">
        <f t="shared" si="50"/>
        <v>2.6412841541814631E-2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2.3656712355357641</v>
      </c>
      <c r="AO213" s="189">
        <f>$C213+SUM($D213:AN213,AP213:$FB213)-SUM(AO$176:AO212,AO214:AO$330)-AO$331</f>
        <v>2.422920804961981E-16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3992</v>
      </c>
      <c r="C214" s="201">
        <v>0</v>
      </c>
      <c r="D214" s="190">
        <f t="shared" si="200"/>
        <v>0</v>
      </c>
      <c r="E214" s="190">
        <f t="shared" si="206"/>
        <v>0</v>
      </c>
      <c r="F214" s="190">
        <f t="shared" si="212"/>
        <v>0</v>
      </c>
      <c r="G214" s="190">
        <f t="shared" si="218"/>
        <v>6.0672592348482389E-5</v>
      </c>
      <c r="H214" s="190">
        <f t="shared" si="224"/>
        <v>0</v>
      </c>
      <c r="I214" s="184">
        <f t="shared" ref="I214:I245" si="230">I47*I$168</f>
        <v>0</v>
      </c>
      <c r="J214" s="190">
        <f t="shared" si="56"/>
        <v>4.489134312393589E-3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0.7167744778445343</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3993</v>
      </c>
      <c r="C215" s="201">
        <v>0</v>
      </c>
      <c r="D215" s="190">
        <f t="shared" si="200"/>
        <v>5.679495194577231E-20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-7.3115884006991205E-18</v>
      </c>
      <c r="AR215" s="184">
        <f t="shared" ref="AR215:BW215" si="238">AR48*AR$168</f>
        <v>6.6998226580652169E-6</v>
      </c>
      <c r="AS215" s="184">
        <f t="shared" si="238"/>
        <v>2.8809754070255805E-2</v>
      </c>
      <c r="AT215" s="184">
        <f t="shared" si="238"/>
        <v>6.3220865842031956E-3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3994</v>
      </c>
      <c r="C216" s="201">
        <v>0</v>
      </c>
      <c r="D216" s="190">
        <f t="shared" si="200"/>
        <v>0</v>
      </c>
      <c r="E216" s="190">
        <f t="shared" si="206"/>
        <v>1.8554035527758278E-2</v>
      </c>
      <c r="F216" s="190">
        <f t="shared" si="212"/>
        <v>0</v>
      </c>
      <c r="G216" s="190">
        <f t="shared" si="218"/>
        <v>0</v>
      </c>
      <c r="H216" s="190">
        <f t="shared" si="224"/>
        <v>5.3797206593062885E-3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7.0623907285904766E-18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3995</v>
      </c>
      <c r="C217" s="201">
        <v>0</v>
      </c>
      <c r="D217" s="190">
        <f t="shared" si="200"/>
        <v>0</v>
      </c>
      <c r="E217" s="190">
        <f t="shared" si="206"/>
        <v>0</v>
      </c>
      <c r="F217" s="190">
        <f t="shared" si="212"/>
        <v>6.8846208421260843E-3</v>
      </c>
      <c r="G217" s="190">
        <f t="shared" si="218"/>
        <v>0</v>
      </c>
      <c r="H217" s="190">
        <f t="shared" si="224"/>
        <v>0</v>
      </c>
      <c r="I217" s="184">
        <f t="shared" si="230"/>
        <v>4.4021402569691054E-3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1.836304418780255E-2</v>
      </c>
      <c r="AS217" s="189">
        <f>$C217+SUM($D217:AR217,AT217:$FB217)-SUM(AS$176:AS216,AS218:AS$330)-AS$331</f>
        <v>1.7508171019746388E-18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3996</v>
      </c>
      <c r="C218" s="201">
        <v>0</v>
      </c>
      <c r="D218" s="190">
        <f t="shared" si="200"/>
        <v>0</v>
      </c>
      <c r="E218" s="190">
        <f t="shared" si="206"/>
        <v>0</v>
      </c>
      <c r="F218" s="190">
        <f t="shared" si="212"/>
        <v>0</v>
      </c>
      <c r="G218" s="190">
        <f t="shared" si="218"/>
        <v>1.0112098724747064E-5</v>
      </c>
      <c r="H218" s="190">
        <f t="shared" si="224"/>
        <v>0</v>
      </c>
      <c r="I218" s="184">
        <f t="shared" si="230"/>
        <v>0</v>
      </c>
      <c r="J218" s="190">
        <f t="shared" si="236"/>
        <v>7.4818905206559816E-4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5.5638168193592593E-3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3997</v>
      </c>
      <c r="C219" s="201">
        <v>0</v>
      </c>
      <c r="D219" s="190">
        <f t="shared" si="200"/>
        <v>7.8265595247239444E-19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-8.707121755410848E-34</v>
      </c>
      <c r="AV219" s="184">
        <f t="shared" ref="AV219:CA219" si="262">AV52*AV$168</f>
        <v>0</v>
      </c>
      <c r="AW219" s="184">
        <f t="shared" si="262"/>
        <v>0</v>
      </c>
      <c r="AX219" s="184">
        <f t="shared" si="262"/>
        <v>0</v>
      </c>
      <c r="AY219" s="184">
        <f t="shared" si="262"/>
        <v>0</v>
      </c>
      <c r="AZ219" s="184">
        <f t="shared" si="262"/>
        <v>0</v>
      </c>
      <c r="BA219" s="184">
        <f t="shared" si="262"/>
        <v>0</v>
      </c>
      <c r="BB219" s="184">
        <f t="shared" si="262"/>
        <v>8.0750338542893183E-22</v>
      </c>
      <c r="BC219" s="184">
        <f t="shared" si="262"/>
        <v>0</v>
      </c>
      <c r="BD219" s="184">
        <f t="shared" si="262"/>
        <v>0</v>
      </c>
      <c r="BE219" s="184">
        <f t="shared" si="262"/>
        <v>0</v>
      </c>
      <c r="BF219" s="184">
        <f t="shared" si="262"/>
        <v>3.120692680428409E-21</v>
      </c>
      <c r="BG219" s="184">
        <f t="shared" si="262"/>
        <v>0</v>
      </c>
      <c r="BH219" s="184">
        <f t="shared" si="262"/>
        <v>0</v>
      </c>
      <c r="BI219" s="184">
        <f t="shared" si="262"/>
        <v>0</v>
      </c>
      <c r="BJ219" s="184">
        <f t="shared" si="262"/>
        <v>1.3965096918497881E-19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2.5822155453498134E-20</v>
      </c>
      <c r="CA219" s="184">
        <f t="shared" si="262"/>
        <v>0</v>
      </c>
      <c r="CB219" s="184">
        <f t="shared" ref="CB219:DG219" si="263">CB52*CB$168</f>
        <v>0</v>
      </c>
      <c r="CC219" s="184">
        <f t="shared" si="263"/>
        <v>0</v>
      </c>
      <c r="CD219" s="184">
        <f t="shared" si="263"/>
        <v>5.8259023034037113E-20</v>
      </c>
      <c r="CE219" s="184">
        <f t="shared" si="263"/>
        <v>0</v>
      </c>
      <c r="CF219" s="184">
        <f t="shared" si="263"/>
        <v>0</v>
      </c>
      <c r="CG219" s="184">
        <f t="shared" si="263"/>
        <v>0</v>
      </c>
      <c r="CH219" s="184">
        <f t="shared" si="263"/>
        <v>9.5637605561166296E-21</v>
      </c>
      <c r="CI219" s="184">
        <f t="shared" si="263"/>
        <v>0</v>
      </c>
      <c r="CJ219" s="184">
        <f t="shared" si="263"/>
        <v>0</v>
      </c>
      <c r="CK219" s="184">
        <f t="shared" si="263"/>
        <v>0</v>
      </c>
      <c r="CL219" s="184">
        <f t="shared" si="263"/>
        <v>2.1248237233603352E-18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3998</v>
      </c>
      <c r="C220" s="201">
        <v>0</v>
      </c>
      <c r="D220" s="190">
        <f t="shared" si="200"/>
        <v>0</v>
      </c>
      <c r="E220" s="190">
        <f t="shared" si="206"/>
        <v>0.52478358516900658</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-1.1615362805698221E-17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4.5247718534010376E-5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3999</v>
      </c>
      <c r="C221" s="201">
        <v>0</v>
      </c>
      <c r="D221" s="190">
        <f t="shared" si="200"/>
        <v>0</v>
      </c>
      <c r="E221" s="190">
        <f t="shared" si="206"/>
        <v>0</v>
      </c>
      <c r="F221" s="190">
        <f t="shared" si="212"/>
        <v>2.3821770072890711</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0.44684745463339581</v>
      </c>
      <c r="AW221" s="189">
        <f>$C221+SUM($D221:AV221,AX221:$FB221)-SUM(AW$176:AW220,AW222:AW$330)-AW$331</f>
        <v>-3.2515223152840278E-16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0.11724431893288807</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4000</v>
      </c>
      <c r="C222" s="201">
        <v>0</v>
      </c>
      <c r="D222" s="190">
        <f t="shared" si="200"/>
        <v>0</v>
      </c>
      <c r="E222" s="190">
        <f t="shared" si="206"/>
        <v>0</v>
      </c>
      <c r="F222" s="190">
        <f t="shared" si="212"/>
        <v>0</v>
      </c>
      <c r="G222" s="190">
        <f t="shared" si="218"/>
        <v>9.5674138470559756E-4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1.7677517565258384E-3</v>
      </c>
      <c r="AW222" s="190">
        <f t="shared" ref="AW222:AW253" si="279">AW55*AW$168</f>
        <v>0</v>
      </c>
      <c r="AX222" s="189">
        <f>$C222+SUM($D222:AW222,AY222:$FB222)-SUM(AX$176:AX221,AX223:AX$330)-AX$331</f>
        <v>-1.6273157277980216E-18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1.7405884114042622E-7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0.19769766202691222</v>
      </c>
      <c r="AX224" s="190">
        <f t="shared" si="285"/>
        <v>0</v>
      </c>
      <c r="AY224" s="190">
        <f t="shared" ref="AY224:AY255" si="291">AY57*AY$168</f>
        <v>0</v>
      </c>
      <c r="AZ224" s="189">
        <f>$C224+SUM($D224:AY224,BA224:$FB224)-SUM(AZ$176:AZ223,AZ225:AZ$330)-AZ$331</f>
        <v>2.7755575615628914E-17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2.6293386531206927E-3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3.1309873656172569E-21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4.5238743379757158E-18</v>
      </c>
      <c r="BC226" s="184">
        <f t="shared" ref="BC226:CH226" si="304">BC59*BC$168</f>
        <v>2.4812528009074982E-8</v>
      </c>
      <c r="BD226" s="184">
        <f t="shared" si="304"/>
        <v>2.4036570361521759E-3</v>
      </c>
      <c r="BE226" s="184">
        <f t="shared" si="304"/>
        <v>1.2197424897663179E-6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5.9305858725691839E-3</v>
      </c>
      <c r="CA226" s="184">
        <f t="shared" si="304"/>
        <v>0</v>
      </c>
      <c r="CB226" s="184">
        <f t="shared" si="304"/>
        <v>0</v>
      </c>
      <c r="CC226" s="184">
        <f t="shared" si="304"/>
        <v>0</v>
      </c>
      <c r="CD226" s="184">
        <f t="shared" si="304"/>
        <v>1.3380375607201173E-2</v>
      </c>
      <c r="CE226" s="184">
        <f t="shared" si="304"/>
        <v>0</v>
      </c>
      <c r="CF226" s="184">
        <f t="shared" si="304"/>
        <v>0</v>
      </c>
      <c r="CG226" s="184">
        <f t="shared" si="304"/>
        <v>0</v>
      </c>
      <c r="CH226" s="184">
        <f t="shared" si="304"/>
        <v>2.1965131200949377E-3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8.594030125778637E-5</v>
      </c>
      <c r="AW227" s="190">
        <f t="shared" si="279"/>
        <v>0</v>
      </c>
      <c r="AX227" s="190">
        <f t="shared" si="285"/>
        <v>0</v>
      </c>
      <c r="AY227" s="190">
        <f t="shared" si="291"/>
        <v>1.3503524018255631E-5</v>
      </c>
      <c r="AZ227" s="190">
        <f t="shared" si="297"/>
        <v>0</v>
      </c>
      <c r="BA227" s="190">
        <f t="shared" si="303"/>
        <v>0</v>
      </c>
      <c r="BB227" s="190">
        <f t="shared" ref="BB227:BB258" si="309">BB60*BB$168</f>
        <v>0</v>
      </c>
      <c r="BC227" s="189">
        <f>$C227+SUM($D227:BB227,BD227:$FB227)-SUM(BC$176:BC226,BC228:BC$330)-BC$331</f>
        <v>2.7105054312137611E-20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2.466156590278465E-9</v>
      </c>
      <c r="CB227" s="184">
        <f t="shared" si="310"/>
        <v>0</v>
      </c>
      <c r="CC227" s="184">
        <f t="shared" si="310"/>
        <v>0</v>
      </c>
      <c r="CD227" s="184">
        <f t="shared" si="310"/>
        <v>0</v>
      </c>
      <c r="CE227" s="184">
        <f t="shared" si="310"/>
        <v>3.9895543666804195E-9</v>
      </c>
      <c r="CF227" s="184">
        <f t="shared" si="310"/>
        <v>0</v>
      </c>
      <c r="CG227" s="184">
        <f t="shared" si="310"/>
        <v>0</v>
      </c>
      <c r="CH227" s="184">
        <f t="shared" si="310"/>
        <v>0</v>
      </c>
      <c r="CI227" s="184">
        <f t="shared" si="310"/>
        <v>1.6236021417291045E-9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1.716718734693217E-3</v>
      </c>
      <c r="AX228" s="190">
        <f t="shared" si="285"/>
        <v>0</v>
      </c>
      <c r="AY228" s="190">
        <f t="shared" si="291"/>
        <v>0</v>
      </c>
      <c r="AZ228" s="190">
        <f t="shared" si="297"/>
        <v>2.3931049005100936E-4</v>
      </c>
      <c r="BA228" s="190">
        <f t="shared" si="303"/>
        <v>0</v>
      </c>
      <c r="BB228" s="190">
        <f t="shared" si="309"/>
        <v>0</v>
      </c>
      <c r="BC228" s="190">
        <f t="shared" ref="BC228:BC259" si="315">BC61*BC$168</f>
        <v>9.8694711022017645E-5</v>
      </c>
      <c r="BD228" s="189">
        <f>$C228+SUM($D228:BC228,BE228:$FB228)-SUM(BD$176:BD227,BD229:BD$330)-BD$331</f>
        <v>0</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1.6748261264839132E-4</v>
      </c>
      <c r="CC228" s="184">
        <f t="shared" si="316"/>
        <v>0</v>
      </c>
      <c r="CD228" s="184">
        <f t="shared" si="316"/>
        <v>0</v>
      </c>
      <c r="CE228" s="184">
        <f t="shared" si="316"/>
        <v>0</v>
      </c>
      <c r="CF228" s="184">
        <f t="shared" si="316"/>
        <v>1.720081993964001E-4</v>
      </c>
      <c r="CG228" s="184">
        <f t="shared" si="316"/>
        <v>0</v>
      </c>
      <c r="CH228" s="184">
        <f t="shared" si="316"/>
        <v>0</v>
      </c>
      <c r="CI228" s="184">
        <f t="shared" si="316"/>
        <v>0</v>
      </c>
      <c r="CJ228" s="184">
        <f t="shared" si="316"/>
        <v>6.2030052214772003E-5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4.3016659375960538E-8</v>
      </c>
      <c r="AY229" s="190">
        <f t="shared" si="291"/>
        <v>0</v>
      </c>
      <c r="AZ229" s="190">
        <f t="shared" si="297"/>
        <v>0</v>
      </c>
      <c r="BA229" s="190">
        <f t="shared" si="303"/>
        <v>3.1827807933445276E-6</v>
      </c>
      <c r="BB229" s="190">
        <f t="shared" si="309"/>
        <v>0</v>
      </c>
      <c r="BC229" s="190">
        <f t="shared" si="315"/>
        <v>7.3192944574176265E-7</v>
      </c>
      <c r="BD229" s="190">
        <f t="shared" ref="BD229:BD260" si="321">BD62*BD$168</f>
        <v>0</v>
      </c>
      <c r="BE229" s="189">
        <f>$C229+SUM($D229:BD229,BF229:$FB229)-SUM(BE$176:BE228,BE230:BE$330)-BE$331</f>
        <v>1.6940658945086007E-21</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7.6819468567460415E-10</v>
      </c>
      <c r="CD229" s="184">
        <f t="shared" si="322"/>
        <v>0</v>
      </c>
      <c r="CE229" s="184">
        <f t="shared" si="322"/>
        <v>0</v>
      </c>
      <c r="CF229" s="184">
        <f t="shared" si="322"/>
        <v>0</v>
      </c>
      <c r="CG229" s="184">
        <f t="shared" si="322"/>
        <v>7.767660303141513E-10</v>
      </c>
      <c r="CH229" s="184">
        <f t="shared" si="322"/>
        <v>0</v>
      </c>
      <c r="CI229" s="184">
        <f t="shared" si="322"/>
        <v>0</v>
      </c>
      <c r="CJ229" s="184">
        <f t="shared" si="322"/>
        <v>0</v>
      </c>
      <c r="CK229" s="184">
        <f t="shared" si="322"/>
        <v>2.8448741765719295E-10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3.4440861021789826E-20</v>
      </c>
      <c r="AV230" s="190">
        <f t="shared" si="273"/>
        <v>0</v>
      </c>
      <c r="AW230" s="190">
        <f t="shared" si="279"/>
        <v>0</v>
      </c>
      <c r="AX230" s="190">
        <f t="shared" si="285"/>
        <v>0</v>
      </c>
      <c r="AY230" s="190">
        <f t="shared" si="291"/>
        <v>0</v>
      </c>
      <c r="AZ230" s="190">
        <f t="shared" si="297"/>
        <v>0</v>
      </c>
      <c r="BA230" s="190">
        <f t="shared" si="303"/>
        <v>0</v>
      </c>
      <c r="BB230" s="190">
        <f t="shared" si="309"/>
        <v>3.6297942819628745E-3</v>
      </c>
      <c r="BC230" s="190">
        <f t="shared" si="315"/>
        <v>0</v>
      </c>
      <c r="BD230" s="190">
        <f t="shared" si="321"/>
        <v>0</v>
      </c>
      <c r="BE230" s="190">
        <f t="shared" ref="BE230:BE261" si="326">BE63*BE$168</f>
        <v>0</v>
      </c>
      <c r="BF230" s="189">
        <f>$C230+SUM($D230:BE230,BG230:$FB230)-SUM(BF$176:BF229,BF231:BF$330)-BF$331</f>
        <v>6.5179525251324983E-16</v>
      </c>
      <c r="BG230" s="184">
        <f t="shared" ref="BG230:CL230" si="327">BG63*BG$168</f>
        <v>1.0155998520025202E-7</v>
      </c>
      <c r="BH230" s="184">
        <f t="shared" si="327"/>
        <v>1.6234076091319476E-2</v>
      </c>
      <c r="BI230" s="184">
        <f t="shared" si="327"/>
        <v>4.040048186722976E-6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2.1156585798853</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6.5236444598261015E-2</v>
      </c>
      <c r="CA230" s="184">
        <f t="shared" si="327"/>
        <v>0</v>
      </c>
      <c r="CB230" s="184">
        <f t="shared" si="327"/>
        <v>0</v>
      </c>
      <c r="CC230" s="184">
        <f t="shared" si="327"/>
        <v>0</v>
      </c>
      <c r="CD230" s="184">
        <f t="shared" si="327"/>
        <v>0.1471841316792129</v>
      </c>
      <c r="CE230" s="184">
        <f t="shared" si="327"/>
        <v>0</v>
      </c>
      <c r="CF230" s="184">
        <f t="shared" si="327"/>
        <v>0</v>
      </c>
      <c r="CG230" s="184">
        <f t="shared" si="327"/>
        <v>0</v>
      </c>
      <c r="CH230" s="184">
        <f t="shared" si="327"/>
        <v>2.4161644321044309E-2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9.4534331383564992E-4</v>
      </c>
      <c r="AW231" s="190">
        <f t="shared" si="279"/>
        <v>0</v>
      </c>
      <c r="AX231" s="190">
        <f t="shared" si="285"/>
        <v>0</v>
      </c>
      <c r="AY231" s="190">
        <f t="shared" si="291"/>
        <v>1.4853876420081188E-4</v>
      </c>
      <c r="AZ231" s="190">
        <f t="shared" si="297"/>
        <v>0</v>
      </c>
      <c r="BA231" s="190">
        <f t="shared" si="303"/>
        <v>0</v>
      </c>
      <c r="BB231" s="190">
        <f t="shared" si="309"/>
        <v>0</v>
      </c>
      <c r="BC231" s="190">
        <f t="shared" si="315"/>
        <v>4.5062187646203017E-10</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3.8549580442990099E-16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2.7127722493063104E-8</v>
      </c>
      <c r="CB231" s="184">
        <f t="shared" si="332"/>
        <v>0</v>
      </c>
      <c r="CC231" s="184">
        <f t="shared" si="332"/>
        <v>0</v>
      </c>
      <c r="CD231" s="184">
        <f t="shared" si="332"/>
        <v>0</v>
      </c>
      <c r="CE231" s="184">
        <f t="shared" si="332"/>
        <v>4.3885098033484612E-8</v>
      </c>
      <c r="CF231" s="184">
        <f t="shared" si="332"/>
        <v>0</v>
      </c>
      <c r="CG231" s="184">
        <f t="shared" si="332"/>
        <v>0</v>
      </c>
      <c r="CH231" s="184">
        <f t="shared" si="332"/>
        <v>0</v>
      </c>
      <c r="CI231" s="184">
        <f t="shared" si="332"/>
        <v>1.7859623559020144E-8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1.8883906081625382E-2</v>
      </c>
      <c r="AX232" s="190">
        <f t="shared" si="285"/>
        <v>0</v>
      </c>
      <c r="AY232" s="190">
        <f t="shared" si="291"/>
        <v>0</v>
      </c>
      <c r="AZ232" s="190">
        <f t="shared" si="297"/>
        <v>2.6324153905611021E-3</v>
      </c>
      <c r="BA232" s="190">
        <f t="shared" si="303"/>
        <v>0</v>
      </c>
      <c r="BB232" s="190">
        <f t="shared" si="309"/>
        <v>0</v>
      </c>
      <c r="BC232" s="190">
        <f t="shared" si="315"/>
        <v>0</v>
      </c>
      <c r="BD232" s="190">
        <f t="shared" si="321"/>
        <v>4.3652966098654087E-5</v>
      </c>
      <c r="BE232" s="190">
        <f t="shared" si="326"/>
        <v>0</v>
      </c>
      <c r="BF232" s="190">
        <f t="shared" si="331"/>
        <v>0</v>
      </c>
      <c r="BG232" s="190">
        <f t="shared" ref="BG232:BG263" si="336">BG65*BG$168</f>
        <v>8.7235586618867906E-4</v>
      </c>
      <c r="BH232" s="189">
        <f>$C232+SUM($D232:BG232,BI232:$FB232)-SUM(BH$176:BH231,BH233:BH$330)-BH$331</f>
        <v>-6.9388939039072284E-18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3.306934336244815E-4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1.8423087391323042E-3</v>
      </c>
      <c r="CC232" s="184">
        <f t="shared" si="337"/>
        <v>0</v>
      </c>
      <c r="CD232" s="184">
        <f t="shared" si="337"/>
        <v>0</v>
      </c>
      <c r="CE232" s="184">
        <f t="shared" si="337"/>
        <v>0</v>
      </c>
      <c r="CF232" s="184">
        <f t="shared" si="337"/>
        <v>1.8920901933604012E-3</v>
      </c>
      <c r="CG232" s="184">
        <f t="shared" si="337"/>
        <v>0</v>
      </c>
      <c r="CH232" s="184">
        <f t="shared" si="337"/>
        <v>0</v>
      </c>
      <c r="CI232" s="184">
        <f t="shared" si="337"/>
        <v>0</v>
      </c>
      <c r="CJ232" s="184">
        <f t="shared" si="337"/>
        <v>6.8233057436249179E-4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4.7318325313556577E-7</v>
      </c>
      <c r="AY233" s="190">
        <f t="shared" si="291"/>
        <v>0</v>
      </c>
      <c r="AZ233" s="190">
        <f t="shared" si="297"/>
        <v>0</v>
      </c>
      <c r="BA233" s="190">
        <f t="shared" si="303"/>
        <v>3.501058872678979E-5</v>
      </c>
      <c r="BB233" s="190">
        <f t="shared" si="309"/>
        <v>0</v>
      </c>
      <c r="BC233" s="190">
        <f t="shared" si="315"/>
        <v>0</v>
      </c>
      <c r="BD233" s="190">
        <f t="shared" si="321"/>
        <v>0</v>
      </c>
      <c r="BE233" s="190">
        <f t="shared" si="326"/>
        <v>2.2151819812069913E-8</v>
      </c>
      <c r="BF233" s="190">
        <f t="shared" si="331"/>
        <v>0</v>
      </c>
      <c r="BG233" s="190">
        <f t="shared" si="336"/>
        <v>2.2145795034342303E-4</v>
      </c>
      <c r="BH233" s="190">
        <f t="shared" ref="BH233:BH264" si="341">BH66*BH$168</f>
        <v>0</v>
      </c>
      <c r="BI233" s="189">
        <f>$C233+SUM($D233:BH233,BJ233:$FB233)-SUM(BI$176:BI232,BI234:BI$330)-BI$331</f>
        <v>-5.4210108624275222E-20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4.9328708502474774E-5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8.4501415424206442E-9</v>
      </c>
      <c r="CD233" s="184">
        <f t="shared" si="342"/>
        <v>0</v>
      </c>
      <c r="CE233" s="184">
        <f t="shared" si="342"/>
        <v>0</v>
      </c>
      <c r="CF233" s="184">
        <f t="shared" si="342"/>
        <v>0</v>
      </c>
      <c r="CG233" s="184">
        <f t="shared" si="342"/>
        <v>8.5444263334556628E-9</v>
      </c>
      <c r="CH233" s="184">
        <f t="shared" si="342"/>
        <v>0</v>
      </c>
      <c r="CI233" s="184">
        <f t="shared" si="342"/>
        <v>0</v>
      </c>
      <c r="CJ233" s="184">
        <f t="shared" si="342"/>
        <v>0</v>
      </c>
      <c r="CK233" s="184">
        <f t="shared" si="342"/>
        <v>3.1293615942291221E-9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1.236161072653206</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1.3341564493329328E-18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2.9519016538233064E-2</v>
      </c>
      <c r="BG234" s="190">
        <f t="shared" si="336"/>
        <v>0</v>
      </c>
      <c r="BH234" s="190">
        <f t="shared" si="341"/>
        <v>0</v>
      </c>
      <c r="BI234" s="190">
        <f t="shared" ref="BI234:BI265" si="346">BI67*BI$168</f>
        <v>0</v>
      </c>
      <c r="BJ234" s="189">
        <f>$C234+SUM($D234:BI234,BK234:$FB234)-SUM(BJ$176:BJ233,BJ235:BJ$330)-BJ$331</f>
        <v>9.182137674990492E-15</v>
      </c>
      <c r="BK234" s="184">
        <f t="shared" ref="BK234:CP234" si="347">BK67*BK$168</f>
        <v>1.2607246513640855E-4</v>
      </c>
      <c r="BL234" s="184">
        <f t="shared" si="347"/>
        <v>0.90328689678750029</v>
      </c>
      <c r="BM234" s="184">
        <f t="shared" si="347"/>
        <v>2.3099911233230913E-3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31.752295358167821</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24.458236933595046</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6.6653152347589667E-7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2.6605183711849494E-2</v>
      </c>
      <c r="AW235" s="190">
        <f t="shared" si="279"/>
        <v>0</v>
      </c>
      <c r="AX235" s="190">
        <f t="shared" si="285"/>
        <v>0</v>
      </c>
      <c r="AY235" s="190">
        <f t="shared" si="291"/>
        <v>5.7540358851388062E-3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5.5892038095915901E-8</v>
      </c>
      <c r="BH235" s="190">
        <f t="shared" si="341"/>
        <v>0</v>
      </c>
      <c r="BI235" s="190">
        <f t="shared" si="346"/>
        <v>0</v>
      </c>
      <c r="BJ235" s="190">
        <f t="shared" ref="BJ235:BJ266" si="351">BJ68*BJ$168</f>
        <v>0</v>
      </c>
      <c r="BK235" s="189">
        <f>$C235+SUM($D235:BJ235,BL235:$FB235)-SUM(BK$176:BK234,BK236:BK$330)-BK$331</f>
        <v>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1.8078120266479518E-17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1.9284921320131268E-9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8.3153626651440646E-2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0.67964959247323908</v>
      </c>
      <c r="AX236" s="190">
        <f t="shared" si="285"/>
        <v>0</v>
      </c>
      <c r="AY236" s="190">
        <f t="shared" si="291"/>
        <v>0</v>
      </c>
      <c r="AZ236" s="190">
        <f t="shared" si="297"/>
        <v>0.10197346600650846</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8.934184044620895E-3</v>
      </c>
      <c r="BI236" s="190">
        <f t="shared" si="346"/>
        <v>0</v>
      </c>
      <c r="BJ236" s="190">
        <f t="shared" si="351"/>
        <v>0</v>
      </c>
      <c r="BK236" s="190">
        <f t="shared" ref="BK236:BK267" si="356">BK69*BK$168</f>
        <v>3.1709770310922702E-2</v>
      </c>
      <c r="BL236" s="189">
        <f>$C236+SUM($D236:BK236,BM236:$FB236)-SUM(BL$176:BL235,BL237:BL$330)-BL$331</f>
        <v>0</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1.41372865258157E-8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3.1225839195591802E-4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4.4438619083329904E-4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1.8329985666959538E-5</v>
      </c>
      <c r="AY237" s="190">
        <f t="shared" si="291"/>
        <v>0</v>
      </c>
      <c r="AZ237" s="190">
        <f t="shared" si="297"/>
        <v>0</v>
      </c>
      <c r="BA237" s="190">
        <f t="shared" si="303"/>
        <v>1.3562263357828818E-3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2.2233808592667674E-6</v>
      </c>
      <c r="BJ237" s="190">
        <f t="shared" si="351"/>
        <v>0</v>
      </c>
      <c r="BK237" s="190">
        <f t="shared" si="356"/>
        <v>5.237623742630112E-4</v>
      </c>
      <c r="BL237" s="190">
        <f t="shared" ref="BL237:BL268" si="361">BL70*BL$168</f>
        <v>0</v>
      </c>
      <c r="BM237" s="189">
        <f>$C237+SUM($D237:BL237,BN237:$FB237)-SUM(BM$176:BM236,BM238:BM$330)-BM$331</f>
        <v>1.3010426069826053E-18</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2.1670337959757538E-8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3.5602758046853178E-8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2.02825819090665E-2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1.6191991059795343E-17</v>
      </c>
      <c r="BP238" s="184">
        <f t="shared" si="367"/>
        <v>8.7443934792617021E-6</v>
      </c>
      <c r="BQ238" s="184">
        <f t="shared" si="367"/>
        <v>2.6597483032006737E-6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9.7149571631370329E-13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-1.4947426373056135E-28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8.9347977749771382E-6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1.2880342328493927E-13</v>
      </c>
      <c r="BP240" s="189">
        <f>$C240+SUM($D240:BO240,BQ240:$FB240)-SUM(BP$176:BP239,BP241:BP$330)-BP$331</f>
        <v>-1.5087774372967225E-21</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2.7176620370175078E-6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8.4267574846588265E-13</v>
      </c>
      <c r="BP241" s="190">
        <f t="shared" ref="BP241:BP272" si="382">BP74*BP$168</f>
        <v>0</v>
      </c>
      <c r="BQ241" s="189">
        <f>$C241+SUM($D241:BP241,BR241:$FB241)-SUM(BQ$176:BQ240,BQ242:BQ$330)-BQ$331</f>
        <v>1.3896634290890865E-22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2.3425897959270383</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1.9175866887775688E-15</v>
      </c>
      <c r="BT242" s="184">
        <f t="shared" si="389"/>
        <v>1.6449811362337819E-3</v>
      </c>
      <c r="BU242" s="184">
        <f t="shared" si="389"/>
        <v>2.4537770245988563E-4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1.3254741117718432E-10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1.3753296844462578E-28</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2.0114931090131306E-3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3.2748581013276842E-11</v>
      </c>
      <c r="BT244" s="189">
        <f>$C244+SUM($D244:BS244,BU244:$FB244)-SUM(BT$176:BT243,BT245:BT$330)-BT$331</f>
        <v>8.6736173798840355E-19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3.0004927752911561E-4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9.9796485327004349E-11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35.000233964978904</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-1.021405182655144E-14</v>
      </c>
      <c r="BW246" s="184">
        <f t="shared" ref="BW246:DB246" si="413">BW79*BW$168</f>
        <v>2.3995328065670449E-14</v>
      </c>
      <c r="BX246" s="184">
        <f t="shared" si="413"/>
        <v>1.8764607334443328E-5</v>
      </c>
      <c r="BY246" s="184">
        <f t="shared" si="413"/>
        <v>2.8763326107664759E-5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2.7609087216700245E-11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2.4030317102325416E-27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1.8780184959302787E-5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1.2063476981345661E-11</v>
      </c>
      <c r="BX248" s="189">
        <f>$C248+SUM($D248:BW248,BY248:$FB248)-SUM(BX$176:BX247,BX249:BX$330)-BX$331</f>
        <v>-9.3169488294910272E-21</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2.8787207237971203E-5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1.5521594971903142E-11</v>
      </c>
      <c r="BX249" s="190">
        <f t="shared" ref="BX249:BX280" si="430">BX82*BX$168</f>
        <v>0</v>
      </c>
      <c r="BY249" s="189">
        <f>$C249+SUM($D249:BX249,BZ249:$FB249)-SUM(BY$176:BY248,BY250:BY$330)-BY$331</f>
        <v>-8.5265777541966093E-21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3.3814663548659241E-19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-7.589415207398531E-18</v>
      </c>
      <c r="CA250" s="184">
        <f t="shared" ref="CA250:DF250" si="437">CA83*CA$168</f>
        <v>1.0217666598761247E-6</v>
      </c>
      <c r="CB250" s="184">
        <f t="shared" si="437"/>
        <v>6.939062604039703E-2</v>
      </c>
      <c r="CC250" s="184">
        <f t="shared" si="437"/>
        <v>1.8568539892950451E-3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5.0297863155280729E-3</v>
      </c>
      <c r="AW251" s="190">
        <f t="shared" si="279"/>
        <v>0</v>
      </c>
      <c r="AX251" s="190">
        <f t="shared" si="285"/>
        <v>0</v>
      </c>
      <c r="AY251" s="190">
        <f t="shared" si="291"/>
        <v>1.458380593971608E-3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-1.2190719034107442E-18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4.0589786240825432E-2</v>
      </c>
      <c r="AX252" s="190">
        <f t="shared" si="285"/>
        <v>0</v>
      </c>
      <c r="AY252" s="190">
        <f t="shared" si="291"/>
        <v>0</v>
      </c>
      <c r="AZ252" s="190">
        <f t="shared" si="297"/>
        <v>2.5845532925509011E-2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4.9786382668481699E-3</v>
      </c>
      <c r="CB252" s="189">
        <f>$C252+SUM($D252:CA252,CC252:$FB252)-SUM(CB$176:CB251,CB253:CB$330)-CB$331</f>
        <v>-3.1526566296805059E-18</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4.6457992126037377E-6</v>
      </c>
      <c r="AY253" s="190">
        <f t="shared" si="291"/>
        <v>0</v>
      </c>
      <c r="AZ253" s="190">
        <f t="shared" si="297"/>
        <v>0</v>
      </c>
      <c r="BA253" s="190">
        <f t="shared" si="303"/>
        <v>3.4374032568120898E-4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1.5084770827374606E-3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7.5143696774798296E-19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-2.9923979960599922E-17</v>
      </c>
      <c r="CE254" s="184">
        <f t="shared" ref="CE254:DJ254" si="461">CE87*CE$168</f>
        <v>3.6326094190405455E-6</v>
      </c>
      <c r="CF254" s="184">
        <f t="shared" si="461"/>
        <v>0.15661864655813063</v>
      </c>
      <c r="CG254" s="184">
        <f t="shared" si="461"/>
        <v>4.1260408346956556E-3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1.1177302923395718E-2</v>
      </c>
      <c r="AW255" s="190">
        <f t="shared" si="459"/>
        <v>0</v>
      </c>
      <c r="AX255" s="190">
        <f t="shared" ref="AX255:AX286" si="465">AX88*AX$168</f>
        <v>0</v>
      </c>
      <c r="AY255" s="190">
        <f t="shared" si="291"/>
        <v>3.2408457643813512E-3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-2.9726355552117888E-18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9.0199524979612075E-2</v>
      </c>
      <c r="AX256" s="190">
        <f t="shared" si="465"/>
        <v>0</v>
      </c>
      <c r="AY256" s="190">
        <f t="shared" ref="AY256:AY287" si="471">AY89*AY$168</f>
        <v>0</v>
      </c>
      <c r="AZ256" s="190">
        <f t="shared" si="297"/>
        <v>5.743451761224224E-2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1.1062609113917564E-2</v>
      </c>
      <c r="CF256" s="189">
        <f>$C256+SUM($D256:CE256,CG256:$FB256)-SUM(CF$176:CF255,CF257:CF$330)-CF$331</f>
        <v>2.8445060434693914E-17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1.0323998250230527E-5</v>
      </c>
      <c r="AY257" s="190">
        <f t="shared" si="471"/>
        <v>0</v>
      </c>
      <c r="AZ257" s="190">
        <f t="shared" ref="AZ257:AZ288" si="477">AZ90*AZ$168</f>
        <v>0</v>
      </c>
      <c r="BA257" s="190">
        <f t="shared" si="303"/>
        <v>7.6386739040268652E-4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3.3518587672351024E-3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1.2523949462466382E-19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-7.8774064094649932E-18</v>
      </c>
      <c r="CI258" s="184">
        <f t="shared" ref="CI258:DN258" si="485">CI91*CI$168</f>
        <v>6.7268337455203961E-7</v>
      </c>
      <c r="CJ258" s="184">
        <f t="shared" si="485"/>
        <v>2.5700006039062039E-2</v>
      </c>
      <c r="CK258" s="184">
        <f t="shared" si="485"/>
        <v>6.8765328142970765E-4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1.8628838205659525E-3</v>
      </c>
      <c r="AW259" s="190">
        <f t="shared" si="459"/>
        <v>0</v>
      </c>
      <c r="AX259" s="190">
        <f t="shared" si="465"/>
        <v>0</v>
      </c>
      <c r="AY259" s="190">
        <f t="shared" si="471"/>
        <v>5.4014096073022502E-4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4.1327210023462234E-20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1.5033254163268677E-2</v>
      </c>
      <c r="AX260" s="190">
        <f t="shared" si="465"/>
        <v>0</v>
      </c>
      <c r="AY260" s="190">
        <f t="shared" si="471"/>
        <v>0</v>
      </c>
      <c r="AZ260" s="190">
        <f t="shared" si="477"/>
        <v>9.5724196020403711E-3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1.8437076862667901E-3</v>
      </c>
      <c r="CJ260" s="189">
        <f>$C260+SUM($D260:CI260,CK260:$FB260)-SUM(CJ$176:CJ259,CJ261:CJ$330)-CJ$331</f>
        <v>-3.7167805725518699E-18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1.720666375038421E-6</v>
      </c>
      <c r="AY261" s="190">
        <f t="shared" si="471"/>
        <v>0</v>
      </c>
      <c r="AZ261" s="190">
        <f t="shared" si="477"/>
        <v>0</v>
      </c>
      <c r="BA261" s="190">
        <f t="shared" si="483"/>
        <v>1.2731123173378105E-4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5.5862479716990005E-4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4.5838204312090588E-19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-2.53101801246171E-32</v>
      </c>
      <c r="CM262" s="184">
        <f t="shared" ref="CM262:DR262" si="508">CM95*CM$168</f>
        <v>0</v>
      </c>
      <c r="CN262" s="184">
        <f t="shared" si="508"/>
        <v>0</v>
      </c>
      <c r="CO262" s="184">
        <f t="shared" si="508"/>
        <v>0</v>
      </c>
      <c r="CP262" s="184">
        <f t="shared" si="508"/>
        <v>0</v>
      </c>
      <c r="CQ262" s="184">
        <f t="shared" si="508"/>
        <v>0</v>
      </c>
      <c r="CR262" s="184">
        <f t="shared" si="508"/>
        <v>0</v>
      </c>
      <c r="CS262" s="184">
        <f t="shared" si="508"/>
        <v>1.5265742059849239E-18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7.2636146133303417E-20</v>
      </c>
      <c r="DF262" s="184">
        <f t="shared" si="508"/>
        <v>0</v>
      </c>
      <c r="DG262" s="184">
        <f t="shared" si="508"/>
        <v>0</v>
      </c>
      <c r="DH262" s="184">
        <f t="shared" si="508"/>
        <v>0</v>
      </c>
      <c r="DI262" s="184">
        <f t="shared" si="508"/>
        <v>4.9960564381533559E-19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1.4777971216612166E-16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1.5892596087277142E-2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4.360102095991511E-19</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2.1381065576944665E-6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2.0430802813730358E-6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1.5624247042637198</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1.370800555100944E-2</v>
      </c>
      <c r="CN264" s="189">
        <f>$C264+SUM($D264:CM264,CO264:$FB264)-SUM(CN$176:CN263,CN265:CN$330)-CN$331</f>
        <v>-5.6985666185838113E-16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0.15186379339624786</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0.15510297650661778</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4.9104031287390345E-5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5.4230136684894673E-5</v>
      </c>
      <c r="CN265" s="190">
        <f t="shared" ref="CN265:CN296" si="522">CN98*CN$168</f>
        <v>0</v>
      </c>
      <c r="CO265" s="189">
        <f>$C265+SUM($D265:CN265,CP265:$FB265)-SUM(CO$176:CO264,CO266:CO$330)-CO$331</f>
        <v>3.4040860350818179E-20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2.3586583487939117E-8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4.9175105077905384E-9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3.4221725367065931E-4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0.15984806640827209</v>
      </c>
      <c r="CO267" s="190">
        <f t="shared" si="527"/>
        <v>0</v>
      </c>
      <c r="CP267" s="190">
        <f t="shared" ref="CP267:CP298" si="532">CP100*CP$168</f>
        <v>0</v>
      </c>
      <c r="CQ267" s="189">
        <f>$C267+SUM($D267:CP267,CR267:$FB267)-SUM(CQ$176:CQ266,CQ268:CQ$330)-CQ$331</f>
        <v>5.5511151231257827E-17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1.0042425270360244E-4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23.369460232102227</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6.5517556849738972E-17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2.7294654278862406E-13</v>
      </c>
      <c r="CT269" s="184">
        <f t="shared" ref="CT269:DY269" si="543">CT102*CT$168</f>
        <v>3.7499603864378603E-6</v>
      </c>
      <c r="CU269" s="184">
        <f t="shared" si="543"/>
        <v>0.60718764714125828</v>
      </c>
      <c r="CV269" s="184">
        <f t="shared" si="543"/>
        <v>6.9229700296605831E-5</v>
      </c>
      <c r="CW269" s="184">
        <f t="shared" si="543"/>
        <v>1004.0636298540152</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0.20018850999722385</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156.12063743321704</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3.3859375219709464E-7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7.9116233240634853E-4</v>
      </c>
      <c r="CN270" s="190">
        <f t="shared" si="522"/>
        <v>0</v>
      </c>
      <c r="CO270" s="190">
        <f t="shared" si="527"/>
        <v>0</v>
      </c>
      <c r="CP270" s="190">
        <f t="shared" si="532"/>
        <v>1.7110862683532966E-4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2.1704756340353409E-13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3.472185541698137E-9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1.0968400735047008E-10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2.4259643004745498E-3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0.53269089228115174</v>
      </c>
      <c r="CO271" s="190">
        <f t="shared" si="527"/>
        <v>0</v>
      </c>
      <c r="CP271" s="190">
        <f t="shared" si="532"/>
        <v>0</v>
      </c>
      <c r="CQ271" s="190">
        <f t="shared" si="537"/>
        <v>7.9924033204136019E-2</v>
      </c>
      <c r="CR271" s="190">
        <f t="shared" si="542"/>
        <v>0</v>
      </c>
      <c r="CS271" s="190">
        <f t="shared" si="547"/>
        <v>0</v>
      </c>
      <c r="CT271" s="190">
        <f t="shared" ref="CT271:CT302" si="552">CT104*CT$168</f>
        <v>9.4319074668956619E-4</v>
      </c>
      <c r="CU271" s="189">
        <f>$C271+SUM($D271:CT271,CV271:$FB271)-SUM(CU$176:CU270,CU272:CU$330)-CU$331</f>
        <v>-2.2204460492503131E-16</v>
      </c>
      <c r="CV271" s="184">
        <f t="shared" ref="CV271:EA271" si="553">CV104*CV$168</f>
        <v>0</v>
      </c>
      <c r="CW271" s="184">
        <f t="shared" si="553"/>
        <v>0</v>
      </c>
      <c r="CX271" s="184">
        <f t="shared" si="553"/>
        <v>0</v>
      </c>
      <c r="CY271" s="184">
        <f t="shared" si="553"/>
        <v>9.0313123263752562E-6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5.7981823572947708E-3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5.423440106885187E-4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6.2039602473202519E-6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6.7863861071889881E-7</v>
      </c>
      <c r="CP272" s="190">
        <f t="shared" si="532"/>
        <v>0</v>
      </c>
      <c r="CQ272" s="190">
        <f t="shared" si="537"/>
        <v>0</v>
      </c>
      <c r="CR272" s="190">
        <f t="shared" si="542"/>
        <v>5.0212126351801221E-5</v>
      </c>
      <c r="CS272" s="190">
        <f t="shared" si="547"/>
        <v>0</v>
      </c>
      <c r="CT272" s="190">
        <f t="shared" si="552"/>
        <v>1.5579041412951018E-5</v>
      </c>
      <c r="CU272" s="190">
        <f t="shared" ref="CU272:CU303" si="557">CU105*CU$168</f>
        <v>0</v>
      </c>
      <c r="CV272" s="189">
        <f>$C272+SUM($D272:CU272,CW272:$FB272)-SUM(CV$176:CV271,CV273:CV$330)-CV$331</f>
        <v>-1.3552527156068805E-20</v>
      </c>
      <c r="CW272" s="184">
        <f t="shared" ref="CW272:EB272" si="558">CW105*CW$168</f>
        <v>0</v>
      </c>
      <c r="CX272" s="184">
        <f t="shared" si="558"/>
        <v>0</v>
      </c>
      <c r="CY272" s="184">
        <f t="shared" si="558"/>
        <v>0</v>
      </c>
      <c r="CZ272" s="184">
        <f t="shared" si="558"/>
        <v>2.2399419764615746E-9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1.1312883763632392E-9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2.0707810511363436E-9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1004.0292535388705</v>
      </c>
      <c r="CT273" s="190">
        <f t="shared" si="552"/>
        <v>0</v>
      </c>
      <c r="CU273" s="190">
        <f t="shared" si="557"/>
        <v>0</v>
      </c>
      <c r="CV273" s="190">
        <f t="shared" ref="CV273:CV304" si="563">CV106*CV$168</f>
        <v>0</v>
      </c>
      <c r="CW273" s="189">
        <f>$C273+SUM($D273:CV273,CX273:$FB273)-SUM(CW$176:CW272,CW274:CW$330)-CW$331</f>
        <v>-4.6320037859271127E-13</v>
      </c>
      <c r="CX273" s="184">
        <f t="shared" ref="CX273:EC273" si="564">CX106*CX$168</f>
        <v>3.0843507461637721E-10</v>
      </c>
      <c r="CY273" s="184">
        <f t="shared" si="564"/>
        <v>1.2833931178902159E-2</v>
      </c>
      <c r="CZ273" s="184">
        <f t="shared" si="564"/>
        <v>3.1830657751352209E-6</v>
      </c>
      <c r="DA273" s="184">
        <f t="shared" si="564"/>
        <v>382.49705236219808</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156.01656339189898</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7.9167713196535747E-8</v>
      </c>
      <c r="CU274" s="190">
        <f t="shared" si="557"/>
        <v>0</v>
      </c>
      <c r="CV274" s="190">
        <f t="shared" si="563"/>
        <v>0</v>
      </c>
      <c r="CW274" s="190">
        <f t="shared" ref="CW274:CW305" si="569">CW107*CW$168</f>
        <v>0</v>
      </c>
      <c r="CX274" s="189">
        <f>$C274+SUM($D274:CW274,CY274:$FB274)-SUM(CX$176:CX273,CX275:CX$330)-CX$331</f>
        <v>0</v>
      </c>
      <c r="CY274" s="184">
        <f t="shared" ref="CY274:ED274" si="570">CY107*CY$168</f>
        <v>0</v>
      </c>
      <c r="CZ274" s="184">
        <f t="shared" si="570"/>
        <v>0</v>
      </c>
      <c r="DA274" s="184">
        <f t="shared" si="570"/>
        <v>0</v>
      </c>
      <c r="DB274" s="184">
        <f t="shared" si="570"/>
        <v>3.2504589893658673E-24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6.3180264164199036E-16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1.2843692811665825E-2</v>
      </c>
      <c r="CV275" s="190">
        <f t="shared" si="563"/>
        <v>0</v>
      </c>
      <c r="CW275" s="190">
        <f t="shared" si="569"/>
        <v>0</v>
      </c>
      <c r="CX275" s="190">
        <f t="shared" ref="CX275:CX306" si="575">CX108*CX$168</f>
        <v>7.7577648389244808E-8</v>
      </c>
      <c r="CY275" s="189">
        <f>$C275+SUM($D275:CX275,CZ275:$FB275)-SUM(CY$176:CY274,CY276:CY$330)-CY$331</f>
        <v>-5.2041704279304213E-18</v>
      </c>
      <c r="CZ275" s="184">
        <f t="shared" ref="CZ275:EE275" si="576">CZ108*CZ$168</f>
        <v>0</v>
      </c>
      <c r="DA275" s="184">
        <f t="shared" si="576"/>
        <v>0</v>
      </c>
      <c r="DB275" s="184">
        <f t="shared" si="576"/>
        <v>0</v>
      </c>
      <c r="DC275" s="184">
        <f t="shared" si="576"/>
        <v>1.4762084337803356E-11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6.119703352870872E-7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3.1870072487212394E-6</v>
      </c>
      <c r="CW276" s="190">
        <f t="shared" si="569"/>
        <v>0</v>
      </c>
      <c r="CX276" s="190">
        <f t="shared" si="575"/>
        <v>1.281379616177661E-9</v>
      </c>
      <c r="CY276" s="190">
        <f t="shared" ref="CY276:CY307" si="581">CY109*CY$168</f>
        <v>0</v>
      </c>
      <c r="CZ276" s="189">
        <f>$C276+SUM($D276:CY276,DA276:$FB276)-SUM(CZ$176:CZ275,CZ277:CZ$330)-CZ$331</f>
        <v>-8.4703294725430034E-22</v>
      </c>
      <c r="DA276" s="184">
        <f t="shared" ref="DA276:EF276" si="582">DA109*DA$168</f>
        <v>0</v>
      </c>
      <c r="DB276" s="184">
        <f t="shared" si="582"/>
        <v>0</v>
      </c>
      <c r="DC276" s="184">
        <f t="shared" si="582"/>
        <v>0</v>
      </c>
      <c r="DD276" s="184">
        <f t="shared" si="582"/>
        <v>2.1945660578012334E-12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7.1410963645664376E-12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382.61305351011697</v>
      </c>
      <c r="CX277" s="190">
        <f t="shared" si="575"/>
        <v>0</v>
      </c>
      <c r="CY277" s="190">
        <f t="shared" si="581"/>
        <v>0</v>
      </c>
      <c r="CZ277" s="190">
        <f t="shared" ref="CZ277:CZ308" si="587">CZ110*CZ$168</f>
        <v>0</v>
      </c>
      <c r="DA277" s="189">
        <f>$C277+SUM($D277:CZ277,DB277:$FB277)-SUM(DA$176:DA276,DA278:DA$330)-DA$331</f>
        <v>-5.3720916604049762E-14</v>
      </c>
      <c r="DB277" s="184">
        <f t="shared" ref="DB277:EG277" si="588">DB110*DB$168</f>
        <v>3.9136226372516496E-21</v>
      </c>
      <c r="DC277" s="184">
        <f t="shared" si="588"/>
        <v>1.7773867514235656E-8</v>
      </c>
      <c r="DD277" s="184">
        <f t="shared" si="588"/>
        <v>2.6423048039841879E-9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4.5030244399833809E-18</v>
      </c>
      <c r="CY278" s="190">
        <f t="shared" si="581"/>
        <v>0</v>
      </c>
      <c r="CZ278" s="190">
        <f t="shared" si="587"/>
        <v>0</v>
      </c>
      <c r="DA278" s="190">
        <f t="shared" ref="DA278:DA309" si="593">DA111*DA$168</f>
        <v>0</v>
      </c>
      <c r="DB278" s="189">
        <f>$C278+SUM($D278:DA278,DC278:$FB278)-SUM(DB$176:DB277,DB279:DB$330)-DB$331</f>
        <v>-1.2821264113579454E-33</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1.7788634091186691E-8</v>
      </c>
      <c r="CZ279" s="190">
        <f t="shared" si="587"/>
        <v>0</v>
      </c>
      <c r="DA279" s="190">
        <f t="shared" si="593"/>
        <v>0</v>
      </c>
      <c r="DB279" s="190">
        <f t="shared" ref="DB279:DB310" si="599">DB112*DB$168</f>
        <v>1.9675453683712505E-18</v>
      </c>
      <c r="DC279" s="189">
        <f>$C279+SUM($D279:DB279,DD279:$FB279)-SUM(DC$176:DC278,DC280:DC$330)-DC$331</f>
        <v>-2.3281367905861842E-24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2.6445000356853406E-9</v>
      </c>
      <c r="DA280" s="190">
        <f t="shared" si="593"/>
        <v>0</v>
      </c>
      <c r="DB280" s="190">
        <f t="shared" si="599"/>
        <v>2.5315621975262302E-18</v>
      </c>
      <c r="DC280" s="190">
        <f t="shared" ref="DC280:DC311" si="605">DC113*DC$168</f>
        <v>0</v>
      </c>
      <c r="DD280" s="189">
        <f>$C280+SUM($D280:DC280,DE280:$FB280)-SUM(DD$176:DD279,DD281:DD$330)-DD$331</f>
        <v>4.584180174689899E-25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6.5517556849725327E-17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-1.7862230791698686E-17</v>
      </c>
      <c r="DF281" s="184">
        <f t="shared" ref="DF281:EK281" si="612">DF114*DF$168</f>
        <v>1.1988166246878118E-7</v>
      </c>
      <c r="DG281" s="184">
        <f t="shared" si="612"/>
        <v>0.20018968800546993</v>
      </c>
      <c r="DH281" s="184">
        <f t="shared" si="612"/>
        <v>2.2787597270437622E-4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5.9013390145391342E-4</v>
      </c>
      <c r="CN282" s="190">
        <f t="shared" si="522"/>
        <v>0</v>
      </c>
      <c r="CO282" s="190">
        <f t="shared" si="527"/>
        <v>0</v>
      </c>
      <c r="CP282" s="190">
        <f t="shared" si="532"/>
        <v>1.7110862683532966E-4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1.3297734847887159E-19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0.1255187669223356</v>
      </c>
      <c r="CO283" s="190">
        <f t="shared" si="527"/>
        <v>0</v>
      </c>
      <c r="CP283" s="190">
        <f t="shared" si="532"/>
        <v>0</v>
      </c>
      <c r="CQ283" s="190">
        <f t="shared" si="537"/>
        <v>7.9924033204136019E-2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5.8413281201875357E-4</v>
      </c>
      <c r="DG283" s="189">
        <f>$C283+SUM($D283:DF283,DH283:$FB283)-SUM(DG$176:DG282,DG284:DG$330)-DG$331</f>
        <v>6.3588457416274835E-17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6.7863861071889881E-7</v>
      </c>
      <c r="CP284" s="190">
        <f t="shared" si="532"/>
        <v>0</v>
      </c>
      <c r="CQ284" s="190">
        <f t="shared" si="537"/>
        <v>0</v>
      </c>
      <c r="CR284" s="190">
        <f t="shared" si="542"/>
        <v>5.0212126351801221E-5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1.769863390302324E-4</v>
      </c>
      <c r="DG284" s="190">
        <f t="shared" ref="DG284:DG330" si="627">DG117*DG$168</f>
        <v>0</v>
      </c>
      <c r="DH284" s="189">
        <f>$C284+SUM($D284:DG284,DI284:$FB284)-SUM(DH$176:DH283,DH285:DH$330)-DH$331</f>
        <v>-5.4210108624275222E-20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6.2849867564334141E-18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-9.3395377161532387E-34</v>
      </c>
      <c r="DJ285" s="184">
        <f t="shared" ref="DJ285:FB285" si="633">DJ118*DJ$168</f>
        <v>0</v>
      </c>
      <c r="DK285" s="184">
        <f t="shared" si="633"/>
        <v>0</v>
      </c>
      <c r="DL285" s="184">
        <f t="shared" si="633"/>
        <v>0</v>
      </c>
      <c r="DM285" s="184">
        <f t="shared" si="633"/>
        <v>0</v>
      </c>
      <c r="DN285" s="184">
        <f t="shared" si="633"/>
        <v>0</v>
      </c>
      <c r="DO285" s="184">
        <f t="shared" si="633"/>
        <v>0</v>
      </c>
      <c r="DP285" s="184">
        <f t="shared" si="633"/>
        <v>2.7262625763126561E-24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2.9048656647938646E-26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1.3383760197073795E-4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-9.6298298961892099E-21</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0.34679535231981895</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1.1714802317914447E-4</v>
      </c>
      <c r="DK287" s="189">
        <f>$C287+SUM($D287:DJ287,DL287:$FB287)-SUM(DK$176:DK286,DK288:DK$330)-DK$331</f>
        <v>1.6722463257873299E-16</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5.1484624318749155E-7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4.4305712159907494E-7</v>
      </c>
      <c r="DK288" s="190">
        <f t="shared" ref="DK288:DK330" si="647">DK121*DK$168</f>
        <v>0</v>
      </c>
      <c r="DL288" s="189">
        <f>$C288+SUM($D288:DK288,DM288:$FB288)-SUM(DL$176:DL287,DL289:DL$330)-DL$331</f>
        <v>-2.5483786773882212E-22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1.9620353229000018E-6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2.3922594611850541E-2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9.002364626476885E-7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155.87368618365653</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3.4710717125693554E-18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1.0996237421951412E-13</v>
      </c>
      <c r="DQ292" s="184">
        <f t="shared" ref="DQ292:FB292" si="668">DQ125*DQ$168</f>
        <v>3.9504509167987076E-8</v>
      </c>
      <c r="DR292" s="184">
        <f t="shared" si="668"/>
        <v>0.16125116125613109</v>
      </c>
      <c r="DS292" s="184">
        <f t="shared" si="668"/>
        <v>9.0140267979037178E-7</v>
      </c>
      <c r="DT292" s="184">
        <f t="shared" si="668"/>
        <v>714.15662603126827</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3.2021145353578293E-2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1.2290386188064469E-8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8.1774686276589932E-6</v>
      </c>
      <c r="DK293" s="190">
        <f t="shared" si="647"/>
        <v>0</v>
      </c>
      <c r="DL293" s="190">
        <f t="shared" si="652"/>
        <v>0</v>
      </c>
      <c r="DM293" s="190">
        <f t="shared" si="657"/>
        <v>1.1772211937400008E-6</v>
      </c>
      <c r="DN293" s="190">
        <f t="shared" si="662"/>
        <v>0</v>
      </c>
      <c r="DO293" s="190">
        <f t="shared" si="667"/>
        <v>0</v>
      </c>
      <c r="DP293" s="190">
        <f t="shared" ref="DP293:DP330" si="672">DP126*DP$168</f>
        <v>0</v>
      </c>
      <c r="DQ293" s="189">
        <f>$C293+SUM($D293:DP293,DR293:$FB293)-SUM(DQ$176:DQ292,DQ294:DQ$330)-DQ$331</f>
        <v>3.3881317890172014E-21</v>
      </c>
      <c r="DR293" s="184">
        <f t="shared" ref="DR293:FB293" si="673">DR126*DR$168</f>
        <v>0</v>
      </c>
      <c r="DS293" s="184">
        <f t="shared" si="673"/>
        <v>0</v>
      </c>
      <c r="DT293" s="184">
        <f t="shared" si="673"/>
        <v>0</v>
      </c>
      <c r="DU293" s="184">
        <f t="shared" si="673"/>
        <v>2.8920393646878312E-15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8.338169325665862E-12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1.9900398678816666E-3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0.14825040219057287</v>
      </c>
      <c r="DL294" s="190">
        <f t="shared" si="652"/>
        <v>0</v>
      </c>
      <c r="DM294" s="190">
        <f t="shared" si="657"/>
        <v>0</v>
      </c>
      <c r="DN294" s="190">
        <f t="shared" si="662"/>
        <v>1.4353556767110325E-2</v>
      </c>
      <c r="DO294" s="190">
        <f t="shared" si="667"/>
        <v>0</v>
      </c>
      <c r="DP294" s="190">
        <f t="shared" si="672"/>
        <v>0</v>
      </c>
      <c r="DQ294" s="190">
        <f t="shared" ref="DQ294:DQ330" si="677">DQ127*DQ$168</f>
        <v>9.1696654360725975E-6</v>
      </c>
      <c r="DR294" s="189">
        <f>$C294+SUM($D294:DQ294,DS294:$FB294)-SUM(DR$176:DR293,DR295:DR$330)-DR$331</f>
        <v>-5.5511151231257827E-17</v>
      </c>
      <c r="DS294" s="184">
        <f t="shared" ref="DS294:FB294" si="678">DS127*DS$168</f>
        <v>0</v>
      </c>
      <c r="DT294" s="184">
        <f t="shared" si="678"/>
        <v>0</v>
      </c>
      <c r="DU294" s="184">
        <f t="shared" si="678"/>
        <v>0</v>
      </c>
      <c r="DV294" s="184">
        <f t="shared" si="678"/>
        <v>2.8012581509185016E-6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3.3144643107817554E-4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2.2689833082143318E-7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2.0440703234172369E-8</v>
      </c>
      <c r="DM295" s="190">
        <f t="shared" si="657"/>
        <v>0</v>
      </c>
      <c r="DN295" s="190">
        <f t="shared" si="662"/>
        <v>0</v>
      </c>
      <c r="DO295" s="190">
        <f t="shared" si="667"/>
        <v>5.4014187758861304E-7</v>
      </c>
      <c r="DP295" s="190">
        <f t="shared" si="672"/>
        <v>0</v>
      </c>
      <c r="DQ295" s="190">
        <f t="shared" si="677"/>
        <v>1.5691714262075631E-7</v>
      </c>
      <c r="DR295" s="190">
        <f t="shared" ref="DR295:DR330" si="682">DR128*DR$168</f>
        <v>0</v>
      </c>
      <c r="DS295" s="189">
        <f>$C295+SUM($D295:DR295,DT295:$FB295)-SUM(DS$176:DS294,DS296:DS$330)-DS$331</f>
        <v>3.1763735522036263E-22</v>
      </c>
      <c r="DT295" s="184">
        <f t="shared" ref="DT295:FB295" si="683">DT128*DT$168</f>
        <v>0</v>
      </c>
      <c r="DU295" s="184">
        <f t="shared" si="683"/>
        <v>0</v>
      </c>
      <c r="DV295" s="184">
        <f t="shared" si="683"/>
        <v>0</v>
      </c>
      <c r="DW295" s="184">
        <f t="shared" si="683"/>
        <v>3.2687947837131553E-11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7.4559657190347104E-12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870.2235854624397</v>
      </c>
      <c r="DQ296" s="190">
        <f t="shared" si="677"/>
        <v>0</v>
      </c>
      <c r="DR296" s="190">
        <f t="shared" si="682"/>
        <v>0</v>
      </c>
      <c r="DS296" s="190">
        <f t="shared" ref="DS296:DS330" si="687">DS129*DS$168</f>
        <v>0</v>
      </c>
      <c r="DT296" s="189">
        <f>$C296+SUM($D296:DS296,DU296:$FB296)-SUM(DT$176:DT295,DT297:DT$330)-DT$331</f>
        <v>-1.5262903528562475E-13</v>
      </c>
      <c r="DU296" s="184">
        <f t="shared" ref="DU296:FB296" si="688">DU129*DU$168</f>
        <v>3.8021882974014983E-12</v>
      </c>
      <c r="DV296" s="184">
        <f t="shared" si="688"/>
        <v>3.6828374777576906E-3</v>
      </c>
      <c r="DW296" s="184">
        <f t="shared" si="688"/>
        <v>4.297511792196082E-8</v>
      </c>
      <c r="DX296" s="184">
        <f t="shared" si="688"/>
        <v>251.72091432818894</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9.01460787079208E-10</v>
      </c>
      <c r="DR297" s="190">
        <f t="shared" si="682"/>
        <v>0</v>
      </c>
      <c r="DS297" s="190">
        <f t="shared" si="687"/>
        <v>0</v>
      </c>
      <c r="DT297" s="190">
        <f t="shared" ref="DT297:DT330" si="692">DT130*DT$168</f>
        <v>0</v>
      </c>
      <c r="DU297" s="189">
        <f>$C297+SUM($D297:DT297,DV297:$FB297)-SUM(DU$176:DU296,DU298:DU$330)-DU$331</f>
        <v>-1.0339757656912846E-25</v>
      </c>
      <c r="DV297" s="184">
        <f t="shared" ref="DV297:FB297" si="693">DV130*DV$168</f>
        <v>0</v>
      </c>
      <c r="DW297" s="184">
        <f t="shared" si="693"/>
        <v>0</v>
      </c>
      <c r="DX297" s="184">
        <f t="shared" si="693"/>
        <v>0</v>
      </c>
      <c r="DY297" s="184">
        <f t="shared" si="693"/>
        <v>4.2760230637783333E-26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3.6862549240989839E-3</v>
      </c>
      <c r="DS298" s="190">
        <f t="shared" si="687"/>
        <v>0</v>
      </c>
      <c r="DT298" s="190">
        <f t="shared" si="692"/>
        <v>0</v>
      </c>
      <c r="DU298" s="190">
        <f t="shared" ref="DU298:DU330" si="697">DU131*DU$168</f>
        <v>8.8255227938321819E-10</v>
      </c>
      <c r="DV298" s="189">
        <f>$C298+SUM($D298:DU298,DW298:$FB298)-SUM(DV$176:DV297,DV299:DV$330)-DV$331</f>
        <v>8.6736173798840355E-19</v>
      </c>
      <c r="DW298" s="184">
        <f t="shared" ref="DW298:FB298" si="698">DW131*DW$168</f>
        <v>0</v>
      </c>
      <c r="DX298" s="184">
        <f t="shared" si="698"/>
        <v>0</v>
      </c>
      <c r="DY298" s="184">
        <f t="shared" si="698"/>
        <v>0</v>
      </c>
      <c r="DZ298" s="184">
        <f t="shared" si="698"/>
        <v>4.2365182233096083E-12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4.3035518388159063E-8</v>
      </c>
      <c r="DT299" s="190">
        <f t="shared" si="692"/>
        <v>0</v>
      </c>
      <c r="DU299" s="190">
        <f t="shared" si="697"/>
        <v>1.5102795501071712E-11</v>
      </c>
      <c r="DV299" s="190">
        <f t="shared" ref="DV299:DV330" si="702">DV132*DV$168</f>
        <v>0</v>
      </c>
      <c r="DW299" s="189">
        <f>$C299+SUM($D299:DV299,DX299:$FB299)-SUM(DW$176:DW298,DW300:DW$330)-DW$331</f>
        <v>-1.3234889800848443E-23</v>
      </c>
      <c r="DX299" s="184">
        <f t="shared" ref="DX299:FB299" si="703">DX132*DX$168</f>
        <v>0</v>
      </c>
      <c r="DY299" s="184">
        <f t="shared" si="703"/>
        <v>0</v>
      </c>
      <c r="DZ299" s="184">
        <f t="shared" si="703"/>
        <v>0</v>
      </c>
      <c r="EA299" s="184">
        <f t="shared" si="703"/>
        <v>2.9631843459645406E-14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251.77499324787058</v>
      </c>
      <c r="DU300" s="190">
        <f t="shared" si="697"/>
        <v>0</v>
      </c>
      <c r="DV300" s="190">
        <f t="shared" si="702"/>
        <v>0</v>
      </c>
      <c r="DW300" s="190">
        <f t="shared" ref="DW300:DW330" si="707">DW133*DW$168</f>
        <v>0</v>
      </c>
      <c r="DX300" s="189">
        <f>$C300+SUM($D300:DW300,DY300:$FB300)-SUM(DX$176:DX299,DX301:DX$330)-DX$331</f>
        <v>4.2237047193083299E-14</v>
      </c>
      <c r="DY300" s="184">
        <f t="shared" ref="DY300:FB300" si="708">DY133*DY$168</f>
        <v>5.1479669098701784E-23</v>
      </c>
      <c r="DZ300" s="184">
        <f t="shared" si="708"/>
        <v>5.1004064527633365E-9</v>
      </c>
      <c r="EA300" s="184">
        <f t="shared" si="708"/>
        <v>3.567421113812201E-11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5.551037556254842E-20</v>
      </c>
      <c r="DV301" s="190">
        <f t="shared" si="702"/>
        <v>0</v>
      </c>
      <c r="DW301" s="190">
        <f t="shared" si="707"/>
        <v>0</v>
      </c>
      <c r="DX301" s="190">
        <f t="shared" ref="DX301:DX330" si="712">DX134*DX$168</f>
        <v>0</v>
      </c>
      <c r="DY301" s="189">
        <f>$C301+SUM($D301:DX301,DZ301:$FB301)-SUM(DY$176:DY300,DY302:DY$330)-DY$331</f>
        <v>-5.2250410759895842E-37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5.1046438847075496E-9</v>
      </c>
      <c r="DW302" s="190">
        <f t="shared" si="707"/>
        <v>0</v>
      </c>
      <c r="DX302" s="190">
        <f t="shared" si="712"/>
        <v>0</v>
      </c>
      <c r="DY302" s="190">
        <f t="shared" ref="DY302:DY330" si="717">DY135*DY$168</f>
        <v>2.3883283276157487E-20</v>
      </c>
      <c r="DZ302" s="189">
        <f>$C302+SUM($D302:DY302,EA302:$FB302)-SUM(DZ$176:DZ301,DZ303:DZ$330)-DZ$331</f>
        <v>-2.4305786621686374E-24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3.5703849341089789E-11</v>
      </c>
      <c r="DX303" s="190">
        <f t="shared" si="712"/>
        <v>0</v>
      </c>
      <c r="DY303" s="190">
        <f t="shared" si="717"/>
        <v>3.1575569847838935E-20</v>
      </c>
      <c r="DZ303" s="190">
        <f t="shared" ref="DZ303:DZ330" si="722">DZ136*DZ$168</f>
        <v>0</v>
      </c>
      <c r="EA303" s="189">
        <f>$C303+SUM($D303:DZ303,EB303:$FB303)-SUM(EA$176:EA302,EA304:EA$330)-EA$331</f>
        <v>1.0517116699565862E-26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2.31404780837957E-18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1.1467132039928718E-17</v>
      </c>
      <c r="EC304" s="184">
        <f t="shared" ref="EC304:FB304" si="728">EC137*EC$168</f>
        <v>8.0588513093441891E-10</v>
      </c>
      <c r="ED304" s="184">
        <f t="shared" si="728"/>
        <v>3.2034339922192803E-2</v>
      </c>
      <c r="EE304" s="184">
        <f t="shared" si="728"/>
        <v>1.5018588329683185E-6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3.9677798654490152E-6</v>
      </c>
      <c r="DK305" s="190">
        <f t="shared" si="647"/>
        <v>0</v>
      </c>
      <c r="DL305" s="190">
        <f t="shared" si="652"/>
        <v>0</v>
      </c>
      <c r="DM305" s="190">
        <f t="shared" si="657"/>
        <v>7.848141291600006E-7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4.0076188179024595E-22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2.2795357298614385E-2</v>
      </c>
      <c r="DL306" s="190">
        <f t="shared" si="652"/>
        <v>0</v>
      </c>
      <c r="DM306" s="190">
        <f t="shared" si="657"/>
        <v>0</v>
      </c>
      <c r="DN306" s="190">
        <f t="shared" si="662"/>
        <v>9.569037844740216E-3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3.623635146762312E-6</v>
      </c>
      <c r="ED306" s="189">
        <f>$C306+SUM($D306:EC306,EE306:$FB306)-SUM(ED$176:ED305,ED307:ED$330)-ED$331</f>
        <v>-3.0315309182231409E-18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1.3627135489448248E-8</v>
      </c>
      <c r="DM307" s="190">
        <f t="shared" si="657"/>
        <v>0</v>
      </c>
      <c r="DN307" s="190">
        <f t="shared" si="662"/>
        <v>0</v>
      </c>
      <c r="DO307" s="190">
        <f t="shared" si="667"/>
        <v>3.6009458505907536E-7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1.1281445683855143E-6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1.0885916387040196E-17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1.0815781826435668E-30</v>
      </c>
      <c r="EG308" s="190">
        <f t="shared" ref="EG308:FB308" si="752">EG141*EG$168</f>
        <v>0</v>
      </c>
      <c r="EH308" s="190">
        <f t="shared" si="752"/>
        <v>0</v>
      </c>
      <c r="EI308" s="190">
        <f t="shared" si="752"/>
        <v>0</v>
      </c>
      <c r="EJ308" s="190">
        <f t="shared" si="752"/>
        <v>0</v>
      </c>
      <c r="EK308" s="190">
        <f t="shared" si="752"/>
        <v>0</v>
      </c>
      <c r="EL308" s="190">
        <f t="shared" si="752"/>
        <v>0</v>
      </c>
      <c r="EM308" s="190">
        <f t="shared" si="752"/>
        <v>3.1106959317002609E-15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1.5921363055122762E-17</v>
      </c>
      <c r="EZ308" s="190">
        <f t="shared" si="752"/>
        <v>0</v>
      </c>
      <c r="FA308" s="190">
        <f t="shared" si="752"/>
        <v>0</v>
      </c>
      <c r="FB308" s="191">
        <f t="shared" si="752"/>
        <v>0</v>
      </c>
    </row>
    <row r="309" spans="2:158" ht="12.75" customHeight="1" x14ac:dyDescent="0.2">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2.3181352657649864E-4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-1.4872707413703438E-21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0.6006671700466758</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2.0113152223263781E-4</v>
      </c>
      <c r="EH310" s="189">
        <f>$C310+SUM($D310:EG310,EI310:$FB310)-SUM(EH$176:EH309,EH311:EH$330)-EH$331</f>
        <v>2.4191260973582818E-16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8.9173985128669736E-7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8.1592860032424938E-7</v>
      </c>
      <c r="EH311" s="190">
        <f t="shared" ref="EH311:EH330" si="769">EH144*EH$168</f>
        <v>0</v>
      </c>
      <c r="EI311" s="189">
        <f>$C311+SUM($D311:EH311,EJ311:$FB311)-SUM(EI$176:EI310,EI312:EI$330)-EI$331</f>
        <v>1.2233791233331873E-22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6.3897466484125133E-6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9.0108330115214158E-2</v>
      </c>
      <c r="EI313" s="190">
        <f t="shared" si="775"/>
        <v>0</v>
      </c>
      <c r="EJ313" s="190">
        <f t="shared" ref="EJ313:EJ330" si="781">EJ146*EJ$168</f>
        <v>0</v>
      </c>
      <c r="EK313" s="189">
        <f>$C313+SUM($D313:EJ313,EL313:$FB313)-SUM(EK$176:EK312,EK314:EK$330)-EK$331</f>
        <v>-1.3877787807814457E-17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1.6904441583919152E-6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2.0927116466285561E-15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-2.1295120066933381E-13</v>
      </c>
      <c r="EN315" s="190">
        <f t="shared" ref="EN315:FB315" si="793">EN148*EN$168</f>
        <v>7.7009141560765027E-8</v>
      </c>
      <c r="EO315" s="190">
        <f t="shared" si="793"/>
        <v>0.38077972990440895</v>
      </c>
      <c r="EP315" s="190">
        <f t="shared" si="793"/>
        <v>1.4538953760028267E-6</v>
      </c>
      <c r="EQ315" s="190">
        <f t="shared" si="793"/>
        <v>2266.5969697722662</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5.6858697986727512E-2</v>
      </c>
      <c r="EZ315" s="190">
        <f t="shared" si="793"/>
        <v>0</v>
      </c>
      <c r="FA315" s="190">
        <f t="shared" si="793"/>
        <v>0</v>
      </c>
      <c r="FB315" s="191">
        <f t="shared" si="793"/>
        <v>0</v>
      </c>
    </row>
    <row r="316" spans="2:158" ht="12.75" customHeight="1" x14ac:dyDescent="0.2">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1.6186255623217706E-5</v>
      </c>
      <c r="EH316" s="190">
        <f t="shared" si="769"/>
        <v>0</v>
      </c>
      <c r="EI316" s="190">
        <f t="shared" si="775"/>
        <v>0</v>
      </c>
      <c r="EJ316" s="190">
        <f t="shared" si="781"/>
        <v>4.47282265388876E-6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3.5491620176453712E-15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5.8220979632864936E-11</v>
      </c>
      <c r="FA316" s="190">
        <f t="shared" si="798"/>
        <v>0</v>
      </c>
      <c r="FB316" s="191">
        <f t="shared" si="798"/>
        <v>0</v>
      </c>
    </row>
    <row r="317" spans="2:158" ht="12.75" customHeight="1" x14ac:dyDescent="0.2">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0.32250641026918242</v>
      </c>
      <c r="EI317" s="190">
        <f t="shared" si="775"/>
        <v>0</v>
      </c>
      <c r="EJ317" s="190">
        <f t="shared" si="781"/>
        <v>0</v>
      </c>
      <c r="EK317" s="190">
        <f t="shared" si="787"/>
        <v>6.3075831080649916E-2</v>
      </c>
      <c r="EL317" s="190">
        <f t="shared" si="792"/>
        <v>0</v>
      </c>
      <c r="EM317" s="190">
        <f t="shared" si="797"/>
        <v>0</v>
      </c>
      <c r="EN317" s="190">
        <f t="shared" ref="EN317:EN330" si="802">EN150*EN$168</f>
        <v>2.0252306934412689E-5</v>
      </c>
      <c r="EO317" s="189">
        <f>$C317+SUM($D317:EN317,EP317:$FB317)-SUM(EO$176:EO316,EO318:EO$330)-EO$331</f>
        <v>-5.5511151231257827E-17</v>
      </c>
      <c r="EP317" s="190">
        <f t="shared" ref="EP317:FB317" si="803">EP150*EP$168</f>
        <v>0</v>
      </c>
      <c r="EQ317" s="190">
        <f t="shared" si="803"/>
        <v>0</v>
      </c>
      <c r="ER317" s="190">
        <f t="shared" si="803"/>
        <v>0</v>
      </c>
      <c r="ES317" s="190">
        <f t="shared" si="803"/>
        <v>4.715366059406533E-6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3.063755537873272E-3</v>
      </c>
      <c r="FB317" s="191">
        <f t="shared" si="803"/>
        <v>0</v>
      </c>
    </row>
    <row r="318" spans="2:158" ht="12.75" customHeight="1" x14ac:dyDescent="0.2">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8.6115932493241006E-9</v>
      </c>
      <c r="EJ318" s="190">
        <f t="shared" si="781"/>
        <v>0</v>
      </c>
      <c r="EK318" s="190">
        <f t="shared" si="787"/>
        <v>0</v>
      </c>
      <c r="EL318" s="190">
        <f t="shared" si="792"/>
        <v>1.1833109108743404E-6</v>
      </c>
      <c r="EM318" s="190">
        <f t="shared" si="797"/>
        <v>0</v>
      </c>
      <c r="EN318" s="190">
        <f t="shared" si="802"/>
        <v>3.2822766566103708E-7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4.141271691939419E-11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1.0707320453157019E-11</v>
      </c>
    </row>
    <row r="319" spans="2:158" ht="12.75" customHeight="1" x14ac:dyDescent="0.2">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155.87902304305589</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2110.913972297782</v>
      </c>
      <c r="EN319" s="190">
        <f t="shared" si="802"/>
        <v>0</v>
      </c>
      <c r="EO319" s="190">
        <f t="shared" si="807"/>
        <v>0</v>
      </c>
      <c r="EP319" s="190">
        <f t="shared" ref="EP319:EP330" si="812">EP152*EP$168</f>
        <v>0</v>
      </c>
      <c r="EQ319" s="189">
        <f>$C319+SUM($D319:EP319,ER319:$FB319)-SUM(EQ$176:EQ318,EQ320:EQ$330)-EQ$331</f>
        <v>-6.4378755365742535E-13</v>
      </c>
      <c r="ER319" s="190">
        <f t="shared" ref="ER319:FB319" si="813">ER152*ER$168</f>
        <v>5.5288630703022705E-12</v>
      </c>
      <c r="ES319" s="190">
        <f t="shared" si="813"/>
        <v>7.3455686551344331E-3</v>
      </c>
      <c r="ET319" s="190">
        <f t="shared" si="813"/>
        <v>6.4512479305868235E-8</v>
      </c>
      <c r="EU319" s="190">
        <f t="shared" si="813"/>
        <v>946.63100027848952</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3.3696233118351035E-14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1.4830759934170624E-9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5.6204412928945043E-26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1.402094548964758E-6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7.3488906456019342E-3</v>
      </c>
      <c r="EP321" s="190">
        <f t="shared" si="812"/>
        <v>0</v>
      </c>
      <c r="EQ321" s="190">
        <f t="shared" si="817"/>
        <v>0</v>
      </c>
      <c r="ER321" s="190">
        <f t="shared" ref="ER321:ER330" si="822">ER154*ER$168</f>
        <v>1.454012207235784E-9</v>
      </c>
      <c r="ES321" s="189">
        <f>$C321+SUM($D321:ER321,ET321:$FB321)-SUM(ES$176:ES320,ES322:ES$330)-ES$331</f>
        <v>8.6736173798840355E-19</v>
      </c>
      <c r="ET321" s="190">
        <f t="shared" ref="ET321:FB321" si="823">ET154*ET$168</f>
        <v>0</v>
      </c>
      <c r="EU321" s="190">
        <f t="shared" si="823"/>
        <v>0</v>
      </c>
      <c r="EV321" s="190">
        <f t="shared" si="823"/>
        <v>0</v>
      </c>
      <c r="EW321" s="190">
        <f t="shared" si="823"/>
        <v>8.4499079538960182E-12</v>
      </c>
      <c r="EX321" s="190">
        <f t="shared" si="823"/>
        <v>0</v>
      </c>
      <c r="EY321" s="190">
        <f t="shared" si="823"/>
        <v>0</v>
      </c>
      <c r="EZ321" s="190">
        <f t="shared" si="823"/>
        <v>0</v>
      </c>
      <c r="FA321" s="190">
        <f t="shared" si="823"/>
        <v>0</v>
      </c>
      <c r="FB321" s="191">
        <f t="shared" si="823"/>
        <v>0</v>
      </c>
    </row>
    <row r="322" spans="2:158" ht="12.75" customHeight="1" x14ac:dyDescent="0.2">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3.4774685247261443E-10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6.4236132768111191E-8</v>
      </c>
      <c r="EQ322" s="190">
        <f t="shared" si="817"/>
        <v>0</v>
      </c>
      <c r="ER322" s="190">
        <f t="shared" si="822"/>
        <v>2.3565070101357982E-11</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4.4482107722148696E-14</v>
      </c>
      <c r="EY322" s="190">
        <f t="shared" si="828"/>
        <v>0</v>
      </c>
      <c r="EZ322" s="190">
        <f t="shared" si="828"/>
        <v>0</v>
      </c>
      <c r="FA322" s="190">
        <f t="shared" si="828"/>
        <v>0</v>
      </c>
      <c r="FB322" s="191">
        <f t="shared" si="828"/>
        <v>0</v>
      </c>
    </row>
    <row r="323" spans="2:158" ht="12.75" customHeight="1" x14ac:dyDescent="0.2">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946.83437147820621</v>
      </c>
      <c r="ER323" s="190">
        <f t="shared" si="822"/>
        <v>0</v>
      </c>
      <c r="ES323" s="190">
        <f t="shared" si="827"/>
        <v>0</v>
      </c>
      <c r="ET323" s="190">
        <f t="shared" ref="ET323:ET330" si="832">ET156*ET$168</f>
        <v>0</v>
      </c>
      <c r="EU323" s="189">
        <f>$C323+SUM($D323:ET323,EV323:$FB323)-SUM(EU$176:EU322,EU324:EU$330)-EU$331</f>
        <v>3.6637359812630166E-14</v>
      </c>
      <c r="EV323" s="190">
        <f t="shared" ref="EV323:FB323" si="833">EV156*EV$168</f>
        <v>6.7665317429608664E-23</v>
      </c>
      <c r="EW323" s="190">
        <f t="shared" si="833"/>
        <v>1.0172968173765802E-8</v>
      </c>
      <c r="EX323" s="190">
        <f t="shared" si="833"/>
        <v>5.35526621861956E-11</v>
      </c>
      <c r="EY323" s="190">
        <f t="shared" si="833"/>
        <v>0</v>
      </c>
      <c r="EZ323" s="190">
        <f t="shared" si="833"/>
        <v>0</v>
      </c>
      <c r="FA323" s="190">
        <f t="shared" si="833"/>
        <v>0</v>
      </c>
      <c r="FB323" s="191">
        <f t="shared" si="833"/>
        <v>0</v>
      </c>
    </row>
    <row r="324" spans="2:158" ht="12.75" customHeight="1" x14ac:dyDescent="0.2">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8.0719112642614891E-20</v>
      </c>
      <c r="ES324" s="190">
        <f t="shared" si="827"/>
        <v>0</v>
      </c>
      <c r="ET324" s="190">
        <f t="shared" si="832"/>
        <v>0</v>
      </c>
      <c r="EU324" s="190">
        <f t="shared" ref="EU324:EU330" si="837">EU157*EU$168</f>
        <v>0</v>
      </c>
      <c r="EV324" s="189">
        <f>$C324+SUM($D324:EU324,EW324:$FB324)-SUM(EV$176:EV323,EV325:EV$330)-EV$331</f>
        <v>-1.7706744608629396E-35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1.0181419175184821E-8</v>
      </c>
      <c r="ET325" s="190">
        <f t="shared" si="832"/>
        <v>0</v>
      </c>
      <c r="EU325" s="190">
        <f t="shared" si="837"/>
        <v>0</v>
      </c>
      <c r="EV325" s="190">
        <f t="shared" ref="EV325:EV330" si="842">EV158*EV$168</f>
        <v>3.5569888835499416E-20</v>
      </c>
      <c r="EW325" s="189">
        <f>$C325+SUM($D325:EV325,EX325:$FB325)-SUM(EW$176:EW324,EW326:EW$330)-EW$331</f>
        <v>-3.3527613991069789E-25</v>
      </c>
      <c r="EX325" s="190">
        <f>EX158*EX$168</f>
        <v>0</v>
      </c>
      <c r="EY325" s="190">
        <f>EY158*EY$168</f>
        <v>0</v>
      </c>
      <c r="EZ325" s="190">
        <f>EZ158*EZ$168</f>
        <v>0</v>
      </c>
      <c r="FA325" s="190">
        <f>FA158*FA$168</f>
        <v>0</v>
      </c>
      <c r="FB325" s="191">
        <f>FB158*FB$168</f>
        <v>0</v>
      </c>
    </row>
    <row r="326" spans="2:158" ht="12.75" customHeight="1" x14ac:dyDescent="0.2">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5.3597150005255838E-11</v>
      </c>
      <c r="EU326" s="190">
        <f t="shared" si="837"/>
        <v>0</v>
      </c>
      <c r="EV326" s="190">
        <f t="shared" si="842"/>
        <v>4.5081502277999546E-20</v>
      </c>
      <c r="EW326" s="190">
        <f>EW159*EW$168</f>
        <v>0</v>
      </c>
      <c r="EX326" s="189">
        <f>$C326+SUM($D326:EW326,EY326:$FB326)-SUM(EX$176:EX325,EX327:EX$330)-EX$331</f>
        <v>5.3268294848235475E-27</v>
      </c>
      <c r="EY326" s="190">
        <f>EY159*EY$168</f>
        <v>0</v>
      </c>
      <c r="EZ326" s="190">
        <f>EZ159*EZ$168</f>
        <v>0</v>
      </c>
      <c r="FA326" s="190">
        <f>FA159*FA$168</f>
        <v>0</v>
      </c>
      <c r="FB326" s="191">
        <f>FB159*FB$168</f>
        <v>0</v>
      </c>
    </row>
    <row r="327" spans="2:158" ht="12.75" customHeight="1" x14ac:dyDescent="0.2">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8.968764199829428E-16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2.8866882842426556E-18</v>
      </c>
      <c r="EZ327" s="190">
        <f>EZ160*EZ$168</f>
        <v>1.0824580305971461E-9</v>
      </c>
      <c r="FA327" s="190">
        <f>FA160*FA$168</f>
        <v>5.6962057434797056E-2</v>
      </c>
      <c r="FB327" s="191">
        <f>FB160*FB$168</f>
        <v>2.1567808123020889E-6</v>
      </c>
    </row>
    <row r="328" spans="2:158" ht="12.75" customHeight="1" x14ac:dyDescent="0.2">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5.2451208144816343E-6</v>
      </c>
      <c r="EH328" s="190">
        <f t="shared" si="769"/>
        <v>0</v>
      </c>
      <c r="EI328" s="190">
        <f t="shared" si="775"/>
        <v>0</v>
      </c>
      <c r="EJ328" s="190">
        <f t="shared" si="781"/>
        <v>1.9169239945237546E-6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-1.2448757218399792E-21</v>
      </c>
      <c r="FA328" s="190">
        <f>FA161*FA$168</f>
        <v>0</v>
      </c>
      <c r="FB328" s="191">
        <f>FB161*FB$168</f>
        <v>0</v>
      </c>
    </row>
    <row r="329" spans="2:158" ht="12.75" customHeight="1" x14ac:dyDescent="0.2">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3.3008440924950512E-2</v>
      </c>
      <c r="EI329" s="190">
        <f t="shared" si="775"/>
        <v>0</v>
      </c>
      <c r="EJ329" s="190">
        <f t="shared" si="781"/>
        <v>0</v>
      </c>
      <c r="EK329" s="190">
        <f t="shared" si="787"/>
        <v>2.7032499034564256E-2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5.5149361484499496E-6</v>
      </c>
      <c r="FA329" s="189">
        <f>$C329+SUM($D329:EZ329,FB329:$FB329)-SUM(FA$176:FA328,FA330:FA$330)-FA$331</f>
        <v>1.5493926671175662E-17</v>
      </c>
      <c r="FB329" s="191">
        <f>FB162*FB$168</f>
        <v>0</v>
      </c>
    </row>
    <row r="330" spans="2:158" ht="12.75" customHeight="1" x14ac:dyDescent="0.2">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3.6906828211389E-9</v>
      </c>
      <c r="EJ330" s="190">
        <f t="shared" si="781"/>
        <v>0</v>
      </c>
      <c r="EK330" s="190">
        <f t="shared" si="787"/>
        <v>0</v>
      </c>
      <c r="EL330" s="190">
        <f t="shared" si="792"/>
        <v>5.071332475175746E-7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1.6459675892838285E-6</v>
      </c>
      <c r="FA330" s="190">
        <f>FA163*FA$168</f>
        <v>0</v>
      </c>
      <c r="FB330" s="404">
        <f>$C330+SUM($D330:FA330)-SUM(FB$176:FB329)-FB$331</f>
        <v>-4.2351647362715017E-22</v>
      </c>
    </row>
    <row r="331" spans="2:158" ht="12.75" customHeight="1" x14ac:dyDescent="0.2">
      <c r="B331" s="186" t="s">
        <v>4117</v>
      </c>
      <c r="C331" s="203"/>
      <c r="D331" s="684">
        <f t="shared" ref="D331:J331" si="858">D338</f>
        <v>3.0435540084839132E-23</v>
      </c>
      <c r="E331" s="684">
        <f>E338</f>
        <v>2.0407526182892288E-5</v>
      </c>
      <c r="F331" s="684">
        <f t="shared" si="858"/>
        <v>9.26369288644565E-5</v>
      </c>
      <c r="G331" s="684">
        <f t="shared" si="858"/>
        <v>3.720528882843804E-8</v>
      </c>
      <c r="H331" s="684">
        <f t="shared" si="858"/>
        <v>0</v>
      </c>
      <c r="I331" s="684">
        <f t="shared" si="858"/>
        <v>0</v>
      </c>
      <c r="J331" s="684">
        <f t="shared" si="858"/>
        <v>0</v>
      </c>
      <c r="K331" s="684">
        <f>K338</f>
        <v>6.7623479436227527E-14</v>
      </c>
      <c r="L331" s="204">
        <f t="shared" ref="L331:BN331" si="859">L338</f>
        <v>0</v>
      </c>
      <c r="M331" s="204">
        <f t="shared" si="859"/>
        <v>0</v>
      </c>
      <c r="N331" s="204">
        <f t="shared" si="859"/>
        <v>0</v>
      </c>
      <c r="O331" s="204">
        <f t="shared" si="859"/>
        <v>1.3421787555275867E-14</v>
      </c>
      <c r="P331" s="204">
        <f t="shared" si="859"/>
        <v>0</v>
      </c>
      <c r="Q331" s="204">
        <f t="shared" si="859"/>
        <v>0</v>
      </c>
      <c r="R331" s="204">
        <f t="shared" si="859"/>
        <v>0</v>
      </c>
      <c r="S331" s="204">
        <f t="shared" si="859"/>
        <v>2.4843046474682654E-15</v>
      </c>
      <c r="T331" s="204">
        <f t="shared" si="859"/>
        <v>0</v>
      </c>
      <c r="U331" s="204">
        <f t="shared" si="859"/>
        <v>0</v>
      </c>
      <c r="V331" s="204">
        <f t="shared" si="859"/>
        <v>0</v>
      </c>
      <c r="W331" s="204">
        <f t="shared" si="859"/>
        <v>0.23372367409985534</v>
      </c>
      <c r="X331" s="204">
        <f t="shared" si="859"/>
        <v>3.540293234983358E-18</v>
      </c>
      <c r="Y331" s="204">
        <f t="shared" si="859"/>
        <v>3.7300284279428657E-7</v>
      </c>
      <c r="Z331" s="204">
        <f t="shared" si="859"/>
        <v>3.8890328797069061E-7</v>
      </c>
      <c r="AA331" s="204">
        <f t="shared" si="859"/>
        <v>4.6133647206853121</v>
      </c>
      <c r="AB331" s="204">
        <f t="shared" si="859"/>
        <v>1.1344351903543255E-13</v>
      </c>
      <c r="AC331" s="204">
        <f t="shared" si="859"/>
        <v>3.2180791789174126E-3</v>
      </c>
      <c r="AD331" s="204">
        <f t="shared" si="859"/>
        <v>1.2512136252221227E-2</v>
      </c>
      <c r="AE331" s="204">
        <f t="shared" si="859"/>
        <v>7.9694095867597792E-2</v>
      </c>
      <c r="AF331" s="204">
        <f t="shared" si="859"/>
        <v>1.6934337887985462E-18</v>
      </c>
      <c r="AG331" s="204">
        <f t="shared" si="859"/>
        <v>2.3058751149999352E-8</v>
      </c>
      <c r="AH331" s="204">
        <f t="shared" si="859"/>
        <v>7.3863554125702047E-8</v>
      </c>
      <c r="AI331" s="204">
        <f t="shared" si="859"/>
        <v>1.0848676875043349E-4</v>
      </c>
      <c r="AJ331" s="204">
        <f t="shared" si="859"/>
        <v>1.9857451684340419E-9</v>
      </c>
      <c r="AK331" s="204">
        <f t="shared" si="859"/>
        <v>1.5179462499156677E-5</v>
      </c>
      <c r="AL331" s="204">
        <f t="shared" si="859"/>
        <v>0</v>
      </c>
      <c r="AM331" s="204">
        <f t="shared" si="859"/>
        <v>3.5718105061189058E-3</v>
      </c>
      <c r="AN331" s="204">
        <f t="shared" si="859"/>
        <v>6.8975976894091716E-8</v>
      </c>
      <c r="AO331" s="204">
        <f t="shared" si="859"/>
        <v>2.1324068886283883E-4</v>
      </c>
      <c r="AP331" s="204">
        <f t="shared" si="859"/>
        <v>0</v>
      </c>
      <c r="AQ331" s="204">
        <f t="shared" si="859"/>
        <v>4.018026200400991E-5</v>
      </c>
      <c r="AR331" s="204">
        <f t="shared" si="859"/>
        <v>1.3073217333833975E-9</v>
      </c>
      <c r="AS331" s="204">
        <f t="shared" si="859"/>
        <v>5.6215842644934655E-6</v>
      </c>
      <c r="AT331" s="204">
        <f t="shared" si="859"/>
        <v>0</v>
      </c>
      <c r="AU331" s="204">
        <f t="shared" si="859"/>
        <v>1.2152185757163574E-22</v>
      </c>
      <c r="AV331" s="204">
        <f t="shared" si="859"/>
        <v>4.2132928790411108E-6</v>
      </c>
      <c r="AW331" s="204">
        <f t="shared" si="859"/>
        <v>4.1421507501736884E-4</v>
      </c>
      <c r="AX331" s="204">
        <f t="shared" si="859"/>
        <v>1.3017990529627799E-8</v>
      </c>
      <c r="AY331" s="204">
        <f t="shared" si="859"/>
        <v>0</v>
      </c>
      <c r="AZ331" s="204">
        <f t="shared" si="859"/>
        <v>0</v>
      </c>
      <c r="BA331" s="204">
        <f t="shared" si="859"/>
        <v>0</v>
      </c>
      <c r="BB331" s="204">
        <f t="shared" si="859"/>
        <v>5.8692498153194931E-15</v>
      </c>
      <c r="BC331" s="204">
        <f t="shared" si="859"/>
        <v>0</v>
      </c>
      <c r="BD331" s="204">
        <f t="shared" si="859"/>
        <v>0</v>
      </c>
      <c r="BE331" s="204">
        <f t="shared" si="859"/>
        <v>0</v>
      </c>
      <c r="BF331" s="204">
        <f t="shared" si="859"/>
        <v>6.8047237703693801E-16</v>
      </c>
      <c r="BG331" s="204">
        <f t="shared" si="859"/>
        <v>0</v>
      </c>
      <c r="BH331" s="204">
        <f t="shared" si="859"/>
        <v>0</v>
      </c>
      <c r="BI331" s="204">
        <f t="shared" si="859"/>
        <v>0</v>
      </c>
      <c r="BJ331" s="204">
        <f t="shared" si="859"/>
        <v>2.030075513956497E-12</v>
      </c>
      <c r="BK331" s="204">
        <f t="shared" si="859"/>
        <v>0</v>
      </c>
      <c r="BL331" s="204">
        <f t="shared" si="859"/>
        <v>0</v>
      </c>
      <c r="BM331" s="204">
        <f t="shared" si="859"/>
        <v>0</v>
      </c>
      <c r="BN331" s="204">
        <f t="shared" si="859"/>
        <v>2.0293986050848981E-2</v>
      </c>
      <c r="BO331" s="204">
        <f t="shared" ref="BO331:DX331" si="860">BO338</f>
        <v>3.5257182180406327E-19</v>
      </c>
      <c r="BP331" s="204">
        <f t="shared" si="860"/>
        <v>1.9040442451886072E-7</v>
      </c>
      <c r="BQ331" s="204">
        <f t="shared" si="860"/>
        <v>5.7914576492582392E-8</v>
      </c>
      <c r="BR331" s="204">
        <f t="shared" si="860"/>
        <v>0.22882157488043406</v>
      </c>
      <c r="BS331" s="204">
        <f t="shared" si="860"/>
        <v>4.175440993221955E-17</v>
      </c>
      <c r="BT331" s="204">
        <f t="shared" si="860"/>
        <v>3.5818571903447737E-5</v>
      </c>
      <c r="BU331" s="204">
        <f t="shared" si="860"/>
        <v>5.3429663632404908E-6</v>
      </c>
      <c r="BV331" s="204">
        <f t="shared" si="860"/>
        <v>3.2479861347445538</v>
      </c>
      <c r="BW331" s="204">
        <f t="shared" si="860"/>
        <v>1.8572655056479386E-18</v>
      </c>
      <c r="BX331" s="204">
        <f t="shared" si="860"/>
        <v>1.4524018106320542E-9</v>
      </c>
      <c r="BY331" s="204">
        <f t="shared" si="860"/>
        <v>2.2263139416667074E-9</v>
      </c>
      <c r="BZ331" s="204">
        <f t="shared" si="860"/>
        <v>8.1471325521755662E-5</v>
      </c>
      <c r="CA331" s="204">
        <f t="shared" si="860"/>
        <v>1.9937509230854284E-10</v>
      </c>
      <c r="CB331" s="204">
        <f t="shared" si="860"/>
        <v>1.3540041004889524E-5</v>
      </c>
      <c r="CC331" s="204">
        <f t="shared" si="860"/>
        <v>0</v>
      </c>
      <c r="CD331" s="204">
        <f t="shared" si="860"/>
        <v>1.8381271583126297E-4</v>
      </c>
      <c r="CE331" s="204">
        <f t="shared" si="860"/>
        <v>3.2255296474327463E-10</v>
      </c>
      <c r="CF331" s="204">
        <f t="shared" si="860"/>
        <v>1.3906754884412263E-5</v>
      </c>
      <c r="CG331" s="204">
        <f t="shared" si="860"/>
        <v>0</v>
      </c>
      <c r="CH331" s="204">
        <f t="shared" si="860"/>
        <v>3.01745627270612E-5</v>
      </c>
      <c r="CI331" s="204">
        <f t="shared" si="860"/>
        <v>1.3125923477674912E-10</v>
      </c>
      <c r="CJ331" s="204">
        <f t="shared" si="860"/>
        <v>5.0147859365359513E-6</v>
      </c>
      <c r="CK331" s="204">
        <f t="shared" si="860"/>
        <v>0</v>
      </c>
      <c r="CL331" s="204">
        <f t="shared" si="860"/>
        <v>6.0696388779097051E-21</v>
      </c>
      <c r="CM331" s="204">
        <f t="shared" si="860"/>
        <v>1.2925180970608494E-7</v>
      </c>
      <c r="CN331" s="204">
        <f t="shared" si="860"/>
        <v>3.3491280645327279E-4</v>
      </c>
      <c r="CO331" s="204">
        <f t="shared" si="860"/>
        <v>4.9720562586672495E-10</v>
      </c>
      <c r="CP331" s="204">
        <f t="shared" si="860"/>
        <v>0</v>
      </c>
      <c r="CQ331" s="204">
        <f t="shared" si="860"/>
        <v>0</v>
      </c>
      <c r="CR331" s="204">
        <f t="shared" si="860"/>
        <v>0</v>
      </c>
      <c r="CS331" s="204">
        <f t="shared" si="860"/>
        <v>1.1095737229372979E-11</v>
      </c>
      <c r="CT331" s="204">
        <f t="shared" si="860"/>
        <v>0</v>
      </c>
      <c r="CU331" s="204">
        <f t="shared" si="860"/>
        <v>0</v>
      </c>
      <c r="CV331" s="204">
        <f t="shared" si="860"/>
        <v>0</v>
      </c>
      <c r="CW331" s="204">
        <f t="shared" si="860"/>
        <v>3.3288351387659798E-10</v>
      </c>
      <c r="CX331" s="204">
        <f t="shared" si="860"/>
        <v>0</v>
      </c>
      <c r="CY331" s="204">
        <f t="shared" si="860"/>
        <v>0</v>
      </c>
      <c r="CZ331" s="204">
        <f t="shared" si="860"/>
        <v>0</v>
      </c>
      <c r="DA331" s="204">
        <f t="shared" si="860"/>
        <v>0.11600116833511408</v>
      </c>
      <c r="DB331" s="204">
        <f t="shared" si="860"/>
        <v>9.8966041372121413E-28</v>
      </c>
      <c r="DC331" s="204">
        <f t="shared" si="860"/>
        <v>4.4945807779559419E-15</v>
      </c>
      <c r="DD331" s="204">
        <f t="shared" si="860"/>
        <v>6.6817491308383317E-16</v>
      </c>
      <c r="DE331" s="204">
        <f t="shared" si="860"/>
        <v>2.2917386261302585E-4</v>
      </c>
      <c r="DF331" s="204">
        <f t="shared" si="860"/>
        <v>2.3392246448629031E-11</v>
      </c>
      <c r="DG331" s="204">
        <f t="shared" si="860"/>
        <v>3.906257572560437E-5</v>
      </c>
      <c r="DH331" s="204">
        <f t="shared" si="860"/>
        <v>0</v>
      </c>
      <c r="DI331" s="204">
        <f t="shared" si="860"/>
        <v>2.6434698038743556E-22</v>
      </c>
      <c r="DJ331" s="204">
        <f t="shared" si="860"/>
        <v>1.1312962919250301E-9</v>
      </c>
      <c r="DK331" s="204">
        <f t="shared" si="860"/>
        <v>8.0352845712283047E-5</v>
      </c>
      <c r="DL331" s="204">
        <f t="shared" si="860"/>
        <v>1.2479927318430075E-11</v>
      </c>
      <c r="DM331" s="204">
        <f t="shared" si="860"/>
        <v>0</v>
      </c>
      <c r="DN331" s="204">
        <f t="shared" si="860"/>
        <v>0</v>
      </c>
      <c r="DO331" s="204">
        <f t="shared" si="860"/>
        <v>0</v>
      </c>
      <c r="DP331" s="204">
        <f t="shared" si="860"/>
        <v>1.9364007047695744E-12</v>
      </c>
      <c r="DQ331" s="204">
        <f t="shared" si="860"/>
        <v>0</v>
      </c>
      <c r="DR331" s="204">
        <f t="shared" si="860"/>
        <v>0</v>
      </c>
      <c r="DS331" s="204">
        <f t="shared" si="860"/>
        <v>0</v>
      </c>
      <c r="DT331" s="204">
        <f t="shared" si="860"/>
        <v>4.7673727202921125E-11</v>
      </c>
      <c r="DU331" s="204">
        <f t="shared" si="860"/>
        <v>0</v>
      </c>
      <c r="DV331" s="204">
        <f t="shared" si="860"/>
        <v>0</v>
      </c>
      <c r="DW331" s="204">
        <f t="shared" si="860"/>
        <v>0</v>
      </c>
      <c r="DX331" s="204">
        <f t="shared" si="860"/>
        <v>5.407892481768823E-2</v>
      </c>
      <c r="DY331" s="204">
        <f t="shared" ref="DY331:FB331" si="861">DY338</f>
        <v>9.2226530989426542E-30</v>
      </c>
      <c r="DZ331" s="204">
        <f t="shared" si="861"/>
        <v>9.1374478898177548E-16</v>
      </c>
      <c r="EA331" s="204">
        <f t="shared" si="861"/>
        <v>6.391083697032398E-18</v>
      </c>
      <c r="EB331" s="204">
        <f t="shared" si="861"/>
        <v>1.4697233332606664E-5</v>
      </c>
      <c r="EC331" s="204">
        <f t="shared" si="861"/>
        <v>5.6160929286092506E-14</v>
      </c>
      <c r="ED331" s="204">
        <f t="shared" si="861"/>
        <v>2.2324252303934428E-6</v>
      </c>
      <c r="EE331" s="204">
        <f t="shared" si="861"/>
        <v>0</v>
      </c>
      <c r="EF331" s="204">
        <f t="shared" si="861"/>
        <v>1.3543236480243001E-19</v>
      </c>
      <c r="EG331" s="204">
        <f t="shared" si="861"/>
        <v>1.8723760517040534E-9</v>
      </c>
      <c r="EH331" s="204">
        <f t="shared" si="861"/>
        <v>1.4214375294339344E-4</v>
      </c>
      <c r="EI331" s="204">
        <f t="shared" si="861"/>
        <v>4.5066407780130219E-12</v>
      </c>
      <c r="EJ331" s="204">
        <f t="shared" si="861"/>
        <v>0</v>
      </c>
      <c r="EK331" s="204">
        <f t="shared" si="861"/>
        <v>0</v>
      </c>
      <c r="EL331" s="204">
        <f t="shared" si="861"/>
        <v>0</v>
      </c>
      <c r="EM331" s="204">
        <f t="shared" si="861"/>
        <v>6.2968085623001382E-11</v>
      </c>
      <c r="EN331" s="204">
        <f t="shared" si="861"/>
        <v>0</v>
      </c>
      <c r="EO331" s="204">
        <f t="shared" si="861"/>
        <v>0</v>
      </c>
      <c r="EP331" s="204">
        <f t="shared" si="861"/>
        <v>0</v>
      </c>
      <c r="EQ331" s="204">
        <f t="shared" si="861"/>
        <v>2.0283622251564009E-9</v>
      </c>
      <c r="ER331" s="204">
        <f t="shared" si="861"/>
        <v>0</v>
      </c>
      <c r="ES331" s="204">
        <f t="shared" si="861"/>
        <v>0</v>
      </c>
      <c r="ET331" s="204">
        <f t="shared" si="861"/>
        <v>0</v>
      </c>
      <c r="EU331" s="204">
        <f t="shared" si="861"/>
        <v>0.20337120994312019</v>
      </c>
      <c r="EV331" s="204">
        <f t="shared" si="861"/>
        <v>7.2734004752823766E-30</v>
      </c>
      <c r="EW331" s="204">
        <f t="shared" si="861"/>
        <v>1.0935006937205851E-15</v>
      </c>
      <c r="EX331" s="204">
        <f t="shared" si="861"/>
        <v>5.7564195867833433E-18</v>
      </c>
      <c r="EY331" s="204">
        <f t="shared" si="861"/>
        <v>1.0551731134075526E-4</v>
      </c>
      <c r="EZ331" s="204">
        <f t="shared" si="861"/>
        <v>3.9226138094074994E-13</v>
      </c>
      <c r="FA331" s="204">
        <f t="shared" si="861"/>
        <v>2.0641922992869815E-5</v>
      </c>
      <c r="FB331" s="205">
        <f t="shared" si="861"/>
        <v>0</v>
      </c>
    </row>
    <row r="332" spans="2:158" ht="12.75" customHeight="1" x14ac:dyDescent="0.2">
      <c r="BF332" s="32"/>
      <c r="BG332" s="32"/>
      <c r="BH332" s="32"/>
      <c r="BI332" s="32"/>
    </row>
    <row r="334" spans="2:158" ht="12.75" customHeight="1" x14ac:dyDescent="0.2">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2">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4119</v>
      </c>
      <c r="C336" s="176">
        <f>SUM(D336:EY336)</f>
        <v>12000.379262521443</v>
      </c>
      <c r="D336" s="185">
        <f>SUM($D$176:$FB$176)</f>
        <v>1.3531207021478013E-18</v>
      </c>
      <c r="E336" s="185">
        <f>SUM($D$177:$FB$177)</f>
        <v>3.4549312385883167E-3</v>
      </c>
      <c r="F336" s="185">
        <f>SUM($D$178:$FB$178)</f>
        <v>2.5040119534160752</v>
      </c>
      <c r="G336" s="185">
        <f>SUM($D$179:$FB$179)</f>
        <v>8.5729659805942309E-3</v>
      </c>
      <c r="H336" s="185">
        <f>SUM($D$180:$FB$180)</f>
        <v>5.4032570842934134E-2</v>
      </c>
      <c r="I336" s="185">
        <f>SUM($D$181:$FB$181)</f>
        <v>4.4213997409651228E-2</v>
      </c>
      <c r="J336" s="185">
        <f>SUM($D$182:$FB$182)</f>
        <v>7.5146239962680774E-3</v>
      </c>
      <c r="K336" s="185">
        <f>SUM($D$183:$FB$183)</f>
        <v>0.27551018111465148</v>
      </c>
      <c r="L336" s="185">
        <f>SUM($D$184:$FB$184)</f>
        <v>9.9133903700466186E-4</v>
      </c>
      <c r="M336" s="185">
        <f>SUM($D$185:$FB$185)</f>
        <v>4.7774072025750965E-3</v>
      </c>
      <c r="N336" s="185">
        <f>SUM($D$186:$FB$186)</f>
        <v>2.6398893428554425E-5</v>
      </c>
      <c r="O336" s="185">
        <f>SUM($D$187:$FB$187)</f>
        <v>46.787998474739496</v>
      </c>
      <c r="P336" s="185">
        <f>SUM($D$188:$FB$188)</f>
        <v>1.0904733899899249E-2</v>
      </c>
      <c r="Q336" s="185">
        <f>SUM($D$189:$FB$189)</f>
        <v>2.4241038917553501</v>
      </c>
      <c r="R336" s="185">
        <f>SUM($D$190:$FB$190)</f>
        <v>0.7120844162251323</v>
      </c>
      <c r="S336" s="185">
        <f>SUM($D$191:$FB$191)</f>
        <v>2.0927917083502114</v>
      </c>
      <c r="T336" s="185">
        <f>SUM($D$192:$FB$192)</f>
        <v>1.4743738906168257E-3</v>
      </c>
      <c r="U336" s="185">
        <f>SUM($D$193:$FB$193)</f>
        <v>0.79974129023076079</v>
      </c>
      <c r="V336" s="185">
        <f>SUM($D$194:$FB$194)</f>
        <v>5.2264383953394373E-3</v>
      </c>
      <c r="W336" s="185">
        <f>SUM($D$195:$FB$195)</f>
        <v>0.23372367409985539</v>
      </c>
      <c r="X336" s="185">
        <f>SUM($D$196:$FB$196)</f>
        <v>9.6838932531588825E-12</v>
      </c>
      <c r="Y336" s="185">
        <f>SUM($D$197:$FB$197)</f>
        <v>1.7378223211664608E-5</v>
      </c>
      <c r="Z336" s="185">
        <f>SUM($D$198:$FB$198)</f>
        <v>1.8119025837645605E-5</v>
      </c>
      <c r="AA336" s="185">
        <f>SUM($D$199:$FB$199)</f>
        <v>46.922900265813631</v>
      </c>
      <c r="AB336" s="185">
        <f>SUM($D$200:$FB$200)</f>
        <v>3.5749177644937839E-7</v>
      </c>
      <c r="AC336" s="185">
        <f>SUM($D$201:$FB$201)</f>
        <v>0.17940084409614754</v>
      </c>
      <c r="AD336" s="185">
        <f>SUM($D$202:$FB$202)</f>
        <v>0.69752410686477428</v>
      </c>
      <c r="AE336" s="185">
        <f>SUM($D$203:$FB$203)</f>
        <v>0.8578815289009043</v>
      </c>
      <c r="AF336" s="185">
        <f>SUM($D$204:$FB$204)</f>
        <v>2.5147225453339168E-11</v>
      </c>
      <c r="AG336" s="185">
        <f>SUM($D$205:$FB$205)</f>
        <v>2.9784680344241941E-4</v>
      </c>
      <c r="AH336" s="185">
        <f>SUM($D$206:$FB$206)</f>
        <v>9.540856460145766E-4</v>
      </c>
      <c r="AI336" s="185">
        <f>SUM($D$207:$FB$207)</f>
        <v>9.4874112931078169E-2</v>
      </c>
      <c r="AJ336" s="185">
        <f>SUM($D$208:$FB$208)</f>
        <v>6.4621141705074353E-2</v>
      </c>
      <c r="AK336" s="185">
        <f>SUM($D$209:$FB$209)</f>
        <v>8.0060724216559465E-2</v>
      </c>
      <c r="AL336" s="185">
        <f>SUM($D$210:$FB$210)</f>
        <v>1.7071612188651008E-2</v>
      </c>
      <c r="AM336" s="185">
        <f>SUM($D$211:$FB$211)</f>
        <v>3.1236279581008732</v>
      </c>
      <c r="AN336" s="185">
        <f>SUM($D$212:$FB$212)</f>
        <v>0.14360253712238694</v>
      </c>
      <c r="AO336" s="185">
        <f>SUM($D$213:$FB$213)</f>
        <v>2.4333918021303358</v>
      </c>
      <c r="AP336" s="185">
        <f>SUM($D$214:$FB$214)</f>
        <v>0.72132428474927646</v>
      </c>
      <c r="AQ336" s="185">
        <f>SUM($D$215:$FB$215)</f>
        <v>3.5138540477117057E-2</v>
      </c>
      <c r="AR336" s="185">
        <f>SUM($D$216:$FB$216)</f>
        <v>2.3933756187064573E-2</v>
      </c>
      <c r="AS336" s="185">
        <f>SUM($D$217:$FB$217)</f>
        <v>2.9649805286897743E-2</v>
      </c>
      <c r="AT336" s="185">
        <f>SUM($D$218:$FB$218)</f>
        <v>6.3221179701496042E-3</v>
      </c>
      <c r="AU336" s="185">
        <f>SUM($D$219:$FB$219)</f>
        <v>3.1447037801272166E-18</v>
      </c>
      <c r="AV336" s="185">
        <f>SUM($D$220:$FB$220)</f>
        <v>0.52482883288754056</v>
      </c>
      <c r="AW336" s="185">
        <f>SUM($D$221:$FB$221)</f>
        <v>2.9462687808553545</v>
      </c>
      <c r="AX336" s="185">
        <f>SUM($D$222:$FB$222)</f>
        <v>2.7246672000725745E-3</v>
      </c>
      <c r="AY336" s="185">
        <f>SUM($D$223:$FB$223)</f>
        <v>1.1155445492441053E-2</v>
      </c>
      <c r="AZ336" s="185">
        <f>SUM($D$224:$FB$224)</f>
        <v>0.19769766202691225</v>
      </c>
      <c r="BA336" s="185">
        <f>SUM($D$225:$FB$225)</f>
        <v>2.6293386531206927E-3</v>
      </c>
      <c r="BB336" s="185">
        <f>SUM($D$226:$FB$226)</f>
        <v>2.3912376191035249E-2</v>
      </c>
      <c r="BC336" s="185">
        <f>SUM($D$227:$FB$227)</f>
        <v>9.9451904589140715E-5</v>
      </c>
      <c r="BD336" s="185">
        <f>SUM($D$228:$FB$228)</f>
        <v>2.4562448000258071E-3</v>
      </c>
      <c r="BE336" s="185">
        <f>SUM($D$229:$FB$229)</f>
        <v>3.9595563465958987E-6</v>
      </c>
      <c r="BF336" s="185">
        <f>SUM($D$230:$FB$230)</f>
        <v>2.3721088124652732</v>
      </c>
      <c r="BG336" s="185">
        <f>SUM($D$231:$FB$231)</f>
        <v>1.0939714011028094E-3</v>
      </c>
      <c r="BH336" s="185">
        <f>SUM($D$232:$FB$232)</f>
        <v>2.7179753244953489E-2</v>
      </c>
      <c r="BI336" s="185">
        <f>SUM($D$233:$FB$233)</f>
        <v>3.0631270657510533E-4</v>
      </c>
      <c r="BJ336" s="185">
        <f>SUM($D$234:$FB$234)</f>
        <v>58.381935341330276</v>
      </c>
      <c r="BK336" s="185">
        <f>SUM($D$235:$FB$235)</f>
        <v>3.2359943949042021E-2</v>
      </c>
      <c r="BL336" s="185">
        <f>SUM($D$236:$FB$236)</f>
        <v>0.90573291201597428</v>
      </c>
      <c r="BM336" s="185">
        <f>SUM($D$237:$FB$237)</f>
        <v>2.3449855405014266E-3</v>
      </c>
      <c r="BN336" s="185">
        <f>SUM($D$238:$FB$238)</f>
        <v>2.0293986050848978E-2</v>
      </c>
      <c r="BO336" s="185">
        <f>SUM($D$239:$FB$239)</f>
        <v>9.7149571631370309E-13</v>
      </c>
      <c r="BP336" s="185">
        <f>SUM($D$240:$FB$240)</f>
        <v>8.9347979037805596E-6</v>
      </c>
      <c r="BQ336" s="185">
        <f>SUM($D$241:$FB$241)</f>
        <v>2.7176628796932562E-6</v>
      </c>
      <c r="BR336" s="185">
        <f>SUM($D$242:$FB$242)</f>
        <v>2.3444801547657339</v>
      </c>
      <c r="BS336" s="185">
        <f>SUM($D$243:$FB$243)</f>
        <v>1.3254741117718432E-10</v>
      </c>
      <c r="BT336" s="185">
        <f>SUM($D$244:$FB$244)</f>
        <v>2.0114931417617127E-3</v>
      </c>
      <c r="BU336" s="185">
        <f>SUM($D$245:$FB$245)</f>
        <v>3.0004937732560093E-4</v>
      </c>
      <c r="BV336" s="185">
        <f>SUM($D$246:$FB$246)</f>
        <v>35.000281492912357</v>
      </c>
      <c r="BW336" s="185">
        <f>SUM($D$247:$FB$247)</f>
        <v>2.7609087216700249E-11</v>
      </c>
      <c r="BX336" s="185">
        <f>SUM($D$248:$FB$248)</f>
        <v>1.8780197022779757E-5</v>
      </c>
      <c r="BY336" s="185">
        <f>SUM($D$249:$FB$249)</f>
        <v>2.8787222759566165E-5</v>
      </c>
      <c r="BZ336" s="185">
        <f>SUM($D$250:$FB$250)</f>
        <v>7.1248501796351935E-2</v>
      </c>
      <c r="CA336" s="185">
        <f>SUM($D$251:$FB$251)</f>
        <v>6.4881669094996796E-3</v>
      </c>
      <c r="CB336" s="185">
        <f>SUM($D$252:$FB$252)</f>
        <v>7.1413957433182615E-2</v>
      </c>
      <c r="CC336" s="185">
        <f>SUM($D$253:$FB$253)</f>
        <v>1.8568632076312735E-3</v>
      </c>
      <c r="CD336" s="185">
        <f>SUM($D$254:$FB$254)</f>
        <v>0.16074832000224529</v>
      </c>
      <c r="CE336" s="185">
        <f>SUM($D$255:$FB$255)</f>
        <v>1.4418148687777065E-2</v>
      </c>
      <c r="CF336" s="185">
        <f>SUM($D$256:$FB$256)</f>
        <v>0.15869665170577191</v>
      </c>
      <c r="CG336" s="185">
        <f>SUM($D$257:$FB$257)</f>
        <v>4.1260501558880195E-3</v>
      </c>
      <c r="CH336" s="185">
        <f>SUM($D$258:$FB$258)</f>
        <v>2.6388332003866293E-2</v>
      </c>
      <c r="CI336" s="185">
        <f>SUM($D$259:$FB$259)</f>
        <v>2.4030247812961776E-3</v>
      </c>
      <c r="CJ336" s="185">
        <f>SUM($D$260:$FB$260)</f>
        <v>2.6449381451575833E-2</v>
      </c>
      <c r="CK336" s="185">
        <f>SUM($D$261:$FB$261)</f>
        <v>6.876566952787195E-4</v>
      </c>
      <c r="CL336" s="185">
        <f>SUM($D$262:$FB$262)</f>
        <v>1.503369102051761E-16</v>
      </c>
      <c r="CM336" s="185">
        <f>SUM($D$263:$FB$263)</f>
        <v>1.589677727411621E-2</v>
      </c>
      <c r="CN336" s="185">
        <f>SUM($D$264:$FB$264)</f>
        <v>1.8830994797175944</v>
      </c>
      <c r="CO336" s="185">
        <f>SUM($D$265:$FB$265)</f>
        <v>1.0336267206628079E-4</v>
      </c>
      <c r="CP336" s="185">
        <f>SUM($D$266:$FB$266)</f>
        <v>3.4221725367065931E-4</v>
      </c>
      <c r="CQ336" s="185">
        <f>SUM($D$267:$FB$267)</f>
        <v>0.15984806640827215</v>
      </c>
      <c r="CR336" s="185">
        <f>SUM($D$268:$FB$268)</f>
        <v>1.0042425270360244E-4</v>
      </c>
      <c r="CS336" s="185">
        <f>SUM($D$269:$FB$269)</f>
        <v>1184.3611766561339</v>
      </c>
      <c r="CT336" s="185">
        <f>SUM($D$270:$FB$270)</f>
        <v>9.6261313508047173E-4</v>
      </c>
      <c r="CU336" s="185">
        <f>SUM($D$271:$FB$271)</f>
        <v>0.62233363821276133</v>
      </c>
      <c r="CV336" s="185">
        <f>SUM($D$272:$FB$272)</f>
        <v>7.2679208634195328E-5</v>
      </c>
      <c r="CW336" s="185">
        <f>SUM($D$273:$FB$273)</f>
        <v>1542.5557064075201</v>
      </c>
      <c r="CX336" s="185">
        <f>SUM($D$274:$FB$274)</f>
        <v>7.916771382833839E-8</v>
      </c>
      <c r="CY336" s="185">
        <f>SUM($D$275:$FB$275)</f>
        <v>1.284438237441158E-2</v>
      </c>
      <c r="CZ336" s="185">
        <f>SUM($D$276:$FB$276)</f>
        <v>3.1882979639998385E-6</v>
      </c>
      <c r="DA336" s="185">
        <f>SUM($D$277:$FB$277)</f>
        <v>382.61305353053308</v>
      </c>
      <c r="DB336" s="185">
        <f>SUM($D$278:$FB$278)</f>
        <v>4.5030244399833793E-18</v>
      </c>
      <c r="DC336" s="185">
        <f>SUM($D$279:$FB$279)</f>
        <v>1.7788634093154232E-8</v>
      </c>
      <c r="DD336" s="185">
        <f>SUM($D$280:$FB$280)</f>
        <v>2.6445000382169033E-9</v>
      </c>
      <c r="DE336" s="185">
        <f>SUM($D$281:$FB$281)</f>
        <v>0.20041768385983683</v>
      </c>
      <c r="DF336" s="185">
        <f>SUM($D$282:$FB$282)</f>
        <v>7.6124252828924316E-4</v>
      </c>
      <c r="DG336" s="185">
        <f>SUM($D$283:$FB$283)</f>
        <v>0.20602693293849042</v>
      </c>
      <c r="DH336" s="185">
        <f>SUM($D$284:$FB$284)</f>
        <v>2.2787710399275248E-4</v>
      </c>
      <c r="DI336" s="185">
        <f>SUM($D$285:$FB$285)</f>
        <v>6.2849895117446465E-18</v>
      </c>
      <c r="DJ336" s="185">
        <f>SUM($D$286:$FB$286)</f>
        <v>1.3383760197073795E-4</v>
      </c>
      <c r="DK336" s="185">
        <f>SUM($D$287:$FB$287)</f>
        <v>0.34691250034299825</v>
      </c>
      <c r="DL336" s="185">
        <f>SUM($D$288:$FB$288)</f>
        <v>9.5790336478656633E-7</v>
      </c>
      <c r="DM336" s="185">
        <f>SUM($D$289:$FB$289)</f>
        <v>1.9620353229000022E-6</v>
      </c>
      <c r="DN336" s="185">
        <f>SUM($D$290:$FB$290)</f>
        <v>2.3922594611850541E-2</v>
      </c>
      <c r="DO336" s="185">
        <f>SUM($D$291:$FB$291)</f>
        <v>9.0023646264768861E-7</v>
      </c>
      <c r="DP336" s="185">
        <f>SUM($D$292:$FB$292)</f>
        <v>870.22358546244186</v>
      </c>
      <c r="DQ336" s="185">
        <f>SUM($D$293:$FB$293)</f>
        <v>9.3669885486484281E-6</v>
      </c>
      <c r="DR336" s="185">
        <f>SUM($D$294:$FB$294)</f>
        <v>0.16493741618022997</v>
      </c>
      <c r="DS336" s="185">
        <f>SUM($D$295:$FB$295)</f>
        <v>9.4443819817853144E-7</v>
      </c>
      <c r="DT336" s="185">
        <f>SUM($D$296:$FB$296)</f>
        <v>1121.9481826710851</v>
      </c>
      <c r="DU336" s="185">
        <f>SUM($D$297:$FB$297)</f>
        <v>9.014607870792079E-10</v>
      </c>
      <c r="DV336" s="185">
        <f>SUM($D$298:$FB$298)</f>
        <v>3.6862558108877825E-3</v>
      </c>
      <c r="DW336" s="185">
        <f>SUM($D$299:$FB$299)</f>
        <v>4.3050650815503582E-8</v>
      </c>
      <c r="DX336" s="185">
        <f>SUM($D$300:$FB$300)</f>
        <v>251.7749932530067</v>
      </c>
      <c r="DY336" s="185">
        <f>SUM($D$301:$FB$301)</f>
        <v>5.551037556254842E-20</v>
      </c>
      <c r="DZ336" s="185">
        <f>SUM($D$302:$FB$302)</f>
        <v>5.1046438847314303E-9</v>
      </c>
      <c r="EA336" s="185">
        <f>SUM($D$303:$FB$303)</f>
        <v>3.5703849372665373E-11</v>
      </c>
      <c r="EB336" s="185">
        <f>SUM($D$304:$FB$304)</f>
        <v>3.2035842586910918E-2</v>
      </c>
      <c r="EC336" s="185">
        <f>SUM($D$305:$FB$305)</f>
        <v>4.7525939946090159E-6</v>
      </c>
      <c r="ED336" s="185">
        <f>SUM($D$306:$FB$306)</f>
        <v>3.2368018778501366E-2</v>
      </c>
      <c r="EE336" s="185">
        <f>SUM($D$307:$FB$307)</f>
        <v>1.5018662889340383E-6</v>
      </c>
      <c r="EF336" s="185">
        <f>SUM($D$308:$FB$308)</f>
        <v>3.1375032111424248E-15</v>
      </c>
      <c r="EG336" s="185">
        <f>SUM($D$309:$FB$309)</f>
        <v>2.3181352657649864E-4</v>
      </c>
      <c r="EH336" s="185">
        <f>SUM($D$310:$FB$310)</f>
        <v>0.60086830156890869</v>
      </c>
      <c r="EI336" s="185">
        <f>SUM($D$311:$FB$311)</f>
        <v>1.7076684516109471E-6</v>
      </c>
      <c r="EJ336" s="185">
        <f>SUM($D$312:$FB$312)</f>
        <v>6.3897466484125116E-6</v>
      </c>
      <c r="EK336" s="185">
        <f>SUM($D$313:$FB$313)</f>
        <v>9.0108330115214144E-2</v>
      </c>
      <c r="EL336" s="185">
        <f>SUM($D$314:$FB$314)</f>
        <v>1.6904441583919154E-6</v>
      </c>
      <c r="EM336" s="185">
        <f>SUM($D$315:$FB$315)</f>
        <v>2267.0346097310617</v>
      </c>
      <c r="EN336" s="185">
        <f>SUM($D$316:$FB$316)</f>
        <v>2.0659136501635265E-5</v>
      </c>
      <c r="EO336" s="185">
        <f>SUM($D$317:$FB$317)</f>
        <v>0.38867096456069933</v>
      </c>
      <c r="EP336" s="185">
        <f>SUM($D$318:$FB$318)</f>
        <v>1.5202022898220743E-6</v>
      </c>
      <c r="EQ336" s="185">
        <f>SUM($D$319:$FB$319)</f>
        <v>3213.4313412524998</v>
      </c>
      <c r="ER336" s="185">
        <f>SUM($D$320:$FB$320)</f>
        <v>1.4831096896501803E-9</v>
      </c>
      <c r="ES336" s="185">
        <f>SUM($D$321:$FB$321)</f>
        <v>7.350294202613016E-3</v>
      </c>
      <c r="ET336" s="185">
        <f>SUM($D$322:$FB$322)</f>
        <v>6.4607489172792886E-8</v>
      </c>
      <c r="EU336" s="185">
        <f>SUM($D$323:$FB$323)</f>
        <v>946.83437148843268</v>
      </c>
      <c r="EV336" s="185">
        <f>SUM($D$324:$FB$324)</f>
        <v>8.0719112642614879E-20</v>
      </c>
      <c r="EW336" s="185">
        <f>SUM($D$325:$FB$325)</f>
        <v>1.0181419175220392E-8</v>
      </c>
      <c r="EX336" s="190">
        <f>SUM($D$326:$FB$326)</f>
        <v>5.359715005033735E-11</v>
      </c>
      <c r="EY336" s="185">
        <f>SUM($D$327:$FB$327)</f>
        <v>5.6964215298068284E-2</v>
      </c>
      <c r="EZ336" s="185">
        <f>SUM($D$328:$FB$328)</f>
        <v>7.1620448090053876E-6</v>
      </c>
      <c r="FA336" s="185">
        <f>SUM($D$329:$FB$329)</f>
        <v>6.004645489566323E-2</v>
      </c>
      <c r="FB336" s="192">
        <f>SUM($D$330:$FB$330)</f>
        <v>2.1567915196225414E-6</v>
      </c>
    </row>
    <row r="337" spans="2:158" ht="12.75" customHeight="1" x14ac:dyDescent="0.2">
      <c r="B337" s="188" t="s">
        <v>4120</v>
      </c>
      <c r="C337" s="176">
        <f>SUM(D337:EY337)</f>
        <v>12000.379283163364</v>
      </c>
      <c r="D337" s="176">
        <f t="shared" ref="D337:AI337" si="867">SUM(D176:D330)</f>
        <v>1.3530902666077165E-18</v>
      </c>
      <c r="E337" s="176">
        <f t="shared" si="867"/>
        <v>2.9430648179336529</v>
      </c>
      <c r="F337" s="176">
        <f t="shared" si="867"/>
        <v>2.5039193164872104</v>
      </c>
      <c r="G337" s="176">
        <f t="shared" si="867"/>
        <v>8.5729287753054002E-3</v>
      </c>
      <c r="H337" s="176">
        <f t="shared" si="867"/>
        <v>5.4032570842934106E-2</v>
      </c>
      <c r="I337" s="176">
        <f t="shared" si="867"/>
        <v>4.4213997409651214E-2</v>
      </c>
      <c r="J337" s="176">
        <f t="shared" si="867"/>
        <v>7.5146239962680756E-3</v>
      </c>
      <c r="K337" s="176">
        <f t="shared" si="867"/>
        <v>0.27551018111458386</v>
      </c>
      <c r="L337" s="176">
        <f t="shared" si="867"/>
        <v>9.9133903700466142E-4</v>
      </c>
      <c r="M337" s="176">
        <f t="shared" si="867"/>
        <v>4.7774072025750965E-3</v>
      </c>
      <c r="N337" s="176">
        <f>SUM(N176:N330)</f>
        <v>2.6398893428554425E-5</v>
      </c>
      <c r="O337" s="176">
        <f t="shared" si="867"/>
        <v>46.787998474739474</v>
      </c>
      <c r="P337" s="176">
        <f t="shared" si="867"/>
        <v>2.9505350281211462</v>
      </c>
      <c r="Q337" s="176">
        <f t="shared" si="867"/>
        <v>2.4241038917553506</v>
      </c>
      <c r="R337" s="176">
        <f t="shared" si="867"/>
        <v>0.71208441622513186</v>
      </c>
      <c r="S337" s="176">
        <f t="shared" si="867"/>
        <v>2.0927917083502088</v>
      </c>
      <c r="T337" s="176">
        <f t="shared" si="867"/>
        <v>1.4743738906168248E-3</v>
      </c>
      <c r="U337" s="176">
        <f t="shared" si="867"/>
        <v>0.79974129023076079</v>
      </c>
      <c r="V337" s="176">
        <f t="shared" si="867"/>
        <v>5.2264383953394391E-3</v>
      </c>
      <c r="W337" s="176">
        <f t="shared" si="867"/>
        <v>0</v>
      </c>
      <c r="X337" s="176">
        <f t="shared" si="867"/>
        <v>9.6838897128656478E-12</v>
      </c>
      <c r="Y337" s="176">
        <f t="shared" si="867"/>
        <v>1.7005220368870322E-5</v>
      </c>
      <c r="Z337" s="176">
        <f t="shared" si="867"/>
        <v>1.7730122549674914E-5</v>
      </c>
      <c r="AA337" s="176">
        <f t="shared" si="867"/>
        <v>42.30953554512832</v>
      </c>
      <c r="AB337" s="176">
        <f t="shared" si="867"/>
        <v>3.5749166300585935E-7</v>
      </c>
      <c r="AC337" s="176">
        <f t="shared" si="867"/>
        <v>0.17618276491723017</v>
      </c>
      <c r="AD337" s="176">
        <f t="shared" si="867"/>
        <v>0.68501197061255348</v>
      </c>
      <c r="AE337" s="176">
        <f t="shared" si="867"/>
        <v>0.7781874330333064</v>
      </c>
      <c r="AF337" s="176">
        <f t="shared" si="867"/>
        <v>2.5147223759905391E-11</v>
      </c>
      <c r="AG337" s="176">
        <f t="shared" si="867"/>
        <v>2.9782374469126944E-4</v>
      </c>
      <c r="AH337" s="176">
        <f t="shared" si="867"/>
        <v>9.5401178246045076E-4</v>
      </c>
      <c r="AI337" s="176">
        <f t="shared" si="867"/>
        <v>9.4765626162327754E-2</v>
      </c>
      <c r="AJ337" s="176">
        <f t="shared" ref="AJ337:BO337" si="868">SUM(AJ176:AJ330)</f>
        <v>6.4621139719329174E-2</v>
      </c>
      <c r="AK337" s="176">
        <f t="shared" si="868"/>
        <v>8.004554475406031E-2</v>
      </c>
      <c r="AL337" s="176">
        <f t="shared" si="868"/>
        <v>1.7071612188651004E-2</v>
      </c>
      <c r="AM337" s="176">
        <f t="shared" si="868"/>
        <v>3.1200561475947537</v>
      </c>
      <c r="AN337" s="176">
        <f t="shared" si="868"/>
        <v>3.0832327623676568</v>
      </c>
      <c r="AO337" s="176">
        <f t="shared" si="868"/>
        <v>2.4331785614414727</v>
      </c>
      <c r="AP337" s="176">
        <f t="shared" si="868"/>
        <v>0.72132428474927635</v>
      </c>
      <c r="AQ337" s="176">
        <f t="shared" si="868"/>
        <v>3.5098360215113054E-2</v>
      </c>
      <c r="AR337" s="176">
        <f t="shared" si="868"/>
        <v>2.3933754879742832E-2</v>
      </c>
      <c r="AS337" s="176">
        <f t="shared" si="868"/>
        <v>2.9644183702633248E-2</v>
      </c>
      <c r="AT337" s="176">
        <f t="shared" si="868"/>
        <v>6.3221179701496042E-3</v>
      </c>
      <c r="AU337" s="176">
        <f t="shared" si="868"/>
        <v>3.1445822582696458E-18</v>
      </c>
      <c r="AV337" s="176">
        <f t="shared" si="868"/>
        <v>0.52482461959466153</v>
      </c>
      <c r="AW337" s="176">
        <f t="shared" si="868"/>
        <v>2.9458545657803374</v>
      </c>
      <c r="AX337" s="176">
        <f t="shared" si="868"/>
        <v>2.7246541820820465E-3</v>
      </c>
      <c r="AY337" s="176">
        <f t="shared" si="868"/>
        <v>1.1155445492441055E-2</v>
      </c>
      <c r="AZ337" s="176">
        <f t="shared" si="868"/>
        <v>0.19769766202691222</v>
      </c>
      <c r="BA337" s="176">
        <f t="shared" si="868"/>
        <v>2.6293386531206927E-3</v>
      </c>
      <c r="BB337" s="176">
        <f t="shared" si="868"/>
        <v>2.3912376191029379E-2</v>
      </c>
      <c r="BC337" s="176">
        <f t="shared" si="868"/>
        <v>9.9451904589140688E-5</v>
      </c>
      <c r="BD337" s="176">
        <f t="shared" si="868"/>
        <v>2.4562448000258071E-3</v>
      </c>
      <c r="BE337" s="176">
        <f t="shared" si="868"/>
        <v>3.959556346595897E-6</v>
      </c>
      <c r="BF337" s="176">
        <f t="shared" si="868"/>
        <v>2.3721088124652718</v>
      </c>
      <c r="BG337" s="176">
        <f t="shared" si="868"/>
        <v>1.0939714011028094E-3</v>
      </c>
      <c r="BH337" s="176">
        <f t="shared" si="868"/>
        <v>2.7179753244953496E-2</v>
      </c>
      <c r="BI337" s="176">
        <f t="shared" si="868"/>
        <v>3.0631270657510533E-4</v>
      </c>
      <c r="BJ337" s="176">
        <f t="shared" si="868"/>
        <v>58.38193534132823</v>
      </c>
      <c r="BK337" s="176">
        <f t="shared" si="868"/>
        <v>3.2359943949042021E-2</v>
      </c>
      <c r="BL337" s="176">
        <f t="shared" si="868"/>
        <v>0.90573291201597428</v>
      </c>
      <c r="BM337" s="176">
        <f t="shared" si="868"/>
        <v>2.3449855405014253E-3</v>
      </c>
      <c r="BN337" s="176">
        <f t="shared" si="868"/>
        <v>0</v>
      </c>
      <c r="BO337" s="176">
        <f t="shared" si="868"/>
        <v>9.7149536374188163E-13</v>
      </c>
      <c r="BP337" s="176">
        <f t="shared" ref="BP337:CU337" si="869">SUM(BP176:BP330)</f>
        <v>8.7443934792617004E-6</v>
      </c>
      <c r="BQ337" s="176">
        <f t="shared" si="869"/>
        <v>2.6597483032006737E-6</v>
      </c>
      <c r="BR337" s="176">
        <f t="shared" si="869"/>
        <v>2.1156585798853</v>
      </c>
      <c r="BS337" s="176">
        <f t="shared" si="869"/>
        <v>1.3254736942277439E-10</v>
      </c>
      <c r="BT337" s="176">
        <f t="shared" si="869"/>
        <v>1.9756745698582641E-3</v>
      </c>
      <c r="BU337" s="176">
        <f t="shared" si="869"/>
        <v>2.9470641096236044E-4</v>
      </c>
      <c r="BV337" s="176">
        <f t="shared" si="869"/>
        <v>31.75229535816781</v>
      </c>
      <c r="BW337" s="176">
        <f t="shared" si="869"/>
        <v>2.7609085359434744E-11</v>
      </c>
      <c r="BX337" s="176">
        <f t="shared" si="869"/>
        <v>1.8778744620969134E-5</v>
      </c>
      <c r="BY337" s="176">
        <f t="shared" si="869"/>
        <v>2.8784996445624507E-5</v>
      </c>
      <c r="BZ337" s="176">
        <f t="shared" si="869"/>
        <v>7.1167030470830187E-2</v>
      </c>
      <c r="CA337" s="176">
        <f t="shared" si="869"/>
        <v>6.4881667101245885E-3</v>
      </c>
      <c r="CB337" s="176">
        <f t="shared" si="869"/>
        <v>7.1400417392177729E-2</v>
      </c>
      <c r="CC337" s="176">
        <f t="shared" si="869"/>
        <v>1.8568632076312733E-3</v>
      </c>
      <c r="CD337" s="176">
        <f t="shared" si="869"/>
        <v>0.16056450728641405</v>
      </c>
      <c r="CE337" s="176">
        <f t="shared" si="869"/>
        <v>1.4418148365224105E-2</v>
      </c>
      <c r="CF337" s="176">
        <f t="shared" si="869"/>
        <v>0.15868274495088747</v>
      </c>
      <c r="CG337" s="176">
        <f t="shared" si="869"/>
        <v>4.1260501558880195E-3</v>
      </c>
      <c r="CH337" s="176">
        <f t="shared" si="869"/>
        <v>2.635815744113924E-2</v>
      </c>
      <c r="CI337" s="176">
        <f t="shared" si="869"/>
        <v>2.4030246500369428E-3</v>
      </c>
      <c r="CJ337" s="176">
        <f t="shared" si="869"/>
        <v>2.6444366665639301E-2</v>
      </c>
      <c r="CK337" s="176">
        <f t="shared" si="869"/>
        <v>6.876566952787195E-4</v>
      </c>
      <c r="CL337" s="176">
        <f t="shared" si="869"/>
        <v>1.5033084056629819E-16</v>
      </c>
      <c r="CM337" s="176">
        <f t="shared" si="869"/>
        <v>1.5896648022306503E-2</v>
      </c>
      <c r="CN337" s="176">
        <f t="shared" si="869"/>
        <v>1.8827645669111419</v>
      </c>
      <c r="CO337" s="176">
        <f t="shared" si="869"/>
        <v>1.0336217486065488E-4</v>
      </c>
      <c r="CP337" s="176">
        <f t="shared" si="869"/>
        <v>3.4221725367065931E-4</v>
      </c>
      <c r="CQ337" s="176">
        <f t="shared" si="869"/>
        <v>0.15984806640827209</v>
      </c>
      <c r="CR337" s="176">
        <f t="shared" si="869"/>
        <v>1.0042425270360244E-4</v>
      </c>
      <c r="CS337" s="176">
        <f t="shared" si="869"/>
        <v>1184.3611766561223</v>
      </c>
      <c r="CT337" s="176">
        <f t="shared" si="869"/>
        <v>9.6261313508047173E-4</v>
      </c>
      <c r="CU337" s="176">
        <f t="shared" si="869"/>
        <v>0.62233363821276155</v>
      </c>
      <c r="CV337" s="176">
        <f t="shared" ref="CV337:EA337" si="870">SUM(CV176:CV330)</f>
        <v>7.2679208634195342E-5</v>
      </c>
      <c r="CW337" s="176">
        <f t="shared" si="870"/>
        <v>1542.5557064071877</v>
      </c>
      <c r="CX337" s="176">
        <f t="shared" si="870"/>
        <v>7.916771382833839E-8</v>
      </c>
      <c r="CY337" s="176">
        <f t="shared" si="870"/>
        <v>1.2844382374411585E-2</v>
      </c>
      <c r="CZ337" s="176">
        <f t="shared" si="870"/>
        <v>3.1882979639998393E-6</v>
      </c>
      <c r="DA337" s="176">
        <f t="shared" si="870"/>
        <v>382.49705236219802</v>
      </c>
      <c r="DB337" s="176">
        <f t="shared" si="870"/>
        <v>4.5030244389937202E-18</v>
      </c>
      <c r="DC337" s="176">
        <f t="shared" si="870"/>
        <v>1.7788629598573457E-8</v>
      </c>
      <c r="DD337" s="176">
        <f t="shared" si="870"/>
        <v>2.6444993700419898E-9</v>
      </c>
      <c r="DE337" s="176">
        <f t="shared" si="870"/>
        <v>0.20018850999722382</v>
      </c>
      <c r="DF337" s="176">
        <f t="shared" si="870"/>
        <v>7.6124250489699669E-4</v>
      </c>
      <c r="DG337" s="176">
        <f t="shared" si="870"/>
        <v>0.20598787036276475</v>
      </c>
      <c r="DH337" s="176">
        <f t="shared" si="870"/>
        <v>2.2787710399275253E-4</v>
      </c>
      <c r="DI337" s="176">
        <f t="shared" si="870"/>
        <v>6.28472516476426E-18</v>
      </c>
      <c r="DJ337" s="176">
        <f t="shared" si="870"/>
        <v>1.33836470674446E-4</v>
      </c>
      <c r="DK337" s="176">
        <f t="shared" si="870"/>
        <v>0.3468321474972858</v>
      </c>
      <c r="DL337" s="176">
        <f t="shared" si="870"/>
        <v>9.5789088485924794E-7</v>
      </c>
      <c r="DM337" s="176">
        <f t="shared" si="870"/>
        <v>1.9620353229000018E-6</v>
      </c>
      <c r="DN337" s="176">
        <f t="shared" si="870"/>
        <v>2.3922594611850541E-2</v>
      </c>
      <c r="DO337" s="176">
        <f t="shared" si="870"/>
        <v>9.002364626476885E-7</v>
      </c>
      <c r="DP337" s="176">
        <f t="shared" si="870"/>
        <v>870.22358546243981</v>
      </c>
      <c r="DQ337" s="176">
        <f t="shared" si="870"/>
        <v>9.3669885486484247E-6</v>
      </c>
      <c r="DR337" s="176">
        <f t="shared" si="870"/>
        <v>0.16493741618023003</v>
      </c>
      <c r="DS337" s="176">
        <f t="shared" si="870"/>
        <v>9.4443819817853113E-7</v>
      </c>
      <c r="DT337" s="176">
        <f t="shared" si="870"/>
        <v>1121.9481826710378</v>
      </c>
      <c r="DU337" s="176">
        <f t="shared" si="870"/>
        <v>9.01460787079208E-10</v>
      </c>
      <c r="DV337" s="176">
        <f t="shared" si="870"/>
        <v>3.6862558108877817E-3</v>
      </c>
      <c r="DW337" s="176">
        <f t="shared" si="870"/>
        <v>4.3050650815503595E-8</v>
      </c>
      <c r="DX337" s="176">
        <f t="shared" si="870"/>
        <v>251.72091432818897</v>
      </c>
      <c r="DY337" s="176">
        <f t="shared" si="870"/>
        <v>5.5510375553325767E-20</v>
      </c>
      <c r="DZ337" s="176">
        <f t="shared" si="870"/>
        <v>5.1046429709866437E-9</v>
      </c>
      <c r="EA337" s="176">
        <f t="shared" si="870"/>
        <v>3.5703842981581666E-11</v>
      </c>
      <c r="EB337" s="176">
        <f t="shared" ref="EB337:FB337" si="871">SUM(EB176:EB330)</f>
        <v>3.2021145353578306E-2</v>
      </c>
      <c r="EC337" s="176">
        <f t="shared" si="871"/>
        <v>4.7525939384480871E-6</v>
      </c>
      <c r="ED337" s="176">
        <f t="shared" si="871"/>
        <v>3.2365786353270976E-2</v>
      </c>
      <c r="EE337" s="176">
        <f t="shared" si="871"/>
        <v>1.5018662889340379E-6</v>
      </c>
      <c r="EF337" s="176">
        <f t="shared" si="871"/>
        <v>3.1373677787776217E-15</v>
      </c>
      <c r="EG337" s="176">
        <f t="shared" si="871"/>
        <v>2.3181165420044694E-4</v>
      </c>
      <c r="EH337" s="176">
        <f t="shared" si="871"/>
        <v>0.60072615781596506</v>
      </c>
      <c r="EI337" s="176">
        <f t="shared" si="871"/>
        <v>1.7076639449701689E-6</v>
      </c>
      <c r="EJ337" s="176">
        <f t="shared" si="871"/>
        <v>6.3897466484125133E-6</v>
      </c>
      <c r="EK337" s="176">
        <f t="shared" si="871"/>
        <v>9.0108330115214158E-2</v>
      </c>
      <c r="EL337" s="176">
        <f t="shared" si="871"/>
        <v>1.6904441583919152E-6</v>
      </c>
      <c r="EM337" s="176">
        <f t="shared" si="871"/>
        <v>2267.0346097309989</v>
      </c>
      <c r="EN337" s="176">
        <f t="shared" si="871"/>
        <v>2.0659136501635261E-5</v>
      </c>
      <c r="EO337" s="176">
        <f t="shared" si="871"/>
        <v>0.38867096456069938</v>
      </c>
      <c r="EP337" s="176">
        <f t="shared" si="871"/>
        <v>1.5202022898220743E-6</v>
      </c>
      <c r="EQ337" s="176">
        <f t="shared" si="871"/>
        <v>3213.4313412504721</v>
      </c>
      <c r="ER337" s="176">
        <f t="shared" si="871"/>
        <v>1.4831096896501807E-9</v>
      </c>
      <c r="ES337" s="176">
        <f t="shared" si="871"/>
        <v>7.3502942026130152E-3</v>
      </c>
      <c r="ET337" s="176">
        <f t="shared" si="871"/>
        <v>6.4607489172792886E-8</v>
      </c>
      <c r="EU337" s="176">
        <f t="shared" si="871"/>
        <v>946.63100027848952</v>
      </c>
      <c r="EV337" s="176">
        <f t="shared" si="871"/>
        <v>8.0719112635341484E-20</v>
      </c>
      <c r="EW337" s="176">
        <f t="shared" si="871"/>
        <v>1.0181418081719698E-8</v>
      </c>
      <c r="EX337" s="176">
        <f t="shared" si="871"/>
        <v>5.3597144293917758E-11</v>
      </c>
      <c r="EY337" s="176">
        <f t="shared" si="871"/>
        <v>5.6858697986727526E-2</v>
      </c>
      <c r="EZ337" s="176">
        <f t="shared" si="871"/>
        <v>7.162044416744007E-6</v>
      </c>
      <c r="FA337" s="176">
        <f t="shared" si="871"/>
        <v>6.0025812972670345E-2</v>
      </c>
      <c r="FB337" s="206">
        <f t="shared" si="871"/>
        <v>2.1567915196225418E-6</v>
      </c>
    </row>
    <row r="338" spans="2:158" ht="12.75" customHeight="1" x14ac:dyDescent="0.2">
      <c r="B338" s="207" t="s">
        <v>4121</v>
      </c>
      <c r="C338" s="176">
        <f>SUM(D338:EY338)</f>
        <v>8.8188702407405746</v>
      </c>
      <c r="D338" s="176">
        <f>k.aRG*D168</f>
        <v>3.0435540084839132E-23</v>
      </c>
      <c r="E338" s="176">
        <f>k.aRS*E168</f>
        <v>2.0407526182892288E-5</v>
      </c>
      <c r="F338" s="176">
        <f>k.aRA*F168</f>
        <v>9.26369288644565E-5</v>
      </c>
      <c r="G338" s="176">
        <f>k.aRP*G168</f>
        <v>3.720528882843804E-8</v>
      </c>
      <c r="H338" s="176">
        <v>0</v>
      </c>
      <c r="I338" s="176">
        <v>0</v>
      </c>
      <c r="J338" s="176">
        <v>0</v>
      </c>
      <c r="K338" s="176">
        <f>k.w0RD*K168</f>
        <v>6.7623479436227527E-14</v>
      </c>
      <c r="L338" s="176">
        <f>k.w0RS*L168</f>
        <v>0</v>
      </c>
      <c r="M338" s="176">
        <f>k.w0RA*M168</f>
        <v>0</v>
      </c>
      <c r="N338" s="176">
        <f>k.w0RP*N168</f>
        <v>0</v>
      </c>
      <c r="O338" s="176">
        <f>k.w1RD*O168</f>
        <v>1.3421787555275867E-14</v>
      </c>
      <c r="P338" s="176">
        <f>k.w1RS*P168</f>
        <v>0</v>
      </c>
      <c r="Q338" s="176">
        <f>k.w1RA*Q168</f>
        <v>0</v>
      </c>
      <c r="R338" s="176">
        <f>k.w1RP*R168</f>
        <v>0</v>
      </c>
      <c r="S338" s="176">
        <f>k.w2RD*S168</f>
        <v>2.4843046474682654E-15</v>
      </c>
      <c r="T338" s="176">
        <f>k.w2RS*T168</f>
        <v>0</v>
      </c>
      <c r="U338" s="176">
        <f>k.w2RA*U168</f>
        <v>0</v>
      </c>
      <c r="V338" s="176">
        <f>k.w2RP*V168</f>
        <v>0</v>
      </c>
      <c r="W338" s="176">
        <f>k.sd0RD*W168</f>
        <v>0.23372367409985534</v>
      </c>
      <c r="X338" s="176">
        <f>k.sd0RS*X168</f>
        <v>3.540293234983358E-18</v>
      </c>
      <c r="Y338" s="176">
        <f>k.sd0RA*Y168</f>
        <v>3.7300284279428657E-7</v>
      </c>
      <c r="Z338" s="176">
        <f>k.sd0RP*Z168</f>
        <v>3.8890328797069061E-7</v>
      </c>
      <c r="AA338" s="176">
        <f>k.sd1RD*AA168</f>
        <v>4.6133647206853121</v>
      </c>
      <c r="AB338" s="176">
        <f>k.sd1RS*AB168</f>
        <v>1.1344351903543255E-13</v>
      </c>
      <c r="AC338" s="176">
        <f>k.sd1RA*AC168</f>
        <v>3.2180791789174126E-3</v>
      </c>
      <c r="AD338" s="176">
        <f>k.sd1RP*AD168</f>
        <v>1.2512136252221227E-2</v>
      </c>
      <c r="AE338" s="176">
        <f>k.sd2RD*AE168</f>
        <v>7.9694095867597792E-2</v>
      </c>
      <c r="AF338" s="176">
        <f>k.sd2RS*AF168</f>
        <v>1.6934337887985462E-18</v>
      </c>
      <c r="AG338" s="176">
        <f>k.sd2RA*AG168</f>
        <v>2.3058751149999352E-8</v>
      </c>
      <c r="AH338" s="176">
        <f>k.sd2RP*AH168</f>
        <v>7.3863554125702047E-8</v>
      </c>
      <c r="AI338" s="176">
        <f>k.s1RD*AI168</f>
        <v>1.0848676875043349E-4</v>
      </c>
      <c r="AJ338" s="176">
        <f>k.s1RS*AJ168</f>
        <v>1.9857451684340419E-9</v>
      </c>
      <c r="AK338" s="176">
        <f>k.s1RA*AK168</f>
        <v>1.5179462499156677E-5</v>
      </c>
      <c r="AL338" s="176">
        <f>k.s1RP*AL168</f>
        <v>0</v>
      </c>
      <c r="AM338" s="176">
        <f>k.s2RD*AM168</f>
        <v>3.5718105061189058E-3</v>
      </c>
      <c r="AN338" s="176">
        <f>k.s2RS*AN168</f>
        <v>6.8975976894091716E-8</v>
      </c>
      <c r="AO338" s="176">
        <f>k.s2RA*AO168</f>
        <v>2.1324068886283883E-4</v>
      </c>
      <c r="AP338" s="176">
        <f>k.s2RP*AP168</f>
        <v>0</v>
      </c>
      <c r="AQ338" s="176">
        <f>k.s3RD*AQ168</f>
        <v>4.018026200400991E-5</v>
      </c>
      <c r="AR338" s="176">
        <f>k.s3RS*AR168</f>
        <v>1.3073217333833975E-9</v>
      </c>
      <c r="AS338" s="176">
        <f>k.s3RA*AS168</f>
        <v>5.6215842644934655E-6</v>
      </c>
      <c r="AT338" s="176">
        <f>k.s3RP*AT168</f>
        <v>0</v>
      </c>
      <c r="AU338" s="176">
        <f>k.aC*AU168</f>
        <v>1.2152185757163574E-22</v>
      </c>
      <c r="AV338" s="176">
        <f>k.aCS*AV168</f>
        <v>4.2132928790411108E-6</v>
      </c>
      <c r="AW338" s="176">
        <f>k.aCA*AW168</f>
        <v>4.1421507501736884E-4</v>
      </c>
      <c r="AX338" s="176">
        <f>k.aCP*AX168</f>
        <v>1.3017990529627799E-8</v>
      </c>
      <c r="AY338" s="176">
        <v>0</v>
      </c>
      <c r="AZ338" s="176">
        <v>0</v>
      </c>
      <c r="BA338" s="176">
        <v>0</v>
      </c>
      <c r="BB338" s="176">
        <f>k.w0C*BB168</f>
        <v>5.8692498153194931E-15</v>
      </c>
      <c r="BC338" s="176">
        <f>k.w0CS*BC168</f>
        <v>0</v>
      </c>
      <c r="BD338" s="176">
        <f>k.w0CA*BD168</f>
        <v>0</v>
      </c>
      <c r="BE338" s="176">
        <f>k.w0CP*BE168</f>
        <v>0</v>
      </c>
      <c r="BF338" s="176">
        <f>k.w1C*BF168</f>
        <v>6.8047237703693801E-16</v>
      </c>
      <c r="BG338" s="176">
        <f>k.w1CS*BG168</f>
        <v>0</v>
      </c>
      <c r="BH338" s="176">
        <f>k.w1CA*BH168</f>
        <v>0</v>
      </c>
      <c r="BI338" s="176">
        <f>k.w1CP*BI168</f>
        <v>0</v>
      </c>
      <c r="BJ338" s="176">
        <f>k.w2C*BJ168</f>
        <v>2.030075513956497E-12</v>
      </c>
      <c r="BK338" s="176">
        <f>k.w2CS*BK168</f>
        <v>0</v>
      </c>
      <c r="BL338" s="176">
        <f>k.w2CA*BL168</f>
        <v>0</v>
      </c>
      <c r="BM338" s="176">
        <f>k.w2CP*BM168</f>
        <v>0</v>
      </c>
      <c r="BN338" s="176">
        <f>k.sd0CD*BN168</f>
        <v>2.0293986050848981E-2</v>
      </c>
      <c r="BO338" s="176">
        <f>k.sd0CS*BO168</f>
        <v>3.5257182180406327E-19</v>
      </c>
      <c r="BP338" s="176">
        <f>k.sd0CA*BP168</f>
        <v>1.9040442451886072E-7</v>
      </c>
      <c r="BQ338" s="176">
        <f>k.sd0CP*BQ168</f>
        <v>5.7914576492582392E-8</v>
      </c>
      <c r="BR338" s="176">
        <f>k.sd1C*BR168</f>
        <v>0.22882157488043406</v>
      </c>
      <c r="BS338" s="176">
        <f>k.sd1CS*BS168</f>
        <v>4.175440993221955E-17</v>
      </c>
      <c r="BT338" s="176">
        <f>k.sd1CA*BT168</f>
        <v>3.5818571903447737E-5</v>
      </c>
      <c r="BU338" s="176">
        <f>k.sd1CP*BU168</f>
        <v>5.3429663632404908E-6</v>
      </c>
      <c r="BV338" s="176">
        <f>k.sd2C*BV168</f>
        <v>3.2479861347445538</v>
      </c>
      <c r="BW338" s="176">
        <f>k.sd2CS*BW168</f>
        <v>1.8572655056479386E-18</v>
      </c>
      <c r="BX338" s="176">
        <f>k.sd2CA*BX168</f>
        <v>1.4524018106320542E-9</v>
      </c>
      <c r="BY338" s="176">
        <f>k.sd2CP*BY168</f>
        <v>2.2263139416667074E-9</v>
      </c>
      <c r="BZ338" s="176">
        <f>k.s1C*BZ168</f>
        <v>8.1471325521755662E-5</v>
      </c>
      <c r="CA338" s="176">
        <f>k.s1CS*CA168</f>
        <v>1.9937509230854284E-10</v>
      </c>
      <c r="CB338" s="176">
        <f>k.s1CA*CB168</f>
        <v>1.3540041004889524E-5</v>
      </c>
      <c r="CC338" s="176">
        <f>k.s1CP*CC168</f>
        <v>0</v>
      </c>
      <c r="CD338" s="176">
        <f>k.s2C*CD168</f>
        <v>1.8381271583126297E-4</v>
      </c>
      <c r="CE338" s="176">
        <f>k.s2CS*CE168</f>
        <v>3.2255296474327463E-10</v>
      </c>
      <c r="CF338" s="176">
        <f>k.s2CA*CF168</f>
        <v>1.3906754884412263E-5</v>
      </c>
      <c r="CG338" s="176">
        <f>k.s2CP*CG168</f>
        <v>0</v>
      </c>
      <c r="CH338" s="176">
        <f>k.s3C*CH168</f>
        <v>3.01745627270612E-5</v>
      </c>
      <c r="CI338" s="176">
        <f>k.s3CS*CI168</f>
        <v>1.3125923477674912E-10</v>
      </c>
      <c r="CJ338" s="176">
        <f>k.s3CA*CJ168</f>
        <v>5.0147859365359513E-6</v>
      </c>
      <c r="CK338" s="176">
        <f>k.s3CP*CK168</f>
        <v>0</v>
      </c>
      <c r="CL338" s="176">
        <f>k.aM*CL168</f>
        <v>6.0696388779097051E-21</v>
      </c>
      <c r="CM338" s="176">
        <f>k.aMS*CM168</f>
        <v>1.2925180970608494E-7</v>
      </c>
      <c r="CN338" s="176">
        <f>k.aMA*CN168</f>
        <v>3.3491280645327279E-4</v>
      </c>
      <c r="CO338" s="176">
        <f>k.aMP*CO168</f>
        <v>4.9720562586672495E-10</v>
      </c>
      <c r="CP338" s="176">
        <v>0</v>
      </c>
      <c r="CQ338" s="176">
        <v>0</v>
      </c>
      <c r="CR338" s="176">
        <v>0</v>
      </c>
      <c r="CS338" s="176">
        <f>k.w2M*CS168</f>
        <v>1.1095737229372979E-11</v>
      </c>
      <c r="CT338" s="176">
        <f>k.w2MS*CT168</f>
        <v>0</v>
      </c>
      <c r="CU338" s="176">
        <f>k.w2MA*CU168</f>
        <v>0</v>
      </c>
      <c r="CV338" s="176">
        <f>k.w2MP*CV168</f>
        <v>0</v>
      </c>
      <c r="CW338" s="176">
        <f>k.w3M*CW168</f>
        <v>3.3288351387659798E-10</v>
      </c>
      <c r="CX338" s="176">
        <f>k.w3MS*CX168</f>
        <v>0</v>
      </c>
      <c r="CY338" s="176">
        <f>k.w3MA*CY168</f>
        <v>0</v>
      </c>
      <c r="CZ338" s="176">
        <f>k.w3MP*CZ168</f>
        <v>0</v>
      </c>
      <c r="DA338" s="176">
        <f>k.sdM*DA168</f>
        <v>0.11600116833511408</v>
      </c>
      <c r="DB338" s="176">
        <f>k.sdMS*DB168</f>
        <v>9.8966041372121413E-28</v>
      </c>
      <c r="DC338" s="176">
        <f>k.sdMA*DC168</f>
        <v>4.4945807779559419E-15</v>
      </c>
      <c r="DD338" s="176">
        <f>k.sdMP*DD168</f>
        <v>6.6817491308383317E-16</v>
      </c>
      <c r="DE338" s="176">
        <f>k.sM*DE168</f>
        <v>2.2917386261302585E-4</v>
      </c>
      <c r="DF338" s="176">
        <f>k.sMS*DF168</f>
        <v>2.3392246448629031E-11</v>
      </c>
      <c r="DG338" s="176">
        <f>k.sMA*DG168</f>
        <v>3.906257572560437E-5</v>
      </c>
      <c r="DH338" s="176">
        <f>k.sMP*DH168</f>
        <v>0</v>
      </c>
      <c r="DI338" s="176">
        <f>k.aA*DI168</f>
        <v>2.6434698038743556E-22</v>
      </c>
      <c r="DJ338" s="176">
        <f>k.aAS*DJ168</f>
        <v>1.1312962919250301E-9</v>
      </c>
      <c r="DK338" s="176">
        <f>k.aAA*DK168</f>
        <v>8.0352845712283047E-5</v>
      </c>
      <c r="DL338" s="176">
        <f>k.aAP*DL168</f>
        <v>1.2479927318430075E-11</v>
      </c>
      <c r="DM338" s="176">
        <v>0</v>
      </c>
      <c r="DN338" s="176">
        <v>0</v>
      </c>
      <c r="DO338" s="176">
        <v>0</v>
      </c>
      <c r="DP338" s="176">
        <f>k.w2A*DP168</f>
        <v>1.9364007047695744E-12</v>
      </c>
      <c r="DQ338" s="176">
        <f>k.w2AS*DQ168</f>
        <v>0</v>
      </c>
      <c r="DR338" s="176">
        <f>k.w2AA*DR168</f>
        <v>0</v>
      </c>
      <c r="DS338" s="176">
        <f>k.w2AP*DS168</f>
        <v>0</v>
      </c>
      <c r="DT338" s="176">
        <f>k.w3A*DT168</f>
        <v>4.7673727202921125E-11</v>
      </c>
      <c r="DU338" s="176">
        <f>k.w3AS*DU168</f>
        <v>0</v>
      </c>
      <c r="DV338" s="176">
        <f>k.w3AA*DV168</f>
        <v>0</v>
      </c>
      <c r="DW338" s="176">
        <f>k.w3AP*DW168</f>
        <v>0</v>
      </c>
      <c r="DX338" s="176">
        <f>k.sdA*DX168</f>
        <v>5.407892481768823E-2</v>
      </c>
      <c r="DY338" s="176">
        <f>k.sdAS*DY168</f>
        <v>9.2226530989426542E-30</v>
      </c>
      <c r="DZ338" s="176">
        <f>k.sdAA*DZ168</f>
        <v>9.1374478898177548E-16</v>
      </c>
      <c r="EA338" s="176">
        <f>k.sdAP*EA168</f>
        <v>6.391083697032398E-18</v>
      </c>
      <c r="EB338" s="176">
        <f>k.sA*EB168</f>
        <v>1.4697233332606664E-5</v>
      </c>
      <c r="EC338" s="176">
        <f>k.sAS*EC168</f>
        <v>5.6160929286092506E-14</v>
      </c>
      <c r="ED338" s="176">
        <f>k.sAA*ED168</f>
        <v>2.2324252303934428E-6</v>
      </c>
      <c r="EE338" s="176">
        <f>k.sAP*EE168</f>
        <v>0</v>
      </c>
      <c r="EF338" s="176">
        <f>k.aT*EF168</f>
        <v>1.3543236480243001E-19</v>
      </c>
      <c r="EG338" s="176">
        <f>k.aTS*EG168</f>
        <v>1.8723760517040534E-9</v>
      </c>
      <c r="EH338" s="176">
        <f>k.aTA*EH168</f>
        <v>1.4214375294339344E-4</v>
      </c>
      <c r="EI338" s="176">
        <f>k.aTP*EI168</f>
        <v>4.5066407780130219E-12</v>
      </c>
      <c r="EJ338" s="176">
        <v>0</v>
      </c>
      <c r="EK338" s="176">
        <v>0</v>
      </c>
      <c r="EL338" s="176">
        <v>0</v>
      </c>
      <c r="EM338" s="176">
        <f>k.w2T*EM168</f>
        <v>6.2968085623001382E-11</v>
      </c>
      <c r="EN338" s="176">
        <f>k.w2TS*EN168</f>
        <v>0</v>
      </c>
      <c r="EO338" s="176">
        <f>k.w2TA*EO168</f>
        <v>0</v>
      </c>
      <c r="EP338" s="176">
        <f>k.w2TP*EP168</f>
        <v>0</v>
      </c>
      <c r="EQ338" s="176">
        <f>k.w3T*EQ168</f>
        <v>2.0283622251564009E-9</v>
      </c>
      <c r="ER338" s="176">
        <f>k.w3TS*ER168</f>
        <v>0</v>
      </c>
      <c r="ES338" s="176">
        <f>k.w3TA*ES168</f>
        <v>0</v>
      </c>
      <c r="ET338" s="176">
        <f>k.w3TP*ET168</f>
        <v>0</v>
      </c>
      <c r="EU338" s="176">
        <f>k.sdT*EU168</f>
        <v>0.20337120994312019</v>
      </c>
      <c r="EV338" s="176">
        <f>k.sdTS*EV168</f>
        <v>7.2734004752823766E-30</v>
      </c>
      <c r="EW338" s="176">
        <f>k.sdTA*EW168</f>
        <v>1.0935006937205851E-15</v>
      </c>
      <c r="EX338" s="176">
        <f>k.sdTP*EX168</f>
        <v>5.7564195867833433E-18</v>
      </c>
      <c r="EY338" s="176">
        <f>k.sT*EY168</f>
        <v>1.0551731134075526E-4</v>
      </c>
      <c r="EZ338" s="176">
        <f>k.sTS*EZ168</f>
        <v>3.9226138094074994E-13</v>
      </c>
      <c r="FA338" s="176">
        <f>k.sTA*FA168</f>
        <v>2.0641922992869815E-5</v>
      </c>
      <c r="FB338" s="176">
        <f>k.sTP*FB168</f>
        <v>0</v>
      </c>
    </row>
    <row r="339" spans="2:158" ht="12.75" customHeight="1" x14ac:dyDescent="0.2">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69" t="s">
        <v>4124</v>
      </c>
      <c r="AP2" s="494"/>
    </row>
    <row r="3" spans="1:164" ht="12.75" customHeight="1" x14ac:dyDescent="0.2">
      <c r="A3" s="489"/>
      <c r="B3" s="489"/>
      <c r="C3" s="489"/>
      <c r="D3" s="489"/>
      <c r="G3" s="669"/>
      <c r="AP3" s="494"/>
    </row>
    <row r="4" spans="1:164" ht="12.75" customHeight="1" x14ac:dyDescent="0.2">
      <c r="A4" s="489"/>
      <c r="B4" s="489"/>
      <c r="C4" s="489"/>
      <c r="D4" s="489"/>
      <c r="F4" s="654" t="s">
        <v>81</v>
      </c>
      <c r="G4" s="172" t="s">
        <v>4125</v>
      </c>
      <c r="H4" s="685"/>
      <c r="I4" s="685"/>
      <c r="J4" s="493"/>
      <c r="AP4" s="494"/>
    </row>
    <row r="5" spans="1:164" ht="12.75" customHeight="1" x14ac:dyDescent="0.2">
      <c r="A5" s="489"/>
      <c r="B5" s="489"/>
      <c r="C5" s="489"/>
      <c r="D5" s="489"/>
      <c r="F5" s="654" t="s">
        <v>85</v>
      </c>
      <c r="G5" s="686" t="str">
        <f>ChemName</f>
        <v>nAg_10nm</v>
      </c>
      <c r="H5" s="685"/>
      <c r="I5" s="685"/>
      <c r="J5" s="493"/>
      <c r="AP5" s="494"/>
    </row>
    <row r="6" spans="1:164" ht="12.75" customHeight="1" x14ac:dyDescent="0.2">
      <c r="A6" s="489"/>
      <c r="B6" s="489"/>
      <c r="C6" s="489"/>
      <c r="D6" s="489"/>
      <c r="F6" s="654" t="s">
        <v>87</v>
      </c>
      <c r="G6" s="687" t="str">
        <f>ScenarioName</f>
        <v>default scenario</v>
      </c>
      <c r="H6" s="685"/>
      <c r="I6" s="685"/>
      <c r="J6" s="493"/>
      <c r="AP6" s="494"/>
    </row>
    <row r="7" spans="1:164" ht="12.75" customHeight="1" x14ac:dyDescent="0.2">
      <c r="A7" s="489"/>
      <c r="B7" s="489"/>
      <c r="C7" s="489"/>
      <c r="D7" s="489"/>
      <c r="F7" s="654" t="s">
        <v>89</v>
      </c>
      <c r="G7" s="687" t="str">
        <f>CaseName</f>
        <v>defaults only</v>
      </c>
      <c r="H7" s="685"/>
      <c r="I7" s="685"/>
      <c r="J7" s="493"/>
      <c r="AP7" s="494"/>
    </row>
    <row r="8" spans="1:164" ht="12.75" customHeight="1" x14ac:dyDescent="0.2">
      <c r="A8" s="489"/>
      <c r="B8" s="489"/>
      <c r="C8" s="489"/>
      <c r="D8" s="489"/>
      <c r="F8" s="688" t="s">
        <v>4126</v>
      </c>
      <c r="G8" s="685"/>
      <c r="H8" s="292">
        <f>(M.tot/Emis.tot)/(3600*24*365)</f>
        <v>3409.6216809556363</v>
      </c>
      <c r="I8" s="335" t="s">
        <v>4127</v>
      </c>
      <c r="J8" s="493"/>
      <c r="AP8" s="494"/>
    </row>
    <row r="9" spans="1:164" ht="12.75" customHeight="1" x14ac:dyDescent="0.2">
      <c r="A9" s="489"/>
      <c r="B9" s="489"/>
      <c r="C9" s="489"/>
      <c r="D9" s="489"/>
      <c r="F9" s="654" t="s">
        <v>4128</v>
      </c>
      <c r="G9" s="685"/>
      <c r="H9" s="739">
        <v>1</v>
      </c>
      <c r="I9" s="335" t="s">
        <v>4129</v>
      </c>
      <c r="J9" s="493"/>
      <c r="K9" s="23" t="s">
        <v>4130</v>
      </c>
      <c r="AP9" s="494"/>
    </row>
    <row r="10" spans="1:164" ht="12.75" customHeight="1" x14ac:dyDescent="0.2">
      <c r="A10" s="489"/>
      <c r="B10" s="489"/>
      <c r="C10" s="489"/>
      <c r="D10" s="489"/>
      <c r="F10" s="657" t="s">
        <v>4131</v>
      </c>
      <c r="G10" s="689">
        <v>0</v>
      </c>
      <c r="H10" s="689">
        <f>G11</f>
        <v>3409.6216809556363</v>
      </c>
      <c r="I10" s="335" t="s">
        <v>4127</v>
      </c>
      <c r="J10" s="493"/>
      <c r="K10" s="897" t="s">
        <v>4132</v>
      </c>
      <c r="AP10" s="494"/>
    </row>
    <row r="11" spans="1:164" ht="12.75" customHeight="1" x14ac:dyDescent="0.2">
      <c r="A11" s="489"/>
      <c r="B11" s="489"/>
      <c r="C11" s="489"/>
      <c r="D11" s="489"/>
      <c r="F11" s="657" t="s">
        <v>4133</v>
      </c>
      <c r="G11" s="689">
        <f>Scale*(M.tot/Emis.tot)/(3600*24*365)</f>
        <v>3409.6216809556363</v>
      </c>
      <c r="H11" s="689">
        <f>2*Scale*(M.tot/Emis.tot)/(3600*24*365)</f>
        <v>6819.2433619112726</v>
      </c>
      <c r="I11" s="335" t="s">
        <v>4127</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2">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2">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2">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2">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2">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2">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2">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2">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2">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2">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2">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2">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2">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2">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2">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2">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2">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2">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2">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2">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2">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2">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2">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2">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2">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2">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2">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2">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2">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2">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2">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2">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2">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2">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2">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2">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2">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2">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2">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2">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2">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2">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2">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2">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2">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2">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2">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2">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2">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2">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2">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2">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2">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2">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2">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2">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2">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2">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2">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2">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2">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2">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2">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2">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2">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2">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2">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2">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2">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2">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2">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2">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2">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2">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2">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2">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2">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2">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2">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2">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2">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2">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2">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2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2">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2">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2">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2">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2">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2">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2">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2">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2">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2">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2">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2">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2">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2">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2">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2">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2">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5" width="9.140625" style="11"/>
    <col min="86" max="87" width="9.140625" style="11" collapsed="1"/>
    <col min="88" max="89" width="9.140625" style="11"/>
    <col min="90" max="90" width="9.140625" style="11" collapsed="1"/>
    <col min="91" max="92" width="9.140625" style="11"/>
    <col min="93" max="95" width="9.140625" style="11" collapsed="1"/>
    <col min="96" max="97" width="9.140625" style="11"/>
    <col min="98" max="100" width="9.140625" style="11" collapsed="1"/>
    <col min="101" max="102" width="9.140625" style="11"/>
    <col min="103" max="103" width="9.140625" style="11" collapsed="1"/>
    <col min="104" max="105" width="9.140625" style="11"/>
    <col min="106" max="16384" width="9.140625" style="11" collapsed="1"/>
  </cols>
  <sheetData>
    <row r="1" spans="1:107" ht="12.75" customHeight="1" x14ac:dyDescent="0.2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2">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2">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2">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2">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2">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2">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2">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2">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2">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2">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2">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2">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2">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2">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2">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2">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2">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2">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2">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2">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2">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2">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2">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2">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2">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2">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2">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2">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2">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2">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2">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2">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2">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2">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2">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2">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2">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2">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2">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2">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2">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2">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2">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2">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2">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2">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2">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2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2">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2">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2">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2">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2">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2">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2">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2">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2">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2">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2">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2">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2">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2">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2">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2">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2">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2">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2">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2">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2">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2">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2">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2">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2">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2">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2">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2">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2">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2">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2">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2">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2">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2">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2">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2">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2">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2">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2">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2">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2">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2">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2">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2">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2">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2">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2">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2">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2">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2">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2">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2">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2">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2">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2">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2">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2">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2">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2">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2">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2">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2">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2">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2">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2">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2">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2">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2">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2">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2">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2">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2">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2">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2">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2">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2">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2">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2">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2">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2">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2">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2">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2">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2">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2">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2">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2">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2">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2">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2">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2">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2">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2">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2">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2">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2">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2">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2">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2">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2">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2">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2">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5" collapsed="1"/>
    <col min="11" max="11" width="9.140625" style="262" collapsed="1"/>
    <col min="12" max="12" width="9.140625" style="262"/>
    <col min="13" max="26" width="9.140625" style="262" collapsed="1"/>
    <col min="27" max="221" width="9.140625" style="19" collapsed="1"/>
    <col min="222" max="231" width="9.140625" style="19"/>
    <col min="232" max="16384" width="9.140625" style="19" collapsed="1"/>
  </cols>
  <sheetData>
    <row r="1" spans="1:26" ht="12.75" customHeight="1" x14ac:dyDescent="0.2">
      <c r="A1" s="21" t="s">
        <v>4388</v>
      </c>
      <c r="B1" s="17"/>
      <c r="C1" s="17"/>
      <c r="D1" s="17"/>
      <c r="E1" s="17"/>
      <c r="F1" s="17"/>
      <c r="G1" s="17"/>
      <c r="H1" s="216"/>
      <c r="I1" s="269"/>
    </row>
    <row r="2" spans="1:26" ht="12.75" customHeight="1" x14ac:dyDescent="0.2">
      <c r="A2" s="21"/>
      <c r="B2" s="17"/>
      <c r="C2" s="17"/>
      <c r="D2" s="17"/>
      <c r="E2" s="17"/>
      <c r="F2" s="17"/>
      <c r="G2" s="17"/>
      <c r="H2" s="17"/>
      <c r="I2" s="269"/>
    </row>
    <row r="3" spans="1:26" ht="26.45" customHeight="1" thickBot="1" x14ac:dyDescent="0.2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2">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45" customHeight="1" x14ac:dyDescent="0.2">
      <c r="A5" s="145"/>
      <c r="B5" s="145"/>
      <c r="C5" s="145"/>
      <c r="D5" s="145"/>
      <c r="E5" s="145"/>
      <c r="F5" s="145"/>
      <c r="G5" s="144"/>
      <c r="H5" s="38"/>
      <c r="I5" s="269"/>
      <c r="J5" s="822"/>
    </row>
    <row r="6" spans="1:26" ht="12.75" customHeight="1" x14ac:dyDescent="0.2">
      <c r="A6" s="144" t="s">
        <v>85</v>
      </c>
      <c r="B6" s="17"/>
      <c r="C6" s="17"/>
      <c r="D6" s="17"/>
      <c r="E6" s="17"/>
      <c r="F6" s="17"/>
      <c r="G6" s="144" t="s">
        <v>289</v>
      </c>
      <c r="H6" s="38"/>
      <c r="I6" s="239" t="str">
        <f>IF(ISBLANK(input!H5),"",input!H5)</f>
        <v>nAg_10nm</v>
      </c>
      <c r="J6" s="822"/>
    </row>
    <row r="7" spans="1:26" ht="12.75" customHeight="1" x14ac:dyDescent="0.2">
      <c r="A7" s="38"/>
      <c r="B7" s="17"/>
      <c r="C7" s="17"/>
      <c r="D7" s="17"/>
      <c r="E7" s="17"/>
      <c r="F7" s="17"/>
      <c r="G7" s="38" t="s">
        <v>291</v>
      </c>
      <c r="H7" s="38"/>
      <c r="I7" s="239" t="str">
        <f>IF(ISBLANK(input!I6),"",input!I6)</f>
        <v/>
      </c>
      <c r="O7" s="262" t="s">
        <v>4295</v>
      </c>
    </row>
    <row r="8" spans="1:26" ht="26.45" customHeight="1" x14ac:dyDescent="0.2">
      <c r="A8" s="38"/>
      <c r="B8" s="38"/>
      <c r="C8" s="38"/>
      <c r="D8" s="38"/>
      <c r="E8" s="38"/>
      <c r="F8" s="38"/>
      <c r="G8" s="38"/>
      <c r="H8" s="38"/>
      <c r="I8" s="269"/>
    </row>
    <row r="9" spans="1:26" ht="12.75" customHeight="1" x14ac:dyDescent="0.2">
      <c r="A9" s="145" t="s">
        <v>87</v>
      </c>
      <c r="B9" s="145"/>
      <c r="C9" s="145"/>
      <c r="D9" s="145"/>
      <c r="E9" s="145"/>
      <c r="F9" s="145"/>
      <c r="G9" s="144" t="s">
        <v>292</v>
      </c>
      <c r="H9" s="149"/>
      <c r="I9" s="239" t="str">
        <f>IF(ISBLANK(input!H8),"",input!H8)</f>
        <v>default scenario</v>
      </c>
      <c r="J9" s="822"/>
    </row>
    <row r="10" spans="1:26" ht="26.45" customHeight="1" x14ac:dyDescent="0.2">
      <c r="A10" s="38"/>
      <c r="B10" s="17"/>
      <c r="C10" s="17"/>
      <c r="D10" s="17"/>
      <c r="E10" s="17"/>
      <c r="F10" s="17"/>
      <c r="G10" s="38"/>
      <c r="H10" s="38"/>
      <c r="I10" s="269"/>
      <c r="J10" s="822"/>
    </row>
    <row r="11" spans="1:26" ht="13.5" customHeight="1" x14ac:dyDescent="0.2">
      <c r="A11" s="144" t="s">
        <v>89</v>
      </c>
      <c r="B11" s="17"/>
      <c r="C11" s="17"/>
      <c r="D11" s="17"/>
      <c r="E11" s="17"/>
      <c r="F11" s="17"/>
      <c r="G11" s="144" t="s">
        <v>294</v>
      </c>
      <c r="H11" s="38"/>
      <c r="I11" s="239" t="str">
        <f>IF(ISBLANK(input!H10),"",input!H10)</f>
        <v>defaults only</v>
      </c>
      <c r="J11" s="822"/>
    </row>
    <row r="12" spans="1:26" ht="12.75" customHeight="1" x14ac:dyDescent="0.2">
      <c r="A12" s="17"/>
      <c r="B12" s="17"/>
      <c r="C12" s="17"/>
      <c r="D12" s="17"/>
      <c r="E12" s="17"/>
      <c r="F12" s="17"/>
      <c r="G12" s="38"/>
      <c r="H12" s="38"/>
      <c r="I12" s="269"/>
      <c r="J12" s="822"/>
    </row>
    <row r="13" spans="1:26" ht="12.75" customHeight="1" x14ac:dyDescent="0.2">
      <c r="A13" s="580" t="s">
        <v>296</v>
      </c>
      <c r="B13" s="580"/>
      <c r="C13" s="580"/>
      <c r="D13" s="580"/>
      <c r="E13" s="580"/>
      <c r="F13" s="580"/>
      <c r="G13" s="587" t="s">
        <v>282</v>
      </c>
      <c r="H13" s="587" t="s">
        <v>297</v>
      </c>
      <c r="I13" s="150" t="s">
        <v>285</v>
      </c>
      <c r="J13" s="271"/>
      <c r="K13" s="262" t="s">
        <v>285</v>
      </c>
      <c r="O13" s="262" t="s">
        <v>285</v>
      </c>
    </row>
    <row r="14" spans="1:26" ht="12.75" customHeight="1" x14ac:dyDescent="0.2">
      <c r="A14" s="586"/>
      <c r="B14" s="566"/>
      <c r="C14" s="566"/>
      <c r="D14" s="566"/>
      <c r="E14" s="566"/>
      <c r="F14" s="566"/>
      <c r="G14" s="566"/>
      <c r="H14" s="566"/>
      <c r="I14" s="269"/>
    </row>
    <row r="15" spans="1:26" ht="12.75" customHeight="1" x14ac:dyDescent="0.2">
      <c r="A15" s="566"/>
      <c r="B15" s="566" t="s">
        <v>299</v>
      </c>
      <c r="C15" s="566"/>
      <c r="D15" s="566"/>
      <c r="E15" s="566"/>
      <c r="F15" s="591"/>
      <c r="G15" s="778" t="s">
        <v>300</v>
      </c>
      <c r="H15" s="592" t="s">
        <v>301</v>
      </c>
      <c r="I15" s="239" t="str">
        <f>IF(ISBLANK(input!I14),"",input!I14)</f>
        <v/>
      </c>
      <c r="K15" s="262" t="s">
        <v>4295</v>
      </c>
      <c r="O15" s="262">
        <v>9.5</v>
      </c>
    </row>
    <row r="16" spans="1:26" ht="12.75" customHeight="1" x14ac:dyDescent="0.2">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2">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2">
      <c r="A18" s="566"/>
      <c r="B18" s="566"/>
      <c r="C18" s="566"/>
      <c r="D18" s="591"/>
      <c r="E18" s="592"/>
      <c r="F18" s="592"/>
      <c r="G18" s="594"/>
      <c r="H18" s="566"/>
      <c r="I18" s="239"/>
      <c r="K18" s="262" t="s">
        <v>4295</v>
      </c>
    </row>
    <row r="19" spans="1:15" ht="12.75" customHeight="1" x14ac:dyDescent="0.2">
      <c r="A19" s="580" t="s">
        <v>310</v>
      </c>
      <c r="B19" s="580"/>
      <c r="C19" s="580"/>
      <c r="D19" s="580"/>
      <c r="E19" s="580"/>
      <c r="F19" s="596"/>
      <c r="G19" s="597"/>
      <c r="H19" s="597"/>
      <c r="I19" s="597"/>
      <c r="K19" s="262" t="s">
        <v>4295</v>
      </c>
    </row>
    <row r="20" spans="1:15" ht="12.75" customHeight="1" x14ac:dyDescent="0.2">
      <c r="A20" s="566"/>
      <c r="B20" s="566"/>
      <c r="C20" s="598"/>
      <c r="D20" s="598"/>
      <c r="E20" s="598"/>
      <c r="F20" s="599"/>
      <c r="G20" s="592"/>
      <c r="H20" s="592"/>
      <c r="I20" s="592"/>
      <c r="K20" s="262" t="s">
        <v>4295</v>
      </c>
    </row>
    <row r="21" spans="1:15" ht="12.75" customHeight="1" x14ac:dyDescent="0.2">
      <c r="A21" s="566"/>
      <c r="B21" s="566"/>
      <c r="C21" s="600" t="s">
        <v>311</v>
      </c>
      <c r="D21" s="598"/>
      <c r="E21" s="598"/>
      <c r="F21" s="598"/>
      <c r="G21" s="587" t="s">
        <v>282</v>
      </c>
      <c r="H21" s="587" t="s">
        <v>297</v>
      </c>
      <c r="I21" s="587"/>
      <c r="K21" s="262" t="s">
        <v>4295</v>
      </c>
      <c r="O21" s="262" t="s">
        <v>298</v>
      </c>
    </row>
    <row r="22" spans="1:15" ht="12.75" customHeight="1" x14ac:dyDescent="0.2">
      <c r="A22" s="566"/>
      <c r="B22" s="566"/>
      <c r="C22" s="566" t="s">
        <v>312</v>
      </c>
      <c r="D22" s="566"/>
      <c r="E22" s="566"/>
      <c r="F22" s="566"/>
      <c r="G22" s="780" t="s">
        <v>313</v>
      </c>
      <c r="H22" s="567" t="s">
        <v>314</v>
      </c>
      <c r="I22" s="239" t="str">
        <f>IF(ISBLANK(input!I21),"",input!I21)</f>
        <v/>
      </c>
      <c r="K22" s="262" t="s">
        <v>4295</v>
      </c>
      <c r="O22" s="262">
        <v>0.3</v>
      </c>
    </row>
    <row r="23" spans="1:15" ht="12.75" customHeight="1" x14ac:dyDescent="0.2">
      <c r="A23" s="566"/>
      <c r="B23" s="566"/>
      <c r="C23" s="566" t="s">
        <v>316</v>
      </c>
      <c r="D23" s="566"/>
      <c r="E23" s="566"/>
      <c r="F23" s="566"/>
      <c r="G23" s="780" t="s">
        <v>317</v>
      </c>
      <c r="H23" s="567" t="s">
        <v>314</v>
      </c>
      <c r="I23" s="239" t="str">
        <f>IF(ISBLANK(input!I22),"",input!I22)</f>
        <v/>
      </c>
      <c r="K23" s="262" t="s">
        <v>4295</v>
      </c>
      <c r="O23" s="262">
        <v>1</v>
      </c>
    </row>
    <row r="24" spans="1:15" ht="12.75" customHeight="1" x14ac:dyDescent="0.2">
      <c r="A24" s="566"/>
      <c r="B24" s="566"/>
      <c r="C24" s="566" t="s">
        <v>318</v>
      </c>
      <c r="D24" s="566"/>
      <c r="E24" s="566"/>
      <c r="F24" s="566"/>
      <c r="G24" s="781" t="s">
        <v>319</v>
      </c>
      <c r="H24" s="567" t="s">
        <v>314</v>
      </c>
      <c r="I24" s="239" t="str">
        <f>IF(ISBLANK(input!I23),"",input!I23)</f>
        <v/>
      </c>
      <c r="K24" s="262" t="s">
        <v>4295</v>
      </c>
      <c r="O24" s="262">
        <v>0.3</v>
      </c>
    </row>
    <row r="25" spans="1:15" ht="12.75" customHeight="1" x14ac:dyDescent="0.2">
      <c r="A25" s="566"/>
      <c r="B25" s="566"/>
      <c r="C25" s="566" t="s">
        <v>320</v>
      </c>
      <c r="D25" s="566"/>
      <c r="E25" s="566"/>
      <c r="F25" s="566"/>
      <c r="G25" s="781" t="s">
        <v>321</v>
      </c>
      <c r="H25" s="567" t="s">
        <v>314</v>
      </c>
      <c r="I25" s="239" t="str">
        <f>IF(ISBLANK(input!I24),"",input!I24)</f>
        <v/>
      </c>
      <c r="K25" s="262" t="s">
        <v>4295</v>
      </c>
      <c r="O25" s="262">
        <v>1</v>
      </c>
    </row>
    <row r="26" spans="1:15" ht="12.75" customHeight="1" x14ac:dyDescent="0.2">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2">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2">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2">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2">
      <c r="A30" s="566"/>
      <c r="B30" s="566"/>
      <c r="C30" s="566" t="s">
        <v>330</v>
      </c>
      <c r="D30" s="566"/>
      <c r="E30" s="566"/>
      <c r="F30" s="566"/>
      <c r="G30" s="781" t="s">
        <v>331</v>
      </c>
      <c r="H30" s="567" t="s">
        <v>314</v>
      </c>
      <c r="I30" s="239" t="str">
        <f>IF(ISBLANK(input!I29),"",input!I29)</f>
        <v/>
      </c>
      <c r="K30" s="262" t="s">
        <v>4295</v>
      </c>
      <c r="O30" s="262">
        <v>1</v>
      </c>
    </row>
    <row r="31" spans="1:15" ht="12.75" customHeight="1" x14ac:dyDescent="0.2">
      <c r="A31" s="566"/>
      <c r="B31" s="566"/>
      <c r="C31" s="566" t="s">
        <v>332</v>
      </c>
      <c r="D31" s="566"/>
      <c r="E31" s="566"/>
      <c r="F31" s="566"/>
      <c r="G31" s="781" t="s">
        <v>333</v>
      </c>
      <c r="H31" s="567" t="s">
        <v>314</v>
      </c>
      <c r="I31" s="239" t="str">
        <f>IF(ISBLANK(input!I30),"",input!I30)</f>
        <v/>
      </c>
      <c r="K31" s="262" t="s">
        <v>4295</v>
      </c>
      <c r="O31" s="262">
        <v>1</v>
      </c>
    </row>
    <row r="32" spans="1:15" ht="12.75" customHeight="1" x14ac:dyDescent="0.2">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2">
      <c r="A33" s="566"/>
      <c r="B33" s="566"/>
      <c r="C33" s="566" t="s">
        <v>336</v>
      </c>
      <c r="D33" s="566"/>
      <c r="E33" s="566"/>
      <c r="F33" s="566"/>
      <c r="G33" s="781" t="s">
        <v>337</v>
      </c>
      <c r="H33" s="567" t="s">
        <v>314</v>
      </c>
      <c r="I33" s="239" t="str">
        <f>IF(ISBLANK(input!I32),"",input!I32)</f>
        <v/>
      </c>
      <c r="K33" s="262" t="s">
        <v>4295</v>
      </c>
      <c r="O33" s="262">
        <v>1</v>
      </c>
    </row>
    <row r="34" spans="1:15" ht="12.75" customHeight="1" x14ac:dyDescent="0.2">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2">
      <c r="A35" s="566"/>
      <c r="B35" s="566"/>
      <c r="C35" s="566" t="s">
        <v>340</v>
      </c>
      <c r="D35" s="566"/>
      <c r="E35" s="566"/>
      <c r="F35" s="566"/>
      <c r="G35" s="781" t="s">
        <v>341</v>
      </c>
      <c r="H35" s="567" t="s">
        <v>314</v>
      </c>
      <c r="I35" s="239" t="str">
        <f>IF(ISBLANK(input!I34),"",input!I34)</f>
        <v/>
      </c>
      <c r="K35" s="262" t="s">
        <v>4295</v>
      </c>
      <c r="O35" s="262">
        <v>1</v>
      </c>
    </row>
    <row r="36" spans="1:15" ht="12.75" customHeight="1" x14ac:dyDescent="0.2">
      <c r="A36" s="566"/>
      <c r="B36" s="566"/>
      <c r="C36" s="566" t="s">
        <v>342</v>
      </c>
      <c r="D36" s="566"/>
      <c r="E36" s="566"/>
      <c r="F36" s="566"/>
      <c r="G36" s="781" t="s">
        <v>343</v>
      </c>
      <c r="H36" s="567" t="s">
        <v>314</v>
      </c>
      <c r="I36" s="239" t="str">
        <f>IF(ISBLANK(input!I35),"",input!I35)</f>
        <v/>
      </c>
      <c r="K36" s="262" t="s">
        <v>4295</v>
      </c>
      <c r="O36" s="262">
        <v>0.3</v>
      </c>
    </row>
    <row r="37" spans="1:15" ht="12.75" customHeight="1" x14ac:dyDescent="0.2">
      <c r="A37" s="566"/>
      <c r="B37" s="566"/>
      <c r="C37" s="566" t="s">
        <v>344</v>
      </c>
      <c r="D37" s="566"/>
      <c r="E37" s="566"/>
      <c r="F37" s="566"/>
      <c r="G37" s="781" t="s">
        <v>345</v>
      </c>
      <c r="H37" s="567" t="s">
        <v>314</v>
      </c>
      <c r="I37" s="239" t="str">
        <f>IF(ISBLANK(input!I36),"",input!I36)</f>
        <v/>
      </c>
      <c r="K37" s="262" t="s">
        <v>4295</v>
      </c>
      <c r="O37" s="262">
        <v>1</v>
      </c>
    </row>
    <row r="38" spans="1:15" ht="12.75" customHeight="1" x14ac:dyDescent="0.2">
      <c r="A38" s="566"/>
      <c r="B38" s="566"/>
      <c r="C38" s="566" t="s">
        <v>346</v>
      </c>
      <c r="D38" s="566"/>
      <c r="E38" s="566"/>
      <c r="F38" s="566"/>
      <c r="G38" s="781" t="s">
        <v>347</v>
      </c>
      <c r="H38" s="567" t="s">
        <v>314</v>
      </c>
      <c r="I38" s="239" t="str">
        <f>IF(ISBLANK(input!I37),"",input!I37)</f>
        <v/>
      </c>
      <c r="K38" s="262" t="s">
        <v>4295</v>
      </c>
      <c r="O38" s="262">
        <v>0.3</v>
      </c>
    </row>
    <row r="39" spans="1:15" ht="12.75" customHeight="1" x14ac:dyDescent="0.2">
      <c r="A39" s="566"/>
      <c r="B39" s="566"/>
      <c r="C39" s="566" t="s">
        <v>348</v>
      </c>
      <c r="D39" s="566"/>
      <c r="E39" s="566"/>
      <c r="F39" s="566"/>
      <c r="G39" s="781" t="s">
        <v>349</v>
      </c>
      <c r="H39" s="567" t="s">
        <v>314</v>
      </c>
      <c r="I39" s="239" t="str">
        <f>IF(ISBLANK(input!I38),"",input!I38)</f>
        <v/>
      </c>
      <c r="K39" s="262" t="s">
        <v>4295</v>
      </c>
      <c r="O39" s="262">
        <v>1</v>
      </c>
    </row>
    <row r="40" spans="1:15" ht="12.75" customHeight="1" x14ac:dyDescent="0.2">
      <c r="A40" s="566"/>
      <c r="B40" s="566"/>
      <c r="C40" s="566" t="s">
        <v>350</v>
      </c>
      <c r="D40" s="566"/>
      <c r="E40" s="566"/>
      <c r="F40" s="566"/>
      <c r="G40" s="781" t="s">
        <v>351</v>
      </c>
      <c r="H40" s="567" t="s">
        <v>314</v>
      </c>
      <c r="I40" s="239" t="str">
        <f>IF(ISBLANK(input!I39),"",input!I39)</f>
        <v/>
      </c>
      <c r="K40" s="262" t="s">
        <v>4295</v>
      </c>
      <c r="O40" s="262">
        <v>0.3</v>
      </c>
    </row>
    <row r="41" spans="1:15" ht="12.75" customHeight="1" x14ac:dyDescent="0.2">
      <c r="A41" s="566"/>
      <c r="B41" s="566"/>
      <c r="C41" s="598" t="s">
        <v>352</v>
      </c>
      <c r="D41" s="598"/>
      <c r="E41" s="598"/>
      <c r="F41" s="598"/>
      <c r="G41" s="782" t="s">
        <v>353</v>
      </c>
      <c r="H41" s="601" t="s">
        <v>314</v>
      </c>
      <c r="I41" s="239" t="str">
        <f>IF(ISBLANK(input!I40),"",input!I40)</f>
        <v/>
      </c>
      <c r="K41" s="262" t="s">
        <v>4295</v>
      </c>
      <c r="O41" s="262">
        <v>1</v>
      </c>
    </row>
    <row r="42" spans="1:15" ht="12.75" customHeight="1" x14ac:dyDescent="0.2">
      <c r="A42" s="566"/>
      <c r="B42" s="566"/>
      <c r="C42" s="580"/>
      <c r="D42" s="580"/>
      <c r="E42" s="580"/>
      <c r="F42" s="580"/>
      <c r="G42" s="567"/>
      <c r="H42" s="567"/>
      <c r="I42" s="239" t="str">
        <f>IF(ISBLANK(input!I41),"",input!I41)</f>
        <v/>
      </c>
    </row>
    <row r="43" spans="1:15" ht="12.75" customHeight="1" x14ac:dyDescent="0.2">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2">
      <c r="A44" s="566"/>
      <c r="B44" s="566"/>
      <c r="C44" s="805" t="s">
        <v>355</v>
      </c>
      <c r="D44" s="566"/>
      <c r="E44" s="566"/>
      <c r="F44" s="566"/>
      <c r="G44" s="567"/>
      <c r="H44" s="567"/>
      <c r="I44" s="239" t="str">
        <f>IF(ISBLANK(input!I43),"",input!I43)</f>
        <v/>
      </c>
      <c r="K44" s="262" t="s">
        <v>4295</v>
      </c>
    </row>
    <row r="45" spans="1:15" ht="12.75" customHeight="1" x14ac:dyDescent="0.2">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2">
      <c r="A46" s="566"/>
      <c r="B46" s="566"/>
      <c r="C46" s="566" t="s">
        <v>360</v>
      </c>
      <c r="D46" s="566"/>
      <c r="E46" s="566"/>
      <c r="F46" s="566"/>
      <c r="G46" s="781" t="s">
        <v>361</v>
      </c>
      <c r="H46" s="567" t="s">
        <v>358</v>
      </c>
      <c r="I46" s="239" t="str">
        <f>IF(ISBLANK(input!I45),"",input!I45)</f>
        <v/>
      </c>
      <c r="K46" s="262" t="s">
        <v>4295</v>
      </c>
      <c r="O46" s="262">
        <v>0</v>
      </c>
    </row>
    <row r="47" spans="1:15" ht="12.75" customHeight="1" x14ac:dyDescent="0.2">
      <c r="A47" s="566"/>
      <c r="B47" s="566"/>
      <c r="C47" s="566" t="s">
        <v>362</v>
      </c>
      <c r="D47" s="566"/>
      <c r="E47" s="566"/>
      <c r="F47" s="566"/>
      <c r="G47" s="781" t="s">
        <v>363</v>
      </c>
      <c r="H47" s="567" t="s">
        <v>358</v>
      </c>
      <c r="I47" s="239" t="str">
        <f>IF(ISBLANK(input!I46),"",input!I46)</f>
        <v/>
      </c>
      <c r="K47" s="262" t="s">
        <v>4295</v>
      </c>
      <c r="O47" s="262">
        <v>0</v>
      </c>
    </row>
    <row r="48" spans="1:15" ht="12.75" customHeight="1" x14ac:dyDescent="0.2">
      <c r="A48" s="566"/>
      <c r="B48" s="566"/>
      <c r="C48" s="566" t="s">
        <v>364</v>
      </c>
      <c r="D48" s="566"/>
      <c r="E48" s="566"/>
      <c r="F48" s="566"/>
      <c r="G48" s="781" t="s">
        <v>365</v>
      </c>
      <c r="H48" s="567" t="s">
        <v>358</v>
      </c>
      <c r="I48" s="239" t="str">
        <f>IF(ISBLANK(input!I47),"",input!I47)</f>
        <v/>
      </c>
      <c r="K48" s="262" t="s">
        <v>4295</v>
      </c>
      <c r="O48" s="262">
        <v>0</v>
      </c>
    </row>
    <row r="49" spans="1:15" ht="12.75" customHeight="1" x14ac:dyDescent="0.2">
      <c r="A49" s="566"/>
      <c r="B49" s="566"/>
      <c r="C49" s="566" t="s">
        <v>366</v>
      </c>
      <c r="D49" s="566"/>
      <c r="E49" s="566"/>
      <c r="F49" s="566"/>
      <c r="G49" s="781" t="s">
        <v>367</v>
      </c>
      <c r="H49" s="567" t="s">
        <v>358</v>
      </c>
      <c r="I49" s="239" t="str">
        <f>IF(ISBLANK(input!I48),"",input!I48)</f>
        <v/>
      </c>
      <c r="K49" s="262" t="s">
        <v>4295</v>
      </c>
      <c r="O49" s="262">
        <v>0</v>
      </c>
    </row>
    <row r="50" spans="1:15" ht="12.75" customHeight="1" x14ac:dyDescent="0.2">
      <c r="A50" s="566"/>
      <c r="B50" s="566"/>
      <c r="C50" s="566" t="s">
        <v>368</v>
      </c>
      <c r="D50" s="566"/>
      <c r="E50" s="566"/>
      <c r="F50" s="566"/>
      <c r="G50" s="781" t="s">
        <v>369</v>
      </c>
      <c r="H50" s="567" t="s">
        <v>358</v>
      </c>
      <c r="I50" s="239" t="str">
        <f>IF(ISBLANK(input!I49),"",input!I49)</f>
        <v/>
      </c>
      <c r="K50" s="262" t="s">
        <v>4295</v>
      </c>
      <c r="O50" s="262">
        <v>0</v>
      </c>
    </row>
    <row r="51" spans="1:15" ht="12.75" customHeight="1" x14ac:dyDescent="0.2">
      <c r="A51" s="566"/>
      <c r="B51" s="566"/>
      <c r="C51" s="566" t="s">
        <v>370</v>
      </c>
      <c r="D51" s="566"/>
      <c r="E51" s="566"/>
      <c r="F51" s="566"/>
      <c r="G51" s="781" t="s">
        <v>371</v>
      </c>
      <c r="H51" s="567" t="s">
        <v>358</v>
      </c>
      <c r="I51" s="239" t="str">
        <f>IF(ISBLANK(input!I50),"",input!I50)</f>
        <v/>
      </c>
      <c r="K51" s="262" t="s">
        <v>4295</v>
      </c>
      <c r="O51" s="262">
        <v>0</v>
      </c>
    </row>
    <row r="52" spans="1:15" ht="12.75" customHeight="1" x14ac:dyDescent="0.2">
      <c r="A52" s="566"/>
      <c r="B52" s="566"/>
      <c r="C52" s="566" t="s">
        <v>372</v>
      </c>
      <c r="D52" s="566"/>
      <c r="E52" s="566"/>
      <c r="F52" s="566"/>
      <c r="G52" s="781" t="s">
        <v>373</v>
      </c>
      <c r="H52" s="567" t="s">
        <v>358</v>
      </c>
      <c r="I52" s="239" t="str">
        <f>IF(ISBLANK(input!I51),"",input!I51)</f>
        <v/>
      </c>
      <c r="K52" s="262" t="s">
        <v>4295</v>
      </c>
      <c r="O52" s="262">
        <v>0</v>
      </c>
    </row>
    <row r="53" spans="1:15" ht="12.75" customHeight="1" x14ac:dyDescent="0.2">
      <c r="A53" s="566"/>
      <c r="B53" s="566"/>
      <c r="C53" s="566" t="s">
        <v>374</v>
      </c>
      <c r="D53" s="566"/>
      <c r="E53" s="566"/>
      <c r="F53" s="566"/>
      <c r="G53" s="781" t="s">
        <v>375</v>
      </c>
      <c r="H53" s="567" t="s">
        <v>358</v>
      </c>
      <c r="I53" s="239" t="str">
        <f>IF(ISBLANK(input!I52),"",input!I52)</f>
        <v/>
      </c>
      <c r="O53" s="262">
        <v>0</v>
      </c>
    </row>
    <row r="54" spans="1:15" ht="12.75" customHeight="1" x14ac:dyDescent="0.2">
      <c r="A54" s="566"/>
      <c r="B54" s="566"/>
      <c r="C54" s="566" t="s">
        <v>376</v>
      </c>
      <c r="D54" s="566"/>
      <c r="E54" s="566"/>
      <c r="F54" s="566"/>
      <c r="G54" s="781" t="s">
        <v>377</v>
      </c>
      <c r="H54" s="567" t="s">
        <v>358</v>
      </c>
      <c r="I54" s="239" t="str">
        <f>IF(ISBLANK(input!I53),"",input!I53)</f>
        <v/>
      </c>
      <c r="O54" s="262">
        <v>0</v>
      </c>
    </row>
    <row r="55" spans="1:15" ht="12.75" customHeight="1" x14ac:dyDescent="0.2">
      <c r="A55" s="566"/>
      <c r="B55" s="566"/>
      <c r="C55" s="805" t="s">
        <v>4394</v>
      </c>
      <c r="D55" s="566"/>
      <c r="E55" s="566"/>
      <c r="F55" s="566"/>
      <c r="G55" s="781"/>
      <c r="H55" s="567"/>
      <c r="I55" s="239" t="str">
        <f>IF(ISBLANK(input!I54),"",input!I54)</f>
        <v/>
      </c>
    </row>
    <row r="56" spans="1:15" ht="12.75" customHeight="1" x14ac:dyDescent="0.2">
      <c r="A56" s="566"/>
      <c r="B56" s="566"/>
      <c r="C56" s="566" t="s">
        <v>379</v>
      </c>
      <c r="D56" s="566"/>
      <c r="E56" s="566"/>
      <c r="F56" s="566"/>
      <c r="G56" s="781" t="s">
        <v>380</v>
      </c>
      <c r="H56" s="567" t="s">
        <v>358</v>
      </c>
      <c r="I56" s="239" t="str">
        <f>IF(ISBLANK(input!I55),"",input!I55)</f>
        <v/>
      </c>
      <c r="O56" s="262">
        <v>0</v>
      </c>
    </row>
    <row r="57" spans="1:15" ht="12.75" customHeight="1" x14ac:dyDescent="0.2">
      <c r="A57" s="566"/>
      <c r="B57" s="566"/>
      <c r="C57" s="566" t="s">
        <v>381</v>
      </c>
      <c r="D57" s="566"/>
      <c r="E57" s="566"/>
      <c r="F57" s="566"/>
      <c r="G57" s="781" t="s">
        <v>382</v>
      </c>
      <c r="H57" s="567" t="s">
        <v>358</v>
      </c>
      <c r="I57" s="239" t="str">
        <f>IF(ISBLANK(input!I56),"",input!I56)</f>
        <v/>
      </c>
      <c r="J57" s="228"/>
      <c r="O57" s="262">
        <v>0</v>
      </c>
    </row>
    <row r="58" spans="1:15" ht="12.75" customHeight="1" x14ac:dyDescent="0.2">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2">
      <c r="A59" s="566"/>
      <c r="B59" s="566"/>
      <c r="C59" s="566" t="s">
        <v>385</v>
      </c>
      <c r="D59" s="566"/>
      <c r="E59" s="566"/>
      <c r="F59" s="566"/>
      <c r="G59" s="781" t="s">
        <v>386</v>
      </c>
      <c r="H59" s="567" t="s">
        <v>358</v>
      </c>
      <c r="I59" s="239" t="str">
        <f>IF(ISBLANK(input!I58),"",input!I58)</f>
        <v/>
      </c>
      <c r="K59" s="262" t="s">
        <v>4295</v>
      </c>
      <c r="O59" s="262">
        <v>0</v>
      </c>
    </row>
    <row r="60" spans="1:15" ht="12.75" customHeight="1" x14ac:dyDescent="0.2">
      <c r="A60" s="566"/>
      <c r="B60" s="566"/>
      <c r="C60" s="566" t="s">
        <v>387</v>
      </c>
      <c r="D60" s="566"/>
      <c r="E60" s="566"/>
      <c r="F60" s="566"/>
      <c r="G60" s="781" t="s">
        <v>388</v>
      </c>
      <c r="H60" s="567" t="s">
        <v>358</v>
      </c>
      <c r="I60" s="239" t="str">
        <f>IF(ISBLANK(input!I59),"",input!I59)</f>
        <v/>
      </c>
      <c r="K60" s="262" t="s">
        <v>4295</v>
      </c>
      <c r="O60" s="262">
        <v>0</v>
      </c>
    </row>
    <row r="61" spans="1:15" ht="12.75" customHeight="1" x14ac:dyDescent="0.2">
      <c r="A61" s="566"/>
      <c r="B61" s="566"/>
      <c r="C61" s="566" t="s">
        <v>389</v>
      </c>
      <c r="D61" s="566"/>
      <c r="E61" s="566"/>
      <c r="F61" s="566"/>
      <c r="G61" s="781" t="s">
        <v>390</v>
      </c>
      <c r="H61" s="567" t="s">
        <v>358</v>
      </c>
      <c r="I61" s="239" t="str">
        <f>IF(ISBLANK(input!I60),"",input!I60)</f>
        <v/>
      </c>
      <c r="K61" s="262" t="s">
        <v>4295</v>
      </c>
      <c r="O61" s="262">
        <v>0</v>
      </c>
    </row>
    <row r="62" spans="1:15" ht="12.75" customHeight="1" x14ac:dyDescent="0.2">
      <c r="A62" s="566"/>
      <c r="B62" s="566"/>
      <c r="C62" s="566" t="s">
        <v>391</v>
      </c>
      <c r="D62" s="566"/>
      <c r="E62" s="566"/>
      <c r="F62" s="566"/>
      <c r="G62" s="781" t="s">
        <v>392</v>
      </c>
      <c r="H62" s="567" t="s">
        <v>358</v>
      </c>
      <c r="I62" s="239" t="str">
        <f>IF(ISBLANK(input!I61),"",input!I61)</f>
        <v/>
      </c>
      <c r="K62" s="262" t="s">
        <v>4295</v>
      </c>
      <c r="O62" s="262">
        <v>0</v>
      </c>
    </row>
    <row r="63" spans="1:15" ht="12.75" customHeight="1" x14ac:dyDescent="0.2">
      <c r="A63" s="566"/>
      <c r="B63" s="566"/>
      <c r="C63" s="566" t="s">
        <v>393</v>
      </c>
      <c r="D63" s="566"/>
      <c r="E63" s="566"/>
      <c r="F63" s="566"/>
      <c r="G63" s="781" t="s">
        <v>394</v>
      </c>
      <c r="H63" s="567" t="s">
        <v>358</v>
      </c>
      <c r="I63" s="239" t="str">
        <f>IF(ISBLANK(input!I62),"",input!I62)</f>
        <v/>
      </c>
      <c r="K63" s="262" t="s">
        <v>4295</v>
      </c>
      <c r="O63" s="262">
        <v>0</v>
      </c>
    </row>
    <row r="64" spans="1:15" ht="12.75" customHeight="1" x14ac:dyDescent="0.2">
      <c r="A64" s="566"/>
      <c r="B64" s="566"/>
      <c r="C64" s="566" t="s">
        <v>395</v>
      </c>
      <c r="D64" s="566"/>
      <c r="E64" s="566"/>
      <c r="F64" s="566"/>
      <c r="G64" s="781" t="s">
        <v>396</v>
      </c>
      <c r="H64" s="567" t="s">
        <v>358</v>
      </c>
      <c r="I64" s="239" t="str">
        <f>IF(ISBLANK(input!I63),"",input!I63)</f>
        <v/>
      </c>
      <c r="K64" s="262" t="s">
        <v>4295</v>
      </c>
      <c r="O64" s="262">
        <v>0</v>
      </c>
    </row>
    <row r="65" spans="1:15" ht="12.75" customHeight="1" x14ac:dyDescent="0.2">
      <c r="A65" s="566"/>
      <c r="B65" s="566"/>
      <c r="C65" s="566" t="s">
        <v>397</v>
      </c>
      <c r="D65" s="566"/>
      <c r="E65" s="566"/>
      <c r="F65" s="566"/>
      <c r="G65" s="781" t="s">
        <v>398</v>
      </c>
      <c r="H65" s="567" t="s">
        <v>358</v>
      </c>
      <c r="I65" s="239" t="str">
        <f>IF(ISBLANK(input!I64),"",input!I64)</f>
        <v/>
      </c>
      <c r="K65" s="262" t="s">
        <v>4295</v>
      </c>
      <c r="O65" s="262">
        <v>0</v>
      </c>
    </row>
    <row r="66" spans="1:15" ht="12.75" customHeight="1" x14ac:dyDescent="0.2">
      <c r="A66" s="566"/>
      <c r="B66" s="566"/>
      <c r="C66" s="566" t="s">
        <v>399</v>
      </c>
      <c r="D66" s="566"/>
      <c r="E66" s="566"/>
      <c r="F66" s="566"/>
      <c r="G66" s="781" t="s">
        <v>400</v>
      </c>
      <c r="H66" s="567" t="s">
        <v>358</v>
      </c>
      <c r="I66" s="239" t="str">
        <f>IF(ISBLANK(input!I65),"",input!I65)</f>
        <v/>
      </c>
      <c r="K66" s="262" t="s">
        <v>4295</v>
      </c>
      <c r="O66" s="262">
        <v>0</v>
      </c>
    </row>
    <row r="67" spans="1:15" ht="12.75" customHeight="1" x14ac:dyDescent="0.2">
      <c r="A67" s="566"/>
      <c r="B67" s="566"/>
      <c r="C67" s="566" t="s">
        <v>401</v>
      </c>
      <c r="D67" s="566"/>
      <c r="E67" s="566"/>
      <c r="F67" s="566"/>
      <c r="G67" s="781" t="s">
        <v>402</v>
      </c>
      <c r="H67" s="567" t="s">
        <v>358</v>
      </c>
      <c r="I67" s="239" t="str">
        <f>IF(ISBLANK(input!I66),"",input!I66)</f>
        <v/>
      </c>
      <c r="K67" s="262" t="s">
        <v>4295</v>
      </c>
      <c r="O67" s="262">
        <v>0</v>
      </c>
    </row>
    <row r="68" spans="1:15" ht="12.75" customHeight="1" x14ac:dyDescent="0.2">
      <c r="A68" s="566"/>
      <c r="B68" s="566"/>
      <c r="C68" s="566" t="s">
        <v>403</v>
      </c>
      <c r="D68" s="566"/>
      <c r="E68" s="566"/>
      <c r="F68" s="566"/>
      <c r="G68" s="781" t="s">
        <v>404</v>
      </c>
      <c r="H68" s="567" t="s">
        <v>358</v>
      </c>
      <c r="I68" s="239" t="str">
        <f>IF(ISBLANK(input!I67),"",input!I67)</f>
        <v/>
      </c>
      <c r="K68" s="262" t="s">
        <v>4295</v>
      </c>
      <c r="O68" s="262">
        <v>0</v>
      </c>
    </row>
    <row r="69" spans="1:15" ht="12.75" customHeight="1" x14ac:dyDescent="0.2">
      <c r="A69" s="566"/>
      <c r="B69" s="566"/>
      <c r="C69" s="566" t="s">
        <v>405</v>
      </c>
      <c r="D69" s="566"/>
      <c r="E69" s="566"/>
      <c r="F69" s="566"/>
      <c r="G69" s="781" t="s">
        <v>406</v>
      </c>
      <c r="H69" s="567" t="s">
        <v>358</v>
      </c>
      <c r="I69" s="239" t="str">
        <f>IF(ISBLANK(input!I68),"",input!I68)</f>
        <v/>
      </c>
      <c r="K69" s="262" t="s">
        <v>4295</v>
      </c>
      <c r="O69" s="262">
        <v>0</v>
      </c>
    </row>
    <row r="70" spans="1:15" ht="12.75" customHeight="1" x14ac:dyDescent="0.2">
      <c r="A70" s="566"/>
      <c r="B70" s="566"/>
      <c r="C70" s="566" t="s">
        <v>407</v>
      </c>
      <c r="D70" s="566"/>
      <c r="E70" s="566"/>
      <c r="F70" s="566"/>
      <c r="G70" s="781" t="s">
        <v>408</v>
      </c>
      <c r="H70" s="567" t="s">
        <v>358</v>
      </c>
      <c r="I70" s="239" t="str">
        <f>IF(ISBLANK(input!I69),"",input!I69)</f>
        <v/>
      </c>
      <c r="K70" s="262" t="s">
        <v>4295</v>
      </c>
      <c r="O70" s="262">
        <v>0</v>
      </c>
    </row>
    <row r="71" spans="1:15" ht="12.75" customHeight="1" x14ac:dyDescent="0.2">
      <c r="A71" s="566"/>
      <c r="B71" s="566"/>
      <c r="C71" s="566" t="s">
        <v>409</v>
      </c>
      <c r="D71" s="566"/>
      <c r="E71" s="566"/>
      <c r="F71" s="566"/>
      <c r="G71" s="781" t="s">
        <v>410</v>
      </c>
      <c r="H71" s="567" t="s">
        <v>358</v>
      </c>
      <c r="I71" s="239" t="str">
        <f>IF(ISBLANK(input!I70),"",input!I70)</f>
        <v/>
      </c>
      <c r="K71" s="262" t="s">
        <v>4295</v>
      </c>
      <c r="O71" s="262">
        <v>0</v>
      </c>
    </row>
    <row r="72" spans="1:15" ht="12.75" customHeight="1" x14ac:dyDescent="0.2">
      <c r="A72" s="566"/>
      <c r="B72" s="566"/>
      <c r="C72" s="566" t="s">
        <v>411</v>
      </c>
      <c r="D72" s="566"/>
      <c r="E72" s="566"/>
      <c r="F72" s="566"/>
      <c r="G72" s="781" t="s">
        <v>412</v>
      </c>
      <c r="H72" s="567" t="s">
        <v>358</v>
      </c>
      <c r="I72" s="239" t="str">
        <f>IF(ISBLANK(input!I71),"",input!I71)</f>
        <v/>
      </c>
      <c r="K72" s="262" t="s">
        <v>4295</v>
      </c>
      <c r="O72" s="262">
        <v>0</v>
      </c>
    </row>
    <row r="73" spans="1:15" ht="12.75" customHeight="1" x14ac:dyDescent="0.2">
      <c r="A73" s="566"/>
      <c r="B73" s="566"/>
      <c r="C73" s="566" t="s">
        <v>413</v>
      </c>
      <c r="D73" s="566"/>
      <c r="E73" s="566"/>
      <c r="F73" s="566"/>
      <c r="G73" s="781" t="s">
        <v>414</v>
      </c>
      <c r="H73" s="567" t="s">
        <v>358</v>
      </c>
      <c r="I73" s="239" t="str">
        <f>IF(ISBLANK(input!I72),"",input!I72)</f>
        <v/>
      </c>
      <c r="K73" s="262" t="s">
        <v>4295</v>
      </c>
      <c r="O73" s="262">
        <v>0</v>
      </c>
    </row>
    <row r="74" spans="1:15" ht="12.75" customHeight="1" x14ac:dyDescent="0.2">
      <c r="A74" s="566"/>
      <c r="B74" s="566"/>
      <c r="C74" s="566" t="s">
        <v>415</v>
      </c>
      <c r="D74" s="566"/>
      <c r="E74" s="566"/>
      <c r="F74" s="566"/>
      <c r="G74" s="781" t="s">
        <v>416</v>
      </c>
      <c r="H74" s="567" t="s">
        <v>358</v>
      </c>
      <c r="I74" s="239" t="str">
        <f>IF(ISBLANK(input!I73),"",input!I73)</f>
        <v/>
      </c>
      <c r="K74" s="262" t="s">
        <v>4295</v>
      </c>
      <c r="O74" s="262">
        <v>0</v>
      </c>
    </row>
    <row r="75" spans="1:15" ht="12.75" customHeight="1" x14ac:dyDescent="0.2">
      <c r="A75" s="566"/>
      <c r="B75" s="566"/>
      <c r="C75" s="598" t="s">
        <v>417</v>
      </c>
      <c r="D75" s="598"/>
      <c r="E75" s="598"/>
      <c r="F75" s="598"/>
      <c r="G75" s="782" t="s">
        <v>418</v>
      </c>
      <c r="H75" s="601" t="s">
        <v>358</v>
      </c>
      <c r="I75" s="239" t="str">
        <f>IF(ISBLANK(input!I74),"",input!I74)</f>
        <v/>
      </c>
      <c r="K75" s="262" t="s">
        <v>4295</v>
      </c>
      <c r="O75" s="262">
        <v>0</v>
      </c>
    </row>
    <row r="76" spans="1:15" ht="12.75" customHeight="1" x14ac:dyDescent="0.2">
      <c r="A76" s="566"/>
      <c r="B76" s="566"/>
      <c r="C76" s="598"/>
      <c r="D76" s="598"/>
      <c r="E76" s="598"/>
      <c r="F76" s="598"/>
      <c r="G76" s="782"/>
      <c r="H76" s="601"/>
      <c r="I76" s="239" t="str">
        <f>IF(ISBLANK(input!I75),"",input!I75)</f>
        <v/>
      </c>
      <c r="K76" s="262" t="s">
        <v>4295</v>
      </c>
      <c r="O76" s="262" t="s">
        <v>4295</v>
      </c>
    </row>
    <row r="77" spans="1:15" ht="12.75" customHeight="1" x14ac:dyDescent="0.2">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2">
      <c r="A78" s="566"/>
      <c r="B78" s="566"/>
      <c r="C78" s="779" t="s">
        <v>355</v>
      </c>
      <c r="D78" s="566"/>
      <c r="E78" s="566"/>
      <c r="F78" s="566"/>
      <c r="G78" s="567"/>
      <c r="H78" s="567"/>
      <c r="I78" s="239" t="str">
        <f>IF(ISBLANK(input!I77),"",input!I77)</f>
        <v/>
      </c>
      <c r="K78" s="262" t="s">
        <v>4295</v>
      </c>
      <c r="O78" s="262" t="s">
        <v>4295</v>
      </c>
    </row>
    <row r="79" spans="1:15" ht="12.75" customHeight="1" x14ac:dyDescent="0.2">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2">
      <c r="A80" s="566"/>
      <c r="B80" s="566"/>
      <c r="C80" s="566"/>
      <c r="D80" s="566" t="s">
        <v>422</v>
      </c>
      <c r="E80" s="566"/>
      <c r="F80" s="566"/>
      <c r="G80" s="781" t="s">
        <v>423</v>
      </c>
      <c r="H80" s="567" t="s">
        <v>358</v>
      </c>
      <c r="I80" s="239"/>
    </row>
    <row r="81" spans="1:15" ht="12.75" customHeight="1" x14ac:dyDescent="0.2">
      <c r="A81" s="566"/>
      <c r="B81" s="566"/>
      <c r="C81" s="566"/>
      <c r="D81" s="566" t="s">
        <v>424</v>
      </c>
      <c r="E81" s="566"/>
      <c r="F81" s="566"/>
      <c r="G81" s="781" t="s">
        <v>425</v>
      </c>
      <c r="H81" s="567" t="s">
        <v>358</v>
      </c>
      <c r="I81" s="239"/>
    </row>
    <row r="82" spans="1:15" ht="12.75" customHeight="1" x14ac:dyDescent="0.2">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2">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2">
      <c r="A84" s="566"/>
      <c r="B84" s="566"/>
      <c r="C84" s="566"/>
      <c r="D84" s="566" t="s">
        <v>430</v>
      </c>
      <c r="E84" s="566"/>
      <c r="F84" s="566"/>
      <c r="G84" s="781" t="s">
        <v>431</v>
      </c>
      <c r="H84" s="567" t="s">
        <v>358</v>
      </c>
      <c r="I84" s="239"/>
    </row>
    <row r="85" spans="1:15" ht="12.75" customHeight="1" x14ac:dyDescent="0.2">
      <c r="A85" s="566"/>
      <c r="B85" s="566"/>
      <c r="C85" s="566"/>
      <c r="D85" s="566" t="s">
        <v>432</v>
      </c>
      <c r="E85" s="566"/>
      <c r="F85" s="566"/>
      <c r="G85" s="781" t="s">
        <v>433</v>
      </c>
      <c r="H85" s="567" t="s">
        <v>358</v>
      </c>
      <c r="I85" s="239"/>
    </row>
    <row r="86" spans="1:15" ht="12.75" customHeight="1" x14ac:dyDescent="0.2">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2">
      <c r="A87" s="566"/>
      <c r="B87" s="566"/>
      <c r="C87" s="566"/>
      <c r="D87" s="566" t="s">
        <v>436</v>
      </c>
      <c r="E87" s="566"/>
      <c r="F87" s="566"/>
      <c r="G87" s="781" t="s">
        <v>437</v>
      </c>
      <c r="H87" s="567" t="s">
        <v>358</v>
      </c>
      <c r="I87" s="239"/>
    </row>
    <row r="88" spans="1:15" ht="12.75" customHeight="1" x14ac:dyDescent="0.2">
      <c r="A88" s="566"/>
      <c r="B88" s="566"/>
      <c r="C88" s="566"/>
      <c r="D88" s="566" t="s">
        <v>438</v>
      </c>
      <c r="E88" s="566"/>
      <c r="F88" s="566"/>
      <c r="G88" s="781" t="s">
        <v>439</v>
      </c>
      <c r="H88" s="567" t="s">
        <v>358</v>
      </c>
      <c r="I88" s="239"/>
    </row>
    <row r="89" spans="1:15" ht="12.75" customHeight="1" x14ac:dyDescent="0.2">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2">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2">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2">
      <c r="A92" s="566"/>
      <c r="B92" s="566"/>
      <c r="C92" s="566"/>
      <c r="D92" s="566" t="s">
        <v>446</v>
      </c>
      <c r="E92" s="566"/>
      <c r="F92" s="566"/>
      <c r="G92" s="781" t="s">
        <v>447</v>
      </c>
      <c r="H92" s="567" t="s">
        <v>358</v>
      </c>
      <c r="I92" s="239"/>
    </row>
    <row r="93" spans="1:15" ht="12.75" customHeight="1" x14ac:dyDescent="0.2">
      <c r="A93" s="566"/>
      <c r="B93" s="566"/>
      <c r="C93" s="566"/>
      <c r="D93" s="566" t="s">
        <v>448</v>
      </c>
      <c r="E93" s="566"/>
      <c r="F93" s="566"/>
      <c r="G93" s="781" t="s">
        <v>449</v>
      </c>
      <c r="H93" s="567" t="s">
        <v>358</v>
      </c>
      <c r="I93" s="239"/>
    </row>
    <row r="94" spans="1:15" ht="12.75" customHeight="1" x14ac:dyDescent="0.2">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2">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2">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2">
      <c r="A97" s="566"/>
      <c r="B97" s="566"/>
      <c r="C97" s="566"/>
      <c r="D97" s="566" t="s">
        <v>456</v>
      </c>
      <c r="E97" s="566"/>
      <c r="F97" s="566"/>
      <c r="G97" s="781" t="s">
        <v>457</v>
      </c>
      <c r="H97" s="567" t="s">
        <v>358</v>
      </c>
      <c r="I97" s="239"/>
    </row>
    <row r="98" spans="1:15" ht="12.75" customHeight="1" x14ac:dyDescent="0.2">
      <c r="A98" s="566"/>
      <c r="B98" s="566"/>
      <c r="C98" s="566"/>
      <c r="D98" s="566" t="s">
        <v>458</v>
      </c>
      <c r="E98" s="566"/>
      <c r="F98" s="566"/>
      <c r="G98" s="781" t="s">
        <v>459</v>
      </c>
      <c r="H98" s="567" t="s">
        <v>358</v>
      </c>
      <c r="I98" s="239"/>
    </row>
    <row r="99" spans="1:15" ht="12.75" customHeight="1" x14ac:dyDescent="0.2">
      <c r="A99" s="566"/>
      <c r="B99" s="566"/>
      <c r="C99" s="566" t="s">
        <v>460</v>
      </c>
      <c r="D99" s="566"/>
      <c r="E99" s="566"/>
      <c r="F99" s="566"/>
      <c r="G99" s="781" t="s">
        <v>461</v>
      </c>
      <c r="H99" s="567" t="s">
        <v>358</v>
      </c>
      <c r="I99" s="239" t="str">
        <f>IF(ISBLANK(input!I98),"",input!I98)</f>
        <v/>
      </c>
      <c r="O99" s="262" t="s">
        <v>4295</v>
      </c>
    </row>
    <row r="100" spans="1:15" ht="12.75" customHeight="1" x14ac:dyDescent="0.2">
      <c r="A100" s="566"/>
      <c r="B100" s="566"/>
      <c r="C100" s="566"/>
      <c r="D100" s="566" t="s">
        <v>456</v>
      </c>
      <c r="E100" s="566"/>
      <c r="F100" s="566"/>
      <c r="G100" s="781" t="s">
        <v>462</v>
      </c>
      <c r="H100" s="567" t="s">
        <v>358</v>
      </c>
      <c r="I100" s="239"/>
    </row>
    <row r="101" spans="1:15" ht="12.75" customHeight="1" x14ac:dyDescent="0.2">
      <c r="A101" s="566"/>
      <c r="B101" s="566"/>
      <c r="C101" s="566"/>
      <c r="D101" s="566" t="s">
        <v>458</v>
      </c>
      <c r="E101" s="566"/>
      <c r="F101" s="566"/>
      <c r="G101" s="781" t="s">
        <v>463</v>
      </c>
      <c r="H101" s="567" t="s">
        <v>358</v>
      </c>
      <c r="I101" s="239"/>
    </row>
    <row r="102" spans="1:15" ht="12.75" customHeight="1" x14ac:dyDescent="0.2">
      <c r="A102" s="566"/>
      <c r="B102" s="566"/>
      <c r="C102" s="779" t="s">
        <v>4394</v>
      </c>
      <c r="D102" s="566"/>
      <c r="E102" s="566"/>
      <c r="F102" s="566"/>
      <c r="G102" s="781"/>
      <c r="H102" s="567"/>
      <c r="I102" s="239" t="str">
        <f>IF(ISBLANK(input!I101),"",input!I101)</f>
        <v/>
      </c>
      <c r="O102" s="262" t="s">
        <v>4295</v>
      </c>
    </row>
    <row r="103" spans="1:15" ht="12.75" customHeight="1" x14ac:dyDescent="0.2">
      <c r="A103" s="566"/>
      <c r="B103" s="566"/>
      <c r="C103" s="566" t="s">
        <v>469</v>
      </c>
      <c r="D103" s="566"/>
      <c r="E103" s="566"/>
      <c r="F103" s="566"/>
      <c r="G103" s="781" t="s">
        <v>466</v>
      </c>
      <c r="H103" s="567" t="s">
        <v>358</v>
      </c>
      <c r="I103" s="239" t="str">
        <f>IF(ISBLANK(input!I102),"",input!I102)</f>
        <v/>
      </c>
      <c r="O103" s="262" t="s">
        <v>4295</v>
      </c>
    </row>
    <row r="104" spans="1:15" ht="12.75" customHeight="1" x14ac:dyDescent="0.2">
      <c r="A104" s="566"/>
      <c r="B104" s="566"/>
      <c r="C104" s="566" t="s">
        <v>471</v>
      </c>
      <c r="D104" s="566"/>
      <c r="E104" s="566"/>
      <c r="F104" s="566"/>
      <c r="G104" s="781" t="s">
        <v>468</v>
      </c>
      <c r="H104" s="567" t="s">
        <v>358</v>
      </c>
      <c r="I104" s="239" t="str">
        <f>IF(ISBLANK(input!I103),"",input!I103)</f>
        <v/>
      </c>
      <c r="O104" s="262" t="s">
        <v>4295</v>
      </c>
    </row>
    <row r="105" spans="1:15" ht="12.75" customHeight="1" x14ac:dyDescent="0.2">
      <c r="A105" s="566"/>
      <c r="B105" s="566"/>
      <c r="C105" s="566" t="s">
        <v>469</v>
      </c>
      <c r="D105" s="566"/>
      <c r="E105" s="566"/>
      <c r="F105" s="566"/>
      <c r="G105" s="781" t="s">
        <v>470</v>
      </c>
      <c r="H105" s="567" t="s">
        <v>358</v>
      </c>
      <c r="I105" s="239" t="str">
        <f>IF(ISBLANK(input!I104),"",input!I104)</f>
        <v/>
      </c>
      <c r="O105" s="262" t="s">
        <v>4295</v>
      </c>
    </row>
    <row r="106" spans="1:15" ht="12.75" customHeight="1" x14ac:dyDescent="0.2">
      <c r="A106" s="566"/>
      <c r="B106" s="566"/>
      <c r="C106" s="566" t="s">
        <v>471</v>
      </c>
      <c r="D106" s="566"/>
      <c r="E106" s="566"/>
      <c r="F106" s="566"/>
      <c r="G106" s="781" t="s">
        <v>472</v>
      </c>
      <c r="H106" s="567" t="s">
        <v>358</v>
      </c>
      <c r="I106" s="239" t="str">
        <f>IF(ISBLANK(input!I105),"",input!I105)</f>
        <v/>
      </c>
      <c r="O106" s="262" t="s">
        <v>4295</v>
      </c>
    </row>
    <row r="107" spans="1:15" ht="12.75" customHeight="1" x14ac:dyDescent="0.2">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2">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2">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2">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2">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2">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2">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2">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2">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2">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2">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2">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2">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2">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2">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2">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2">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2">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2">
      <c r="A125" s="566"/>
      <c r="B125" s="566"/>
      <c r="C125" s="566"/>
      <c r="D125" s="566"/>
      <c r="E125" s="566"/>
      <c r="F125" s="566"/>
      <c r="G125" s="781"/>
      <c r="H125" s="567"/>
      <c r="I125" s="239" t="str">
        <f>IF(ISBLANK(input!I124),"",input!I124)</f>
        <v/>
      </c>
      <c r="K125" s="262" t="s">
        <v>4295</v>
      </c>
      <c r="O125" s="262" t="s">
        <v>4295</v>
      </c>
    </row>
    <row r="126" spans="1:15" ht="12.75" customHeight="1" x14ac:dyDescent="0.2">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2">
      <c r="A127" s="17"/>
      <c r="B127" s="17"/>
      <c r="C127" s="17"/>
      <c r="D127" s="17"/>
      <c r="E127" s="17"/>
      <c r="F127" s="17"/>
      <c r="G127" s="38"/>
      <c r="H127" s="38"/>
      <c r="I127" s="239" t="str">
        <f>IF(ISBLANK(input!I126),"",input!I126)</f>
        <v/>
      </c>
      <c r="O127" s="262" t="s">
        <v>4295</v>
      </c>
    </row>
    <row r="128" spans="1:15" ht="12.75" customHeight="1" x14ac:dyDescent="0.2">
      <c r="A128" s="760"/>
      <c r="B128" s="761" t="s">
        <v>147</v>
      </c>
      <c r="C128" s="357"/>
      <c r="D128" s="168"/>
      <c r="E128" s="168"/>
      <c r="F128" s="168"/>
      <c r="G128" s="357"/>
      <c r="H128" s="357"/>
      <c r="I128" s="239" t="str">
        <f>IF(ISBLANK(input!I127),"",input!I127)</f>
        <v/>
      </c>
      <c r="O128" s="262" t="s">
        <v>4295</v>
      </c>
    </row>
    <row r="129" spans="1:15" ht="12.75" customHeight="1" x14ac:dyDescent="0.2">
      <c r="A129" s="759"/>
      <c r="B129" s="74" t="s">
        <v>82</v>
      </c>
      <c r="C129" s="17"/>
      <c r="D129" s="17"/>
      <c r="E129" s="17"/>
      <c r="F129" s="17"/>
      <c r="G129" s="38"/>
      <c r="H129" s="38"/>
      <c r="I129" s="239" t="str">
        <f>IF(ISBLANK(input!I128),"",input!I128)</f>
        <v/>
      </c>
      <c r="O129" s="262" t="s">
        <v>4295</v>
      </c>
    </row>
    <row r="130" spans="1:15" ht="12.75" customHeight="1" x14ac:dyDescent="0.2">
      <c r="A130" s="759"/>
      <c r="B130" s="38"/>
      <c r="C130" s="38" t="s">
        <v>510</v>
      </c>
      <c r="D130" s="17"/>
      <c r="E130" s="17"/>
      <c r="F130" s="17"/>
      <c r="G130" s="38" t="s">
        <v>511</v>
      </c>
      <c r="H130" s="38" t="s">
        <v>512</v>
      </c>
      <c r="I130" s="239" t="str">
        <f>IF(ISBLANK(input!I129),"",input!I129)</f>
        <v/>
      </c>
      <c r="L130" s="262">
        <v>0</v>
      </c>
      <c r="O130" s="735">
        <v>2</v>
      </c>
    </row>
    <row r="131" spans="1:15" ht="12.75" customHeight="1" x14ac:dyDescent="0.2">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2">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2">
      <c r="A133" s="759"/>
      <c r="B133" s="38"/>
      <c r="C133" s="38" t="s">
        <v>518</v>
      </c>
      <c r="D133" s="17"/>
      <c r="E133" s="17"/>
      <c r="F133" s="17"/>
      <c r="G133" s="38" t="s">
        <v>519</v>
      </c>
      <c r="H133" s="38" t="s">
        <v>512</v>
      </c>
      <c r="I133" s="239" t="str">
        <f>IF(ISBLANK(input!I132),"",input!I132)</f>
        <v/>
      </c>
      <c r="L133" s="262">
        <v>0</v>
      </c>
      <c r="O133" s="735">
        <v>0</v>
      </c>
    </row>
    <row r="134" spans="1:15" ht="12.75" customHeight="1" x14ac:dyDescent="0.2">
      <c r="A134" s="759"/>
      <c r="B134" s="38"/>
      <c r="C134" s="38" t="s">
        <v>520</v>
      </c>
      <c r="D134" s="17"/>
      <c r="E134" s="17"/>
      <c r="F134" s="17"/>
      <c r="G134" s="38" t="s">
        <v>521</v>
      </c>
      <c r="H134" s="38" t="s">
        <v>512</v>
      </c>
      <c r="I134" s="239" t="str">
        <f>IF(ISBLANK(input!I133),"",input!I133)</f>
        <v/>
      </c>
      <c r="L134" s="262">
        <v>0</v>
      </c>
      <c r="O134" s="735">
        <v>0</v>
      </c>
    </row>
    <row r="135" spans="1:15" ht="12.75" customHeight="1" x14ac:dyDescent="0.2">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2">
      <c r="A136" s="759"/>
      <c r="B136" s="38"/>
      <c r="C136" s="38" t="s">
        <v>525</v>
      </c>
      <c r="D136" s="17"/>
      <c r="E136" s="17"/>
      <c r="F136" s="17"/>
      <c r="G136" s="38" t="s">
        <v>526</v>
      </c>
      <c r="H136" s="38" t="s">
        <v>512</v>
      </c>
      <c r="I136" s="239" t="str">
        <f>IF(ISBLANK(input!I135),"",input!I135)</f>
        <v/>
      </c>
      <c r="L136" s="262">
        <v>0</v>
      </c>
      <c r="O136" s="735">
        <v>1</v>
      </c>
    </row>
    <row r="137" spans="1:15" ht="12.75" customHeight="1" x14ac:dyDescent="0.2">
      <c r="A137" s="759"/>
      <c r="B137" s="74" t="s">
        <v>235</v>
      </c>
      <c r="C137" s="17"/>
      <c r="D137" s="17"/>
      <c r="E137" s="17"/>
      <c r="F137" s="17"/>
      <c r="G137" s="149"/>
      <c r="H137" s="38"/>
      <c r="I137" s="239" t="str">
        <f>IF(ISBLANK(input!I136),"",input!I136)</f>
        <v/>
      </c>
      <c r="O137" s="735" t="s">
        <v>4295</v>
      </c>
    </row>
    <row r="138" spans="1:15" ht="12.75" customHeight="1" x14ac:dyDescent="0.2">
      <c r="A138" s="759"/>
      <c r="B138" s="38"/>
      <c r="C138" s="38" t="s">
        <v>510</v>
      </c>
      <c r="D138" s="17"/>
      <c r="E138" s="17"/>
      <c r="F138" s="17"/>
      <c r="G138" s="38" t="s">
        <v>527</v>
      </c>
      <c r="H138" s="38" t="s">
        <v>512</v>
      </c>
      <c r="I138" s="239" t="str">
        <f>IF(ISBLANK(input!I137),"",input!I137)</f>
        <v/>
      </c>
      <c r="O138" s="735">
        <v>18</v>
      </c>
    </row>
    <row r="139" spans="1:15" ht="12.75" customHeight="1" x14ac:dyDescent="0.2">
      <c r="A139" s="759"/>
      <c r="B139" s="38"/>
      <c r="C139" s="38" t="s">
        <v>514</v>
      </c>
      <c r="D139" s="17"/>
      <c r="E139" s="17"/>
      <c r="F139" s="17"/>
      <c r="G139" s="38" t="s">
        <v>528</v>
      </c>
      <c r="H139" s="38" t="s">
        <v>512</v>
      </c>
      <c r="I139" s="239" t="str">
        <f>IF(ISBLANK(input!I138),"",input!I138)</f>
        <v/>
      </c>
      <c r="O139" s="735">
        <v>2.93</v>
      </c>
    </row>
    <row r="140" spans="1:15" ht="12.75" customHeight="1" x14ac:dyDescent="0.2">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2">
      <c r="A141" s="759"/>
      <c r="B141" s="38"/>
      <c r="C141" s="38" t="s">
        <v>518</v>
      </c>
      <c r="D141" s="17"/>
      <c r="E141" s="17"/>
      <c r="F141" s="17"/>
      <c r="G141" s="38" t="s">
        <v>530</v>
      </c>
      <c r="H141" s="38" t="s">
        <v>512</v>
      </c>
      <c r="I141" s="239" t="str">
        <f>IF(ISBLANK(input!I140),"",input!I140)</f>
        <v/>
      </c>
      <c r="O141" s="735">
        <v>0</v>
      </c>
    </row>
    <row r="142" spans="1:15" ht="12.75" customHeight="1" x14ac:dyDescent="0.2">
      <c r="A142" s="759"/>
      <c r="B142" s="38"/>
      <c r="C142" s="38" t="s">
        <v>520</v>
      </c>
      <c r="D142" s="17"/>
      <c r="E142" s="17"/>
      <c r="F142" s="17"/>
      <c r="G142" s="38" t="s">
        <v>531</v>
      </c>
      <c r="H142" s="38" t="s">
        <v>512</v>
      </c>
      <c r="I142" s="239" t="str">
        <f>IF(ISBLANK(input!I141),"",input!I141)</f>
        <v/>
      </c>
      <c r="O142" s="735">
        <v>0</v>
      </c>
    </row>
    <row r="143" spans="1:15" ht="12.75" customHeight="1" x14ac:dyDescent="0.2">
      <c r="A143" s="759"/>
      <c r="B143" s="38"/>
      <c r="C143" s="38" t="s">
        <v>522</v>
      </c>
      <c r="D143" s="17"/>
      <c r="E143" s="17"/>
      <c r="F143" s="17"/>
      <c r="G143" s="38" t="s">
        <v>532</v>
      </c>
      <c r="H143" s="38" t="s">
        <v>512</v>
      </c>
      <c r="I143" s="239" t="str">
        <f>IF(ISBLANK(input!I142),"",input!I142)</f>
        <v/>
      </c>
      <c r="O143" s="735">
        <v>1620</v>
      </c>
    </row>
    <row r="144" spans="1:15" ht="12.75" customHeight="1" x14ac:dyDescent="0.2">
      <c r="A144" s="759"/>
      <c r="B144" s="38"/>
      <c r="C144" s="38" t="s">
        <v>525</v>
      </c>
      <c r="D144" s="17"/>
      <c r="E144" s="17"/>
      <c r="F144" s="17"/>
      <c r="G144" s="38" t="s">
        <v>533</v>
      </c>
      <c r="H144" s="38" t="s">
        <v>512</v>
      </c>
      <c r="I144" s="239" t="str">
        <f>IF(ISBLANK(input!I143),"",input!I143)</f>
        <v/>
      </c>
      <c r="O144" s="735">
        <v>9</v>
      </c>
    </row>
    <row r="145" spans="1:15" ht="12.75" customHeight="1" x14ac:dyDescent="0.2">
      <c r="A145" s="759"/>
      <c r="B145" s="74" t="s">
        <v>251</v>
      </c>
      <c r="C145" s="17"/>
      <c r="D145" s="17"/>
      <c r="E145" s="17"/>
      <c r="F145" s="17"/>
      <c r="G145" s="149"/>
      <c r="H145" s="38"/>
      <c r="I145" s="239" t="str">
        <f>IF(ISBLANK(input!I144),"",input!I144)</f>
        <v/>
      </c>
      <c r="O145" s="262" t="s">
        <v>4295</v>
      </c>
    </row>
    <row r="146" spans="1:15" ht="12.75" customHeight="1" x14ac:dyDescent="0.2">
      <c r="A146" s="759"/>
      <c r="B146" s="38"/>
      <c r="C146" s="38" t="s">
        <v>510</v>
      </c>
      <c r="D146" s="17"/>
      <c r="E146" s="17"/>
      <c r="F146" s="17"/>
      <c r="G146" s="38" t="s">
        <v>534</v>
      </c>
      <c r="H146" s="38" t="s">
        <v>512</v>
      </c>
      <c r="I146" s="239" t="str">
        <f>IF(ISBLANK(input!I145),"",input!I145)</f>
        <v/>
      </c>
      <c r="O146" s="262" t="s">
        <v>4295</v>
      </c>
    </row>
    <row r="147" spans="1:15" ht="12.75" customHeight="1" x14ac:dyDescent="0.2">
      <c r="A147" s="759"/>
      <c r="B147" s="38"/>
      <c r="C147" s="38" t="s">
        <v>535</v>
      </c>
      <c r="D147" s="17"/>
      <c r="E147" s="17"/>
      <c r="F147" s="17"/>
      <c r="G147" s="38" t="s">
        <v>536</v>
      </c>
      <c r="H147" s="38" t="s">
        <v>512</v>
      </c>
      <c r="I147" s="239" t="str">
        <f>IF(ISBLANK(input!I146),"",input!I146)</f>
        <v/>
      </c>
      <c r="O147" s="262" t="s">
        <v>4295</v>
      </c>
    </row>
    <row r="148" spans="1:15" ht="12.75" customHeight="1" x14ac:dyDescent="0.2">
      <c r="A148" s="759"/>
      <c r="B148" s="38"/>
      <c r="C148" s="38" t="s">
        <v>537</v>
      </c>
      <c r="D148" s="17"/>
      <c r="E148" s="17"/>
      <c r="F148" s="17"/>
      <c r="G148" s="38" t="s">
        <v>538</v>
      </c>
      <c r="H148" s="38" t="s">
        <v>512</v>
      </c>
      <c r="I148" s="239" t="str">
        <f>IF(ISBLANK(input!I147),"",input!I147)</f>
        <v/>
      </c>
      <c r="O148" s="262" t="s">
        <v>4295</v>
      </c>
    </row>
    <row r="149" spans="1:15" ht="12.75" customHeight="1" x14ac:dyDescent="0.2">
      <c r="A149" s="759"/>
      <c r="B149" s="3" t="s">
        <v>252</v>
      </c>
      <c r="C149" s="38"/>
      <c r="D149" s="17"/>
      <c r="E149" s="17"/>
      <c r="F149" s="17"/>
      <c r="G149" s="149"/>
      <c r="H149" s="38"/>
      <c r="I149" s="239" t="str">
        <f>IF(ISBLANK(input!I148),"",input!I148)</f>
        <v/>
      </c>
      <c r="O149" s="262" t="s">
        <v>4295</v>
      </c>
    </row>
    <row r="150" spans="1:15" ht="12.75" customHeight="1" x14ac:dyDescent="0.2">
      <c r="A150" s="759"/>
      <c r="B150" s="38"/>
      <c r="C150" s="38" t="s">
        <v>510</v>
      </c>
      <c r="D150" s="17"/>
      <c r="E150" s="17"/>
      <c r="F150" s="17"/>
      <c r="G150" s="38" t="s">
        <v>539</v>
      </c>
      <c r="H150" s="38" t="s">
        <v>512</v>
      </c>
      <c r="I150" s="239" t="str">
        <f>IF(ISBLANK(input!I149),"",input!I149)</f>
        <v/>
      </c>
      <c r="O150" s="262" t="s">
        <v>4295</v>
      </c>
    </row>
    <row r="151" spans="1:15" ht="12.75" customHeight="1" x14ac:dyDescent="0.2">
      <c r="A151" s="759"/>
      <c r="B151" s="38"/>
      <c r="C151" s="38" t="s">
        <v>535</v>
      </c>
      <c r="D151" s="17"/>
      <c r="E151" s="17"/>
      <c r="F151" s="17"/>
      <c r="G151" s="38" t="s">
        <v>540</v>
      </c>
      <c r="H151" s="38" t="s">
        <v>512</v>
      </c>
      <c r="I151" s="239" t="str">
        <f>IF(ISBLANK(input!I150),"",input!I150)</f>
        <v/>
      </c>
      <c r="O151" s="262" t="s">
        <v>4295</v>
      </c>
    </row>
    <row r="152" spans="1:15" ht="12.75" customHeight="1" x14ac:dyDescent="0.2">
      <c r="A152" s="759"/>
      <c r="B152" s="38"/>
      <c r="C152" s="38" t="s">
        <v>537</v>
      </c>
      <c r="D152" s="17"/>
      <c r="E152" s="17"/>
      <c r="F152" s="17"/>
      <c r="G152" s="38" t="s">
        <v>541</v>
      </c>
      <c r="H152" s="38" t="s">
        <v>512</v>
      </c>
      <c r="I152" s="239" t="str">
        <f>IF(ISBLANK(input!I151),"",input!I151)</f>
        <v/>
      </c>
      <c r="O152" s="262" t="s">
        <v>4295</v>
      </c>
    </row>
    <row r="153" spans="1:15" ht="12.75" customHeight="1" x14ac:dyDescent="0.2">
      <c r="A153" s="759"/>
      <c r="B153" s="74" t="s">
        <v>542</v>
      </c>
      <c r="C153" s="17"/>
      <c r="D153" s="17"/>
      <c r="E153" s="17"/>
      <c r="F153" s="17"/>
      <c r="G153" s="149"/>
      <c r="H153" s="38"/>
      <c r="I153" s="239" t="str">
        <f>IF(ISBLANK(input!I152),"",input!I152)</f>
        <v/>
      </c>
      <c r="O153" s="262" t="s">
        <v>4295</v>
      </c>
    </row>
    <row r="154" spans="1:15" ht="12.75" customHeight="1" x14ac:dyDescent="0.2">
      <c r="A154" s="759"/>
      <c r="B154" s="38"/>
      <c r="C154" s="38" t="s">
        <v>510</v>
      </c>
      <c r="D154" s="17"/>
      <c r="E154" s="17"/>
      <c r="F154" s="17"/>
      <c r="G154" s="38" t="s">
        <v>543</v>
      </c>
      <c r="H154" s="38" t="s">
        <v>512</v>
      </c>
      <c r="I154" s="239" t="str">
        <f>IF(ISBLANK(input!I153),"",input!I153)</f>
        <v/>
      </c>
      <c r="O154" s="262" t="s">
        <v>4295</v>
      </c>
    </row>
    <row r="155" spans="1:15" ht="12.75" customHeight="1" x14ac:dyDescent="0.2">
      <c r="A155" s="759"/>
      <c r="B155" s="38"/>
      <c r="C155" s="38" t="s">
        <v>535</v>
      </c>
      <c r="D155" s="17"/>
      <c r="E155" s="17"/>
      <c r="F155" s="17"/>
      <c r="G155" s="38" t="s">
        <v>544</v>
      </c>
      <c r="H155" s="38" t="s">
        <v>512</v>
      </c>
      <c r="I155" s="239" t="str">
        <f>IF(ISBLANK(input!I154),"",input!I154)</f>
        <v/>
      </c>
      <c r="O155" s="262" t="s">
        <v>4295</v>
      </c>
    </row>
    <row r="156" spans="1:15" ht="12.75" customHeight="1" x14ac:dyDescent="0.2">
      <c r="A156" s="759"/>
      <c r="B156" s="38"/>
      <c r="C156" s="38" t="s">
        <v>537</v>
      </c>
      <c r="D156" s="17"/>
      <c r="E156" s="17"/>
      <c r="F156" s="17"/>
      <c r="G156" s="38" t="s">
        <v>545</v>
      </c>
      <c r="H156" s="38" t="s">
        <v>512</v>
      </c>
      <c r="I156" s="239" t="str">
        <f>IF(ISBLANK(input!I155),"",input!I155)</f>
        <v/>
      </c>
      <c r="O156" s="262" t="s">
        <v>4295</v>
      </c>
    </row>
    <row r="157" spans="1:15" ht="12.75" customHeight="1" x14ac:dyDescent="0.2">
      <c r="A157" s="566"/>
      <c r="B157" s="566"/>
      <c r="C157" s="577"/>
      <c r="D157" s="577"/>
      <c r="E157" s="577"/>
      <c r="F157" s="577"/>
      <c r="G157" s="802"/>
      <c r="H157" s="602"/>
      <c r="I157" s="239" t="str">
        <f>IF(ISBLANK(input!I156),"",input!I156)</f>
        <v/>
      </c>
      <c r="O157" s="262" t="s">
        <v>4295</v>
      </c>
    </row>
    <row r="158" spans="1:15" ht="12.75" customHeight="1" x14ac:dyDescent="0.2">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2">
      <c r="A159" s="38"/>
      <c r="B159" s="17"/>
      <c r="C159" s="17"/>
      <c r="D159" s="17"/>
      <c r="E159" s="17"/>
      <c r="F159" s="17"/>
      <c r="G159" s="38"/>
      <c r="H159" s="38"/>
      <c r="I159" s="239" t="str">
        <f>IF(ISBLANK(input!I158),"",input!I158)</f>
        <v/>
      </c>
      <c r="O159" s="262" t="s">
        <v>4295</v>
      </c>
    </row>
    <row r="160" spans="1:15" ht="12.75" customHeight="1" x14ac:dyDescent="0.2">
      <c r="A160" s="38"/>
      <c r="B160" s="144" t="s">
        <v>547</v>
      </c>
      <c r="C160" s="145"/>
      <c r="D160" s="145"/>
      <c r="E160" s="145"/>
      <c r="F160" s="145"/>
      <c r="G160" s="144" t="s">
        <v>548</v>
      </c>
      <c r="H160" s="144"/>
      <c r="I160" s="239" t="str">
        <f>IF(ISBLANK(input!I159),"",input!I159)</f>
        <v/>
      </c>
      <c r="O160" s="262" t="s">
        <v>4295</v>
      </c>
    </row>
    <row r="161" spans="1:15" ht="12.75" customHeight="1" x14ac:dyDescent="0.2">
      <c r="A161" s="17"/>
      <c r="B161" s="38" t="s">
        <v>550</v>
      </c>
      <c r="C161" s="17"/>
      <c r="D161" s="17"/>
      <c r="E161" s="17"/>
      <c r="F161" s="17"/>
      <c r="G161" s="38" t="s">
        <v>551</v>
      </c>
      <c r="H161" s="38" t="s">
        <v>552</v>
      </c>
      <c r="I161" s="239" t="str">
        <f>IF(ISBLANK(input!I160),"",input!I160)</f>
        <v/>
      </c>
      <c r="O161" s="262" t="s">
        <v>4295</v>
      </c>
    </row>
    <row r="162" spans="1:15" ht="12.75" customHeight="1" x14ac:dyDescent="0.2">
      <c r="A162" s="17"/>
      <c r="B162" s="38"/>
      <c r="C162" s="17"/>
      <c r="D162" s="17"/>
      <c r="E162" s="17"/>
      <c r="F162" s="17"/>
      <c r="G162" s="38"/>
      <c r="H162" s="38"/>
      <c r="I162" s="239" t="str">
        <f>IF(ISBLANK(input!I161),"",input!I161)</f>
        <v/>
      </c>
      <c r="O162" s="262" t="s">
        <v>4295</v>
      </c>
    </row>
    <row r="163" spans="1:15" ht="12.75" customHeight="1" x14ac:dyDescent="0.2">
      <c r="A163" s="38"/>
      <c r="B163" s="38" t="s">
        <v>554</v>
      </c>
      <c r="C163" s="17"/>
      <c r="D163" s="17"/>
      <c r="E163" s="17"/>
      <c r="F163" s="17"/>
      <c r="G163" s="146" t="s">
        <v>555</v>
      </c>
      <c r="H163" s="38" t="s">
        <v>314</v>
      </c>
      <c r="I163" s="239" t="str">
        <f>IF(ISBLANK(input!I162),"",input!I162)</f>
        <v/>
      </c>
      <c r="O163" s="262" t="s">
        <v>4295</v>
      </c>
    </row>
    <row r="164" spans="1:15" ht="12.75" customHeight="1" x14ac:dyDescent="0.2">
      <c r="A164" s="38"/>
      <c r="B164" s="38" t="s">
        <v>557</v>
      </c>
      <c r="C164" s="17"/>
      <c r="D164" s="17"/>
      <c r="E164" s="17"/>
      <c r="F164" s="17"/>
      <c r="G164" s="539" t="s">
        <v>558</v>
      </c>
      <c r="H164" s="38" t="s">
        <v>314</v>
      </c>
      <c r="I164" s="239" t="str">
        <f>IF(ISBLANK(input!I163),"",input!I163)</f>
        <v/>
      </c>
      <c r="O164" s="262" t="s">
        <v>4295</v>
      </c>
    </row>
    <row r="165" spans="1:15" ht="12.75" customHeight="1" x14ac:dyDescent="0.2">
      <c r="A165" s="38"/>
      <c r="B165" s="38" t="s">
        <v>559</v>
      </c>
      <c r="C165" s="146"/>
      <c r="D165" s="17"/>
      <c r="E165" s="17"/>
      <c r="F165" s="17"/>
      <c r="G165" s="146" t="s">
        <v>560</v>
      </c>
      <c r="H165" s="38" t="s">
        <v>314</v>
      </c>
      <c r="I165" s="239" t="str">
        <f>IF(ISBLANK(input!I164),"",input!I164)</f>
        <v/>
      </c>
      <c r="O165" s="262" t="s">
        <v>4295</v>
      </c>
    </row>
    <row r="166" spans="1:15" ht="12.75" customHeight="1" x14ac:dyDescent="0.2">
      <c r="A166" s="17"/>
      <c r="B166" s="17"/>
      <c r="C166" s="38" t="s">
        <v>561</v>
      </c>
      <c r="D166" s="17"/>
      <c r="E166" s="17"/>
      <c r="F166" s="17"/>
      <c r="G166" s="38" t="s">
        <v>562</v>
      </c>
      <c r="H166" s="38" t="s">
        <v>314</v>
      </c>
      <c r="I166" s="239" t="str">
        <f>IF(ISBLANK(input!I165),"",input!I165)</f>
        <v/>
      </c>
      <c r="O166" s="262" t="s">
        <v>4295</v>
      </c>
    </row>
    <row r="167" spans="1:15" ht="12.75" customHeight="1" x14ac:dyDescent="0.2">
      <c r="A167" s="17"/>
      <c r="B167" s="17"/>
      <c r="C167" s="38" t="s">
        <v>563</v>
      </c>
      <c r="D167" s="17"/>
      <c r="E167" s="17"/>
      <c r="F167" s="17"/>
      <c r="G167" s="540" t="s">
        <v>564</v>
      </c>
      <c r="H167" s="38" t="s">
        <v>314</v>
      </c>
      <c r="I167" s="239" t="str">
        <f>IF(ISBLANK(input!I166),"",input!I166)</f>
        <v/>
      </c>
      <c r="O167" s="262" t="s">
        <v>4295</v>
      </c>
    </row>
    <row r="168" spans="1:15" ht="12.75" customHeight="1" x14ac:dyDescent="0.2">
      <c r="A168" s="17"/>
      <c r="B168" s="17"/>
      <c r="C168" s="38" t="s">
        <v>565</v>
      </c>
      <c r="D168" s="17"/>
      <c r="E168" s="17"/>
      <c r="F168" s="17"/>
      <c r="G168" s="38" t="s">
        <v>566</v>
      </c>
      <c r="H168" s="38"/>
      <c r="I168" s="239" t="str">
        <f>IF(ISBLANK(input!I167),"",input!I167)</f>
        <v/>
      </c>
      <c r="O168" s="262" t="s">
        <v>4295</v>
      </c>
    </row>
    <row r="169" spans="1:15" ht="12.75" customHeight="1" x14ac:dyDescent="0.2">
      <c r="A169" s="17"/>
      <c r="B169" s="17"/>
      <c r="C169" s="38" t="s">
        <v>567</v>
      </c>
      <c r="D169" s="17"/>
      <c r="E169" s="17"/>
      <c r="F169" s="17"/>
      <c r="G169" s="38" t="s">
        <v>568</v>
      </c>
      <c r="H169" s="38" t="s">
        <v>314</v>
      </c>
      <c r="I169" s="239" t="str">
        <f>IF(ISBLANK(input!I168),"",input!I168)</f>
        <v/>
      </c>
      <c r="O169" s="262" t="s">
        <v>4295</v>
      </c>
    </row>
    <row r="170" spans="1:15" ht="12.75" customHeight="1" x14ac:dyDescent="0.2">
      <c r="A170" s="565"/>
      <c r="B170" s="566"/>
      <c r="C170" s="566" t="s">
        <v>570</v>
      </c>
      <c r="D170" s="566"/>
      <c r="E170" s="566"/>
      <c r="F170" s="566"/>
      <c r="G170" s="567" t="s">
        <v>571</v>
      </c>
      <c r="H170" s="567" t="s">
        <v>314</v>
      </c>
      <c r="I170" s="239" t="str">
        <f>IF(ISBLANK(input!I169),"",input!I169)</f>
        <v/>
      </c>
      <c r="O170" s="262" t="s">
        <v>4295</v>
      </c>
    </row>
    <row r="171" spans="1:15" ht="12.75" customHeight="1" x14ac:dyDescent="0.2">
      <c r="A171" s="3"/>
      <c r="B171" s="17"/>
      <c r="C171" s="17" t="s">
        <v>572</v>
      </c>
      <c r="D171" s="17"/>
      <c r="E171" s="17"/>
      <c r="F171" s="17"/>
      <c r="G171" s="38" t="s">
        <v>573</v>
      </c>
      <c r="H171" s="38" t="s">
        <v>314</v>
      </c>
      <c r="I171" s="239" t="str">
        <f>IF(ISBLANK(input!I170),"",input!I170)</f>
        <v/>
      </c>
      <c r="O171" s="262" t="s">
        <v>4295</v>
      </c>
    </row>
    <row r="172" spans="1:15" ht="12.75" customHeight="1" x14ac:dyDescent="0.2">
      <c r="A172" s="3"/>
      <c r="B172" s="17"/>
      <c r="C172" s="17" t="s">
        <v>574</v>
      </c>
      <c r="D172" s="17"/>
      <c r="E172" s="17"/>
      <c r="F172" s="17"/>
      <c r="G172" s="38" t="s">
        <v>575</v>
      </c>
      <c r="H172" s="38" t="s">
        <v>314</v>
      </c>
      <c r="I172" s="239" t="str">
        <f>IF(ISBLANK(input!I171),"",input!I171)</f>
        <v/>
      </c>
      <c r="O172" s="262" t="s">
        <v>4295</v>
      </c>
    </row>
    <row r="173" spans="1:15" ht="12.75" customHeight="1" x14ac:dyDescent="0.2">
      <c r="A173" s="3"/>
      <c r="B173" s="17"/>
      <c r="C173" s="17" t="s">
        <v>576</v>
      </c>
      <c r="D173" s="17"/>
      <c r="E173" s="17"/>
      <c r="F173" s="17"/>
      <c r="G173" s="38" t="s">
        <v>577</v>
      </c>
      <c r="H173" s="38" t="s">
        <v>314</v>
      </c>
      <c r="I173" s="239" t="str">
        <f>IF(ISBLANK(input!I172),"",input!I172)</f>
        <v/>
      </c>
      <c r="O173" s="262" t="s">
        <v>4295</v>
      </c>
    </row>
    <row r="174" spans="1:15" ht="12.75" customHeight="1" x14ac:dyDescent="0.2">
      <c r="A174" s="3"/>
      <c r="B174" s="17"/>
      <c r="C174" s="17" t="s">
        <v>578</v>
      </c>
      <c r="D174" s="17"/>
      <c r="E174" s="17"/>
      <c r="F174" s="17"/>
      <c r="G174" s="38" t="s">
        <v>579</v>
      </c>
      <c r="H174" s="38" t="s">
        <v>314</v>
      </c>
      <c r="I174" s="239" t="str">
        <f>IF(ISBLANK(input!I173),"",input!I173)</f>
        <v/>
      </c>
      <c r="O174" s="262" t="s">
        <v>4295</v>
      </c>
    </row>
    <row r="175" spans="1:15" ht="12.75" customHeight="1" x14ac:dyDescent="0.2">
      <c r="A175" s="3"/>
      <c r="B175" s="17"/>
      <c r="C175" s="17" t="s">
        <v>580</v>
      </c>
      <c r="D175" s="17"/>
      <c r="E175" s="17"/>
      <c r="F175" s="17"/>
      <c r="G175" s="38" t="s">
        <v>581</v>
      </c>
      <c r="H175" s="38"/>
      <c r="I175" s="239" t="str">
        <f>IF(ISBLANK(input!I174),"",input!I174)</f>
        <v/>
      </c>
      <c r="O175" s="262" t="s">
        <v>4295</v>
      </c>
    </row>
    <row r="176" spans="1:15" ht="12.75" customHeight="1" x14ac:dyDescent="0.2">
      <c r="A176" s="3"/>
      <c r="B176" s="17"/>
      <c r="C176" s="17" t="s">
        <v>582</v>
      </c>
      <c r="D176" s="17"/>
      <c r="E176" s="17"/>
      <c r="F176" s="17"/>
      <c r="G176" s="38" t="s">
        <v>583</v>
      </c>
      <c r="H176" s="38" t="s">
        <v>314</v>
      </c>
      <c r="I176" s="239" t="str">
        <f>IF(ISBLANK(input!I175),"",input!I175)</f>
        <v/>
      </c>
      <c r="O176" s="262" t="s">
        <v>4295</v>
      </c>
    </row>
    <row r="177" spans="1:15" ht="12.75" customHeight="1" x14ac:dyDescent="0.2">
      <c r="A177" s="3"/>
      <c r="B177" s="17"/>
      <c r="C177" s="17" t="s">
        <v>584</v>
      </c>
      <c r="D177" s="17"/>
      <c r="E177" s="17"/>
      <c r="F177" s="17"/>
      <c r="G177" s="38" t="s">
        <v>585</v>
      </c>
      <c r="H177" s="38" t="s">
        <v>314</v>
      </c>
      <c r="I177" s="239" t="str">
        <f>IF(ISBLANK(input!I176),"",input!I176)</f>
        <v/>
      </c>
      <c r="O177" s="262" t="s">
        <v>4295</v>
      </c>
    </row>
    <row r="178" spans="1:15" ht="12.75" customHeight="1" x14ac:dyDescent="0.2">
      <c r="A178" s="3"/>
      <c r="B178" s="17"/>
      <c r="C178" s="17" t="s">
        <v>586</v>
      </c>
      <c r="D178" s="17"/>
      <c r="E178" s="17"/>
      <c r="F178" s="17"/>
      <c r="G178" s="38" t="s">
        <v>587</v>
      </c>
      <c r="H178" s="38" t="s">
        <v>314</v>
      </c>
      <c r="I178" s="239" t="str">
        <f>IF(ISBLANK(input!I177),"",input!I177)</f>
        <v/>
      </c>
      <c r="O178" s="262" t="s">
        <v>4295</v>
      </c>
    </row>
    <row r="179" spans="1:15" ht="12.75" customHeight="1" x14ac:dyDescent="0.2">
      <c r="A179" s="3"/>
      <c r="B179" s="17"/>
      <c r="C179" s="17" t="s">
        <v>588</v>
      </c>
      <c r="D179" s="17"/>
      <c r="E179" s="17"/>
      <c r="F179" s="17"/>
      <c r="G179" s="38" t="s">
        <v>589</v>
      </c>
      <c r="H179" s="38" t="s">
        <v>314</v>
      </c>
      <c r="I179" s="239" t="str">
        <f>IF(ISBLANK(input!I178),"",input!I178)</f>
        <v/>
      </c>
      <c r="O179" s="262" t="s">
        <v>4295</v>
      </c>
    </row>
    <row r="180" spans="1:15" ht="12.75" customHeight="1" x14ac:dyDescent="0.2">
      <c r="A180" s="3"/>
      <c r="B180" s="17"/>
      <c r="C180" s="17" t="s">
        <v>590</v>
      </c>
      <c r="D180" s="17"/>
      <c r="E180" s="17"/>
      <c r="F180" s="17"/>
      <c r="G180" s="38" t="s">
        <v>591</v>
      </c>
      <c r="H180" s="38" t="s">
        <v>314</v>
      </c>
      <c r="I180" s="239" t="str">
        <f>IF(ISBLANK(input!I179),"",input!I179)</f>
        <v/>
      </c>
      <c r="O180" s="262" t="s">
        <v>4295</v>
      </c>
    </row>
    <row r="181" spans="1:15" ht="12.75" customHeight="1" x14ac:dyDescent="0.2">
      <c r="A181" s="3"/>
      <c r="B181" s="17"/>
      <c r="C181" s="17" t="s">
        <v>592</v>
      </c>
      <c r="D181" s="17"/>
      <c r="E181" s="17"/>
      <c r="F181" s="17"/>
      <c r="G181" s="38" t="s">
        <v>593</v>
      </c>
      <c r="H181" s="38" t="s">
        <v>314</v>
      </c>
      <c r="I181" s="239" t="str">
        <f>IF(ISBLANK(input!I180),"",input!I180)</f>
        <v/>
      </c>
      <c r="O181" s="262" t="s">
        <v>4295</v>
      </c>
    </row>
    <row r="182" spans="1:15" ht="12.75" customHeight="1" x14ac:dyDescent="0.2">
      <c r="A182" s="17"/>
      <c r="B182" s="17"/>
      <c r="C182" s="17" t="s">
        <v>594</v>
      </c>
      <c r="D182" s="17"/>
      <c r="E182" s="17"/>
      <c r="F182" s="17"/>
      <c r="G182" s="17" t="s">
        <v>595</v>
      </c>
      <c r="H182" s="17" t="s">
        <v>596</v>
      </c>
      <c r="I182" s="239" t="str">
        <f>IF(ISBLANK(input!I181),"",input!I181)</f>
        <v/>
      </c>
      <c r="O182" s="262" t="s">
        <v>4295</v>
      </c>
    </row>
    <row r="183" spans="1:15" ht="12.75" customHeight="1" x14ac:dyDescent="0.2">
      <c r="A183" s="17"/>
      <c r="B183" s="38"/>
      <c r="C183" s="38" t="s">
        <v>598</v>
      </c>
      <c r="D183" s="17"/>
      <c r="E183" s="17"/>
      <c r="F183" s="17"/>
      <c r="G183" s="38" t="s">
        <v>599</v>
      </c>
      <c r="H183" s="38" t="s">
        <v>600</v>
      </c>
      <c r="I183" s="239" t="str">
        <f>IF(ISBLANK(input!I182),"",input!I182)</f>
        <v/>
      </c>
      <c r="O183" s="262" t="s">
        <v>4295</v>
      </c>
    </row>
    <row r="184" spans="1:15" ht="12.75" customHeight="1" x14ac:dyDescent="0.2">
      <c r="A184" s="17"/>
      <c r="B184" s="38"/>
      <c r="C184" s="38" t="s">
        <v>602</v>
      </c>
      <c r="D184" s="17"/>
      <c r="E184" s="17"/>
      <c r="F184" s="17"/>
      <c r="G184" s="38" t="s">
        <v>603</v>
      </c>
      <c r="H184" s="38" t="s">
        <v>604</v>
      </c>
      <c r="I184" s="239" t="str">
        <f>IF(ISBLANK(input!I183),"",input!I183)</f>
        <v/>
      </c>
      <c r="O184" s="262" t="s">
        <v>4295</v>
      </c>
    </row>
    <row r="185" spans="1:15" ht="12.75" customHeight="1" x14ac:dyDescent="0.2">
      <c r="A185" s="17"/>
      <c r="B185" s="38"/>
      <c r="C185" s="38" t="s">
        <v>606</v>
      </c>
      <c r="D185" s="17"/>
      <c r="E185" s="17"/>
      <c r="F185" s="17"/>
      <c r="G185" s="38" t="s">
        <v>607</v>
      </c>
      <c r="H185" s="38" t="s">
        <v>600</v>
      </c>
      <c r="I185" s="239" t="str">
        <f>IF(ISBLANK(input!I184),"",input!I184)</f>
        <v/>
      </c>
      <c r="O185" s="262" t="s">
        <v>4295</v>
      </c>
    </row>
    <row r="186" spans="1:15" ht="12.75" customHeight="1" x14ac:dyDescent="0.2">
      <c r="A186" s="17"/>
      <c r="B186" s="17"/>
      <c r="C186" s="17" t="s">
        <v>608</v>
      </c>
      <c r="D186" s="17"/>
      <c r="E186" s="17"/>
      <c r="F186" s="17"/>
      <c r="G186" s="17" t="s">
        <v>609</v>
      </c>
      <c r="H186" s="17" t="s">
        <v>610</v>
      </c>
      <c r="I186" s="239" t="str">
        <f>IF(ISBLANK(input!I185),"",input!I185)</f>
        <v/>
      </c>
      <c r="O186" s="262" t="s">
        <v>4295</v>
      </c>
    </row>
    <row r="187" spans="1:15" ht="12.75" customHeight="1" x14ac:dyDescent="0.2">
      <c r="A187" s="17"/>
      <c r="B187" s="17"/>
      <c r="C187" s="17"/>
      <c r="D187" s="17"/>
      <c r="E187" s="17"/>
      <c r="F187" s="17"/>
      <c r="G187" s="17"/>
      <c r="H187" s="33"/>
      <c r="I187" s="239" t="str">
        <f>IF(ISBLANK(input!I338),"",input!I338)</f>
        <v/>
      </c>
      <c r="O187" s="262" t="s">
        <v>4295</v>
      </c>
    </row>
    <row r="188" spans="1:15" ht="12.75" customHeight="1" x14ac:dyDescent="0.2">
      <c r="A188" s="17"/>
      <c r="B188" s="38" t="s">
        <v>640</v>
      </c>
      <c r="C188" s="17"/>
      <c r="D188" s="146"/>
      <c r="E188" s="17"/>
      <c r="F188" s="17"/>
      <c r="G188" s="146" t="s">
        <v>641</v>
      </c>
      <c r="H188" s="38" t="s">
        <v>642</v>
      </c>
      <c r="I188" s="239" t="str">
        <f>IF(ISBLANK(input!I213),"",input!I213)</f>
        <v/>
      </c>
      <c r="O188" s="262" t="s">
        <v>4295</v>
      </c>
    </row>
    <row r="189" spans="1:15" ht="12.75" customHeight="1" x14ac:dyDescent="0.2">
      <c r="A189" s="38"/>
      <c r="B189" s="17"/>
      <c r="C189" s="38" t="s">
        <v>643</v>
      </c>
      <c r="D189" s="17"/>
      <c r="E189" s="17"/>
      <c r="F189" s="17"/>
      <c r="G189" s="38" t="s">
        <v>644</v>
      </c>
      <c r="H189" s="38" t="s">
        <v>645</v>
      </c>
      <c r="I189" s="239" t="str">
        <f>IF(ISBLANK(input!I214),"",input!I214)</f>
        <v/>
      </c>
      <c r="J189" s="823"/>
      <c r="O189" s="262" t="s">
        <v>4295</v>
      </c>
    </row>
    <row r="190" spans="1:15" ht="12.75" customHeight="1" x14ac:dyDescent="0.2">
      <c r="A190" s="38"/>
      <c r="B190" s="17"/>
      <c r="C190" s="38" t="s">
        <v>647</v>
      </c>
      <c r="D190" s="17"/>
      <c r="E190" s="17"/>
      <c r="F190" s="17"/>
      <c r="G190" s="38" t="s">
        <v>648</v>
      </c>
      <c r="H190" s="38" t="s">
        <v>649</v>
      </c>
      <c r="I190" s="239" t="str">
        <f>IF(ISBLANK(input!I215),"",input!I215)</f>
        <v/>
      </c>
      <c r="J190" s="216"/>
      <c r="O190" s="262" t="s">
        <v>4295</v>
      </c>
    </row>
    <row r="191" spans="1:15" ht="12.75" customHeight="1" x14ac:dyDescent="0.2">
      <c r="A191" s="38"/>
      <c r="B191" s="17"/>
      <c r="C191" s="38" t="s">
        <v>651</v>
      </c>
      <c r="D191" s="17"/>
      <c r="E191" s="17"/>
      <c r="F191" s="17"/>
      <c r="G191" s="38" t="s">
        <v>652</v>
      </c>
      <c r="H191" s="38" t="s">
        <v>653</v>
      </c>
      <c r="I191" s="239" t="str">
        <f>IF(ISBLANK(input!I216),"",input!I216)</f>
        <v/>
      </c>
      <c r="O191" s="262" t="s">
        <v>4295</v>
      </c>
    </row>
    <row r="192" spans="1:15" ht="12.75" customHeight="1" x14ac:dyDescent="0.2">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2">
      <c r="A193" s="17"/>
      <c r="B193" s="17"/>
      <c r="C193" s="38" t="s">
        <v>656</v>
      </c>
      <c r="D193" s="17"/>
      <c r="E193" s="17"/>
      <c r="F193" s="17"/>
      <c r="G193" s="38" t="s">
        <v>657</v>
      </c>
      <c r="H193" s="38" t="s">
        <v>658</v>
      </c>
      <c r="I193" s="239" t="str">
        <f>IF(ISBLANK(input!I218),"",input!I218)</f>
        <v/>
      </c>
      <c r="J193" s="824"/>
      <c r="O193" s="262" t="s">
        <v>4295</v>
      </c>
    </row>
    <row r="194" spans="1:15" ht="12.75" customHeight="1" x14ac:dyDescent="0.2">
      <c r="A194" s="17"/>
      <c r="B194" s="17"/>
      <c r="C194" s="38" t="s">
        <v>660</v>
      </c>
      <c r="D194" s="146"/>
      <c r="E194" s="17"/>
      <c r="F194" s="17"/>
      <c r="G194" s="38" t="s">
        <v>661</v>
      </c>
      <c r="H194" s="38" t="s">
        <v>662</v>
      </c>
      <c r="I194" s="239" t="str">
        <f>IF(ISBLANK(input!I219),"",input!I219)</f>
        <v/>
      </c>
      <c r="J194" s="825"/>
      <c r="O194" s="262" t="s">
        <v>4295</v>
      </c>
    </row>
    <row r="195" spans="1:15" ht="12.75" customHeight="1" x14ac:dyDescent="0.2">
      <c r="A195" s="17"/>
      <c r="B195" s="17"/>
      <c r="C195" s="17" t="s">
        <v>664</v>
      </c>
      <c r="D195" s="17"/>
      <c r="E195" s="17"/>
      <c r="F195" s="17"/>
      <c r="G195" s="38" t="s">
        <v>665</v>
      </c>
      <c r="H195" s="38" t="s">
        <v>314</v>
      </c>
      <c r="I195" s="239" t="str">
        <f>IF(ISBLANK(input!I220),"",input!I220)</f>
        <v/>
      </c>
      <c r="O195" s="262" t="s">
        <v>4295</v>
      </c>
    </row>
    <row r="196" spans="1:15" ht="12.75" customHeight="1" x14ac:dyDescent="0.2">
      <c r="A196" s="17"/>
      <c r="B196" s="38" t="s">
        <v>666</v>
      </c>
      <c r="C196" s="146"/>
      <c r="D196" s="146"/>
      <c r="E196" s="17"/>
      <c r="F196" s="17"/>
      <c r="G196" s="146" t="s">
        <v>667</v>
      </c>
      <c r="H196" s="38" t="s">
        <v>642</v>
      </c>
      <c r="I196" s="239" t="str">
        <f>IF(ISBLANK(input!I221),"",input!I221)</f>
        <v/>
      </c>
      <c r="O196" s="262" t="s">
        <v>4295</v>
      </c>
    </row>
    <row r="197" spans="1:15" ht="12.75" customHeight="1" x14ac:dyDescent="0.2">
      <c r="A197" s="17"/>
      <c r="B197" s="38" t="s">
        <v>668</v>
      </c>
      <c r="C197" s="146"/>
      <c r="D197" s="146"/>
      <c r="E197" s="17"/>
      <c r="F197" s="17"/>
      <c r="G197" s="146" t="s">
        <v>669</v>
      </c>
      <c r="H197" s="38" t="s">
        <v>642</v>
      </c>
      <c r="I197" s="239" t="str">
        <f>IF(ISBLANK(input!I222),"",input!I222)</f>
        <v/>
      </c>
      <c r="O197" s="262" t="s">
        <v>4295</v>
      </c>
    </row>
    <row r="198" spans="1:15" ht="12.75" customHeight="1" x14ac:dyDescent="0.2">
      <c r="A198" s="17"/>
      <c r="B198" s="17"/>
      <c r="C198" s="17"/>
      <c r="D198" s="17"/>
      <c r="E198" s="17"/>
      <c r="F198" s="17"/>
      <c r="G198" s="38"/>
      <c r="H198" s="38"/>
      <c r="I198" s="239" t="str">
        <f>IF(ISBLANK(input!I223),"",input!I223)</f>
        <v/>
      </c>
      <c r="O198" s="262" t="s">
        <v>4295</v>
      </c>
    </row>
    <row r="199" spans="1:15" ht="12.75" customHeight="1" x14ac:dyDescent="0.2">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2">
      <c r="A200" s="759"/>
      <c r="B200" s="38"/>
      <c r="C200" s="38"/>
      <c r="D200" s="17"/>
      <c r="E200" s="17"/>
      <c r="F200" s="17"/>
      <c r="G200" s="38"/>
      <c r="H200" s="38"/>
      <c r="I200" s="239" t="str">
        <f>IF(ISBLANK(input!I225),"",input!I225)</f>
        <v/>
      </c>
      <c r="O200" s="262" t="s">
        <v>4295</v>
      </c>
    </row>
    <row r="201" spans="1:15" ht="12.75" customHeight="1" x14ac:dyDescent="0.2">
      <c r="A201" s="17"/>
      <c r="B201" s="758" t="s">
        <v>670</v>
      </c>
      <c r="C201" s="168"/>
      <c r="D201" s="168"/>
      <c r="E201" s="168"/>
      <c r="F201" s="168"/>
      <c r="G201" s="357"/>
      <c r="H201" s="357"/>
      <c r="I201" s="239" t="str">
        <f>IF(ISBLANK(input!I226),"",input!I226)</f>
        <v/>
      </c>
      <c r="O201" s="262" t="s">
        <v>4295</v>
      </c>
    </row>
    <row r="202" spans="1:15" ht="12.75" customHeight="1" x14ac:dyDescent="0.2">
      <c r="A202" s="759"/>
      <c r="B202" s="74" t="s">
        <v>82</v>
      </c>
      <c r="C202" s="17"/>
      <c r="D202" s="17"/>
      <c r="E202" s="17"/>
      <c r="F202" s="17"/>
      <c r="G202" s="38"/>
      <c r="H202" s="38"/>
      <c r="I202" s="239" t="str">
        <f>IF(ISBLANK(input!I227),"",input!I227)</f>
        <v/>
      </c>
      <c r="O202" s="262" t="s">
        <v>4295</v>
      </c>
    </row>
    <row r="203" spans="1:15" ht="12.75" customHeight="1" x14ac:dyDescent="0.2">
      <c r="A203" s="759"/>
      <c r="B203" s="38"/>
      <c r="C203" s="38" t="s">
        <v>510</v>
      </c>
      <c r="D203" s="17"/>
      <c r="E203" s="17"/>
      <c r="F203" s="17"/>
      <c r="G203" s="38" t="s">
        <v>671</v>
      </c>
      <c r="H203" s="38" t="s">
        <v>512</v>
      </c>
      <c r="I203" s="239" t="str">
        <f>IF(ISBLANK(input!I228),"",input!I228)</f>
        <v/>
      </c>
    </row>
    <row r="204" spans="1:15" ht="12.75" customHeight="1" x14ac:dyDescent="0.2">
      <c r="A204" s="759"/>
      <c r="B204" s="38"/>
      <c r="C204" s="38" t="s">
        <v>514</v>
      </c>
      <c r="D204" s="17"/>
      <c r="E204" s="17"/>
      <c r="F204" s="17"/>
      <c r="G204" s="38" t="s">
        <v>672</v>
      </c>
      <c r="H204" s="38" t="s">
        <v>512</v>
      </c>
      <c r="I204" s="239" t="str">
        <f>IF(ISBLANK(input!I229),"",input!I229)</f>
        <v/>
      </c>
    </row>
    <row r="205" spans="1:15" ht="12.75" customHeight="1" x14ac:dyDescent="0.2">
      <c r="A205" s="759"/>
      <c r="B205" s="38"/>
      <c r="C205" s="38" t="s">
        <v>516</v>
      </c>
      <c r="D205" s="17"/>
      <c r="E205" s="17"/>
      <c r="F205" s="17"/>
      <c r="G205" s="38" t="s">
        <v>673</v>
      </c>
      <c r="H205" s="38" t="s">
        <v>512</v>
      </c>
      <c r="I205" s="239" t="str">
        <f>IF(ISBLANK(input!I230),"",input!I230)</f>
        <v/>
      </c>
    </row>
    <row r="206" spans="1:15" ht="12.75" customHeight="1" x14ac:dyDescent="0.2">
      <c r="A206" s="759"/>
      <c r="B206" s="38"/>
      <c r="C206" s="38" t="s">
        <v>518</v>
      </c>
      <c r="D206" s="17"/>
      <c r="E206" s="17"/>
      <c r="F206" s="17"/>
      <c r="G206" s="38" t="s">
        <v>674</v>
      </c>
      <c r="H206" s="38" t="s">
        <v>512</v>
      </c>
      <c r="I206" s="239" t="str">
        <f>IF(ISBLANK(input!I231),"",input!I231)</f>
        <v/>
      </c>
    </row>
    <row r="207" spans="1:15" ht="12.75" customHeight="1" x14ac:dyDescent="0.2">
      <c r="A207" s="759"/>
      <c r="B207" s="38"/>
      <c r="C207" s="38" t="s">
        <v>520</v>
      </c>
      <c r="D207" s="17"/>
      <c r="E207" s="17"/>
      <c r="F207" s="17"/>
      <c r="G207" s="38" t="s">
        <v>675</v>
      </c>
      <c r="H207" s="38" t="s">
        <v>512</v>
      </c>
      <c r="I207" s="239" t="str">
        <f>IF(ISBLANK(input!I232),"",input!I232)</f>
        <v/>
      </c>
    </row>
    <row r="208" spans="1:15" ht="12.75" customHeight="1" x14ac:dyDescent="0.2">
      <c r="A208" s="759"/>
      <c r="B208" s="38"/>
      <c r="C208" s="38" t="s">
        <v>522</v>
      </c>
      <c r="D208" s="17"/>
      <c r="E208" s="17"/>
      <c r="F208" s="17"/>
      <c r="G208" s="38" t="s">
        <v>676</v>
      </c>
      <c r="H208" s="38" t="s">
        <v>512</v>
      </c>
      <c r="I208" s="239" t="str">
        <f>IF(ISBLANK(input!I233),"",input!I233)</f>
        <v/>
      </c>
    </row>
    <row r="209" spans="1:15" ht="12.75" customHeight="1" x14ac:dyDescent="0.2">
      <c r="A209" s="759"/>
      <c r="B209" s="38"/>
      <c r="C209" s="38" t="s">
        <v>525</v>
      </c>
      <c r="D209" s="17"/>
      <c r="E209" s="17"/>
      <c r="F209" s="17"/>
      <c r="G209" s="38" t="s">
        <v>677</v>
      </c>
      <c r="H209" s="38" t="s">
        <v>512</v>
      </c>
      <c r="I209" s="239" t="str">
        <f>IF(ISBLANK(input!I234),"",input!I234)</f>
        <v/>
      </c>
    </row>
    <row r="210" spans="1:15" ht="12.75" customHeight="1" x14ac:dyDescent="0.2">
      <c r="A210" s="759"/>
      <c r="B210" s="74" t="s">
        <v>235</v>
      </c>
      <c r="C210" s="17"/>
      <c r="D210" s="17"/>
      <c r="E210" s="17"/>
      <c r="F210" s="17"/>
      <c r="G210" s="149"/>
      <c r="H210" s="38"/>
      <c r="I210" s="239" t="str">
        <f>IF(ISBLANK(input!I235),"",input!I235)</f>
        <v/>
      </c>
      <c r="O210" s="262" t="s">
        <v>4295</v>
      </c>
    </row>
    <row r="211" spans="1:15" ht="12.75" customHeight="1" x14ac:dyDescent="0.2">
      <c r="A211" s="759"/>
      <c r="B211" s="38"/>
      <c r="C211" s="38" t="s">
        <v>510</v>
      </c>
      <c r="D211" s="17"/>
      <c r="E211" s="17"/>
      <c r="F211" s="17"/>
      <c r="G211" s="38" t="s">
        <v>678</v>
      </c>
      <c r="H211" s="38" t="s">
        <v>512</v>
      </c>
      <c r="I211" s="239" t="str">
        <f>IF(ISBLANK(input!I236),"",input!I236)</f>
        <v/>
      </c>
      <c r="O211" s="262" t="s">
        <v>4295</v>
      </c>
    </row>
    <row r="212" spans="1:15" ht="12.75" customHeight="1" x14ac:dyDescent="0.2">
      <c r="A212" s="759"/>
      <c r="B212" s="38"/>
      <c r="C212" s="38" t="s">
        <v>514</v>
      </c>
      <c r="D212" s="17"/>
      <c r="E212" s="17"/>
      <c r="F212" s="17"/>
      <c r="G212" s="38" t="s">
        <v>679</v>
      </c>
      <c r="H212" s="38" t="s">
        <v>512</v>
      </c>
      <c r="I212" s="239" t="str">
        <f>IF(ISBLANK(input!I237),"",input!I237)</f>
        <v/>
      </c>
      <c r="O212" s="262" t="s">
        <v>4295</v>
      </c>
    </row>
    <row r="213" spans="1:15" ht="12.75" customHeight="1" x14ac:dyDescent="0.2">
      <c r="A213" s="759"/>
      <c r="B213" s="38"/>
      <c r="C213" s="38" t="s">
        <v>516</v>
      </c>
      <c r="D213" s="17"/>
      <c r="E213" s="17"/>
      <c r="F213" s="17"/>
      <c r="G213" s="38" t="s">
        <v>680</v>
      </c>
      <c r="H213" s="38" t="s">
        <v>512</v>
      </c>
      <c r="I213" s="239" t="str">
        <f>IF(ISBLANK(input!I238),"",input!I238)</f>
        <v/>
      </c>
      <c r="O213" s="262" t="s">
        <v>4295</v>
      </c>
    </row>
    <row r="214" spans="1:15" ht="12.75" customHeight="1" x14ac:dyDescent="0.2">
      <c r="A214" s="759"/>
      <c r="B214" s="38"/>
      <c r="C214" s="38" t="s">
        <v>518</v>
      </c>
      <c r="D214" s="17"/>
      <c r="E214" s="17"/>
      <c r="F214" s="17"/>
      <c r="G214" s="38" t="s">
        <v>681</v>
      </c>
      <c r="H214" s="38" t="s">
        <v>512</v>
      </c>
      <c r="I214" s="239" t="str">
        <f>IF(ISBLANK(input!I239),"",input!I239)</f>
        <v/>
      </c>
      <c r="O214" s="262" t="s">
        <v>4295</v>
      </c>
    </row>
    <row r="215" spans="1:15" ht="12.75" customHeight="1" x14ac:dyDescent="0.2">
      <c r="A215" s="759"/>
      <c r="B215" s="38"/>
      <c r="C215" s="38" t="s">
        <v>520</v>
      </c>
      <c r="D215" s="17"/>
      <c r="E215" s="17"/>
      <c r="F215" s="17"/>
      <c r="G215" s="38" t="s">
        <v>682</v>
      </c>
      <c r="H215" s="38" t="s">
        <v>512</v>
      </c>
      <c r="I215" s="239" t="str">
        <f>IF(ISBLANK(input!I240),"",input!I240)</f>
        <v/>
      </c>
      <c r="O215" s="262" t="s">
        <v>4295</v>
      </c>
    </row>
    <row r="216" spans="1:15" ht="12.75" customHeight="1" x14ac:dyDescent="0.2">
      <c r="A216" s="759"/>
      <c r="B216" s="38"/>
      <c r="C216" s="38" t="s">
        <v>522</v>
      </c>
      <c r="D216" s="17"/>
      <c r="E216" s="17"/>
      <c r="F216" s="17"/>
      <c r="G216" s="38" t="s">
        <v>683</v>
      </c>
      <c r="H216" s="38" t="s">
        <v>512</v>
      </c>
      <c r="I216" s="239" t="str">
        <f>IF(ISBLANK(input!I241),"",input!I241)</f>
        <v/>
      </c>
      <c r="O216" s="262" t="s">
        <v>4295</v>
      </c>
    </row>
    <row r="217" spans="1:15" ht="12.75" customHeight="1" x14ac:dyDescent="0.2">
      <c r="A217" s="759"/>
      <c r="B217" s="38"/>
      <c r="C217" s="38" t="s">
        <v>525</v>
      </c>
      <c r="D217" s="17"/>
      <c r="E217" s="17"/>
      <c r="F217" s="17"/>
      <c r="G217" s="38" t="s">
        <v>684</v>
      </c>
      <c r="H217" s="38" t="s">
        <v>512</v>
      </c>
      <c r="I217" s="239" t="str">
        <f>IF(ISBLANK(input!I242),"",input!I242)</f>
        <v/>
      </c>
      <c r="O217" s="262" t="s">
        <v>4295</v>
      </c>
    </row>
    <row r="218" spans="1:15" ht="12.75" customHeight="1" x14ac:dyDescent="0.2">
      <c r="A218" s="759"/>
      <c r="B218" s="74" t="s">
        <v>251</v>
      </c>
      <c r="C218" s="17"/>
      <c r="D218" s="17"/>
      <c r="E218" s="17"/>
      <c r="F218" s="17"/>
      <c r="G218" s="149"/>
      <c r="H218" s="38"/>
      <c r="I218" s="239" t="str">
        <f>IF(ISBLANK(input!I243),"",input!I243)</f>
        <v/>
      </c>
      <c r="O218" s="262" t="s">
        <v>4295</v>
      </c>
    </row>
    <row r="219" spans="1:15" ht="12.75" customHeight="1" x14ac:dyDescent="0.2">
      <c r="A219" s="759"/>
      <c r="B219" s="38"/>
      <c r="C219" s="38" t="s">
        <v>510</v>
      </c>
      <c r="D219" s="17"/>
      <c r="E219" s="17"/>
      <c r="F219" s="17"/>
      <c r="G219" s="38" t="s">
        <v>685</v>
      </c>
      <c r="H219" s="38" t="s">
        <v>512</v>
      </c>
      <c r="I219" s="239" t="str">
        <f>IF(ISBLANK(input!I244),"",input!I244)</f>
        <v/>
      </c>
      <c r="O219" s="262" t="s">
        <v>4295</v>
      </c>
    </row>
    <row r="220" spans="1:15" ht="12.75" customHeight="1" x14ac:dyDescent="0.2">
      <c r="A220" s="759"/>
      <c r="B220" s="38"/>
      <c r="C220" s="38" t="s">
        <v>535</v>
      </c>
      <c r="D220" s="17"/>
      <c r="E220" s="17"/>
      <c r="F220" s="17"/>
      <c r="G220" s="38" t="s">
        <v>686</v>
      </c>
      <c r="H220" s="38" t="s">
        <v>512</v>
      </c>
      <c r="I220" s="239" t="str">
        <f>IF(ISBLANK(input!I245),"",input!I245)</f>
        <v/>
      </c>
      <c r="O220" s="262" t="s">
        <v>4295</v>
      </c>
    </row>
    <row r="221" spans="1:15" ht="12.75" customHeight="1" x14ac:dyDescent="0.2">
      <c r="A221" s="759"/>
      <c r="B221" s="38"/>
      <c r="C221" s="38" t="s">
        <v>537</v>
      </c>
      <c r="D221" s="17"/>
      <c r="E221" s="17"/>
      <c r="F221" s="17"/>
      <c r="G221" s="38" t="s">
        <v>687</v>
      </c>
      <c r="H221" s="38" t="s">
        <v>512</v>
      </c>
      <c r="I221" s="239" t="str">
        <f>IF(ISBLANK(input!I246),"",input!I246)</f>
        <v/>
      </c>
      <c r="O221" s="262" t="s">
        <v>4295</v>
      </c>
    </row>
    <row r="222" spans="1:15" ht="12.75" customHeight="1" x14ac:dyDescent="0.2">
      <c r="A222" s="759"/>
      <c r="B222" s="3" t="s">
        <v>252</v>
      </c>
      <c r="C222" s="38"/>
      <c r="D222" s="17"/>
      <c r="E222" s="17"/>
      <c r="F222" s="17"/>
      <c r="G222" s="149"/>
      <c r="H222" s="38"/>
      <c r="I222" s="239" t="str">
        <f>IF(ISBLANK(input!I247),"",input!I247)</f>
        <v/>
      </c>
      <c r="O222" s="262" t="s">
        <v>4295</v>
      </c>
    </row>
    <row r="223" spans="1:15" ht="12.75" customHeight="1" x14ac:dyDescent="0.2">
      <c r="A223" s="759"/>
      <c r="B223" s="38"/>
      <c r="C223" s="38" t="s">
        <v>510</v>
      </c>
      <c r="D223" s="17"/>
      <c r="E223" s="17"/>
      <c r="F223" s="17"/>
      <c r="G223" s="38" t="s">
        <v>688</v>
      </c>
      <c r="H223" s="38" t="s">
        <v>512</v>
      </c>
      <c r="I223" s="239" t="str">
        <f>IF(ISBLANK(input!I248),"",input!I248)</f>
        <v/>
      </c>
      <c r="O223" s="262" t="s">
        <v>4295</v>
      </c>
    </row>
    <row r="224" spans="1:15" ht="12.75" customHeight="1" x14ac:dyDescent="0.2">
      <c r="A224" s="759"/>
      <c r="B224" s="38"/>
      <c r="C224" s="38" t="s">
        <v>535</v>
      </c>
      <c r="D224" s="17"/>
      <c r="E224" s="17"/>
      <c r="F224" s="17"/>
      <c r="G224" s="38" t="s">
        <v>689</v>
      </c>
      <c r="H224" s="38" t="s">
        <v>512</v>
      </c>
      <c r="I224" s="239" t="str">
        <f>IF(ISBLANK(input!I249),"",input!I249)</f>
        <v/>
      </c>
      <c r="O224" s="262" t="s">
        <v>4295</v>
      </c>
    </row>
    <row r="225" spans="1:15" ht="12.75" customHeight="1" x14ac:dyDescent="0.2">
      <c r="A225" s="759"/>
      <c r="B225" s="38"/>
      <c r="C225" s="38" t="s">
        <v>537</v>
      </c>
      <c r="D225" s="17"/>
      <c r="E225" s="17"/>
      <c r="F225" s="17"/>
      <c r="G225" s="38" t="s">
        <v>690</v>
      </c>
      <c r="H225" s="38" t="s">
        <v>512</v>
      </c>
      <c r="I225" s="239" t="str">
        <f>IF(ISBLANK(input!I250),"",input!I250)</f>
        <v/>
      </c>
      <c r="O225" s="262" t="s">
        <v>4295</v>
      </c>
    </row>
    <row r="226" spans="1:15" ht="12.75" customHeight="1" x14ac:dyDescent="0.2">
      <c r="A226" s="759"/>
      <c r="B226" s="74" t="s">
        <v>542</v>
      </c>
      <c r="C226" s="17"/>
      <c r="D226" s="17"/>
      <c r="E226" s="17"/>
      <c r="F226" s="17"/>
      <c r="G226" s="149"/>
      <c r="H226" s="38"/>
      <c r="I226" s="239" t="str">
        <f>IF(ISBLANK(input!I251),"",input!I251)</f>
        <v/>
      </c>
      <c r="O226" s="262" t="s">
        <v>4295</v>
      </c>
    </row>
    <row r="227" spans="1:15" ht="12.75" customHeight="1" x14ac:dyDescent="0.2">
      <c r="A227" s="759"/>
      <c r="B227" s="38"/>
      <c r="C227" s="38" t="s">
        <v>510</v>
      </c>
      <c r="D227" s="17"/>
      <c r="E227" s="17"/>
      <c r="F227" s="17"/>
      <c r="G227" s="38" t="s">
        <v>691</v>
      </c>
      <c r="H227" s="38" t="s">
        <v>512</v>
      </c>
      <c r="I227" s="239" t="str">
        <f>IF(ISBLANK(input!I252),"",input!I252)</f>
        <v/>
      </c>
      <c r="O227" s="262" t="s">
        <v>4295</v>
      </c>
    </row>
    <row r="228" spans="1:15" ht="12.75" customHeight="1" x14ac:dyDescent="0.2">
      <c r="A228" s="759"/>
      <c r="B228" s="38"/>
      <c r="C228" s="38" t="s">
        <v>535</v>
      </c>
      <c r="D228" s="17"/>
      <c r="E228" s="17"/>
      <c r="F228" s="17"/>
      <c r="G228" s="38" t="s">
        <v>692</v>
      </c>
      <c r="H228" s="38" t="s">
        <v>512</v>
      </c>
      <c r="I228" s="239" t="str">
        <f>IF(ISBLANK(input!I253),"",input!I253)</f>
        <v/>
      </c>
      <c r="O228" s="262" t="s">
        <v>4295</v>
      </c>
    </row>
    <row r="229" spans="1:15" ht="12.75" customHeight="1" x14ac:dyDescent="0.2">
      <c r="A229" s="759"/>
      <c r="B229" s="38"/>
      <c r="C229" s="38" t="s">
        <v>537</v>
      </c>
      <c r="D229" s="17"/>
      <c r="E229" s="17"/>
      <c r="F229" s="17"/>
      <c r="G229" s="38" t="s">
        <v>693</v>
      </c>
      <c r="H229" s="38" t="s">
        <v>512</v>
      </c>
      <c r="I229" s="239" t="str">
        <f>IF(ISBLANK(input!I254),"",input!I254)</f>
        <v/>
      </c>
      <c r="O229" s="262" t="s">
        <v>4295</v>
      </c>
    </row>
    <row r="230" spans="1:15" ht="12.75" customHeight="1" x14ac:dyDescent="0.2">
      <c r="A230" s="17"/>
      <c r="B230" s="17"/>
      <c r="C230" s="17"/>
      <c r="D230" s="17"/>
      <c r="E230" s="17"/>
      <c r="F230" s="17"/>
      <c r="G230" s="38"/>
      <c r="H230" s="38"/>
      <c r="I230" s="239" t="str">
        <f>IF(ISBLANK(input!I255),"",input!I255)</f>
        <v/>
      </c>
      <c r="O230" s="262" t="s">
        <v>4295</v>
      </c>
    </row>
    <row r="231" spans="1:15" ht="12.75" customHeight="1" x14ac:dyDescent="0.2">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2">
      <c r="A232" s="38"/>
      <c r="B232" s="17"/>
      <c r="C232" s="17"/>
      <c r="D232" s="17"/>
      <c r="E232" s="17"/>
      <c r="F232" s="17"/>
      <c r="G232" s="38"/>
      <c r="H232" s="38"/>
      <c r="I232" s="239" t="str">
        <f>IF(ISBLANK(input!I257),"",input!I257)</f>
        <v/>
      </c>
      <c r="O232" s="262" t="s">
        <v>4295</v>
      </c>
    </row>
    <row r="233" spans="1:15" ht="12.75" customHeight="1" x14ac:dyDescent="0.2">
      <c r="A233" s="3" t="s">
        <v>82</v>
      </c>
      <c r="B233" s="17"/>
      <c r="C233" s="17"/>
      <c r="D233" s="17"/>
      <c r="E233" s="17"/>
      <c r="F233" s="17"/>
      <c r="G233" s="17"/>
      <c r="H233" s="17"/>
      <c r="I233" s="239" t="str">
        <f>IF(ISBLANK(input!I258),"",input!I258)</f>
        <v/>
      </c>
      <c r="O233" s="262" t="s">
        <v>4295</v>
      </c>
    </row>
    <row r="234" spans="1:15" ht="12.75" customHeight="1" x14ac:dyDescent="0.2">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2">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2">
      <c r="A236" s="17"/>
      <c r="B236" s="17" t="s">
        <v>701</v>
      </c>
      <c r="C236" s="17"/>
      <c r="D236" s="17"/>
      <c r="E236" s="17"/>
      <c r="F236" s="17"/>
      <c r="G236" s="17" t="s">
        <v>702</v>
      </c>
      <c r="H236" s="17" t="s">
        <v>315</v>
      </c>
      <c r="I236" s="239" t="str">
        <f>IF(ISBLANK(input!I261),"",input!I261)</f>
        <v/>
      </c>
      <c r="O236" s="262" t="s">
        <v>4295</v>
      </c>
    </row>
    <row r="237" spans="1:15" ht="12.75" customHeight="1" x14ac:dyDescent="0.2">
      <c r="A237" s="17"/>
      <c r="B237" s="17" t="s">
        <v>703</v>
      </c>
      <c r="C237" s="17"/>
      <c r="D237" s="17"/>
      <c r="E237" s="17"/>
      <c r="F237" s="17"/>
      <c r="G237" s="17" t="s">
        <v>704</v>
      </c>
      <c r="H237" s="17" t="s">
        <v>315</v>
      </c>
      <c r="I237" s="239" t="str">
        <f>IF(ISBLANK(input!I262),"",input!I262)</f>
        <v/>
      </c>
      <c r="O237" s="262" t="s">
        <v>4295</v>
      </c>
    </row>
    <row r="238" spans="1:15" ht="12.75" customHeight="1" x14ac:dyDescent="0.2">
      <c r="A238" s="17"/>
      <c r="B238" s="17" t="s">
        <v>705</v>
      </c>
      <c r="C238" s="17"/>
      <c r="D238" s="17"/>
      <c r="E238" s="17"/>
      <c r="F238" s="17"/>
      <c r="G238" s="17" t="s">
        <v>706</v>
      </c>
      <c r="H238" s="17" t="s">
        <v>315</v>
      </c>
      <c r="I238" s="239" t="str">
        <f>IF(ISBLANK(input!I263),"",input!I263)</f>
        <v/>
      </c>
      <c r="O238" s="262" t="s">
        <v>4295</v>
      </c>
    </row>
    <row r="239" spans="1:15" ht="12.75" customHeight="1" x14ac:dyDescent="0.2">
      <c r="A239" s="17"/>
      <c r="B239" s="17" t="s">
        <v>707</v>
      </c>
      <c r="C239" s="17"/>
      <c r="D239" s="17"/>
      <c r="E239" s="17"/>
      <c r="F239" s="17"/>
      <c r="G239" s="17" t="s">
        <v>708</v>
      </c>
      <c r="H239" s="17" t="s">
        <v>315</v>
      </c>
      <c r="I239" s="239" t="str">
        <f>IF(ISBLANK(input!I264),"",input!I264)</f>
        <v/>
      </c>
      <c r="O239" s="262" t="s">
        <v>4295</v>
      </c>
    </row>
    <row r="240" spans="1:15" ht="12.75" customHeight="1" x14ac:dyDescent="0.2">
      <c r="A240" s="17"/>
      <c r="B240" s="17" t="s">
        <v>709</v>
      </c>
      <c r="C240" s="17"/>
      <c r="D240" s="17"/>
      <c r="E240" s="17"/>
      <c r="F240" s="17"/>
      <c r="G240" s="17" t="s">
        <v>710</v>
      </c>
      <c r="H240" s="17" t="s">
        <v>315</v>
      </c>
      <c r="I240" s="239" t="str">
        <f>IF(ISBLANK(input!I265),"",input!I265)</f>
        <v/>
      </c>
      <c r="O240" s="262" t="s">
        <v>4295</v>
      </c>
    </row>
    <row r="241" spans="1:15" ht="12.75" customHeight="1" x14ac:dyDescent="0.2">
      <c r="A241" s="17"/>
      <c r="B241" s="17" t="s">
        <v>711</v>
      </c>
      <c r="C241" s="17"/>
      <c r="D241" s="17"/>
      <c r="E241" s="17"/>
      <c r="F241" s="17"/>
      <c r="G241" s="17" t="s">
        <v>712</v>
      </c>
      <c r="H241" s="17" t="s">
        <v>610</v>
      </c>
      <c r="I241" s="239" t="str">
        <f>IF(ISBLANK(input!I266),"",input!I266)</f>
        <v/>
      </c>
      <c r="O241" s="262" t="s">
        <v>4295</v>
      </c>
    </row>
    <row r="242" spans="1:15" ht="12.75" customHeight="1" x14ac:dyDescent="0.2">
      <c r="A242" s="228"/>
      <c r="B242" s="228" t="s">
        <v>713</v>
      </c>
      <c r="C242" s="228"/>
      <c r="D242" s="228"/>
      <c r="E242" s="228"/>
      <c r="F242" s="228"/>
      <c r="G242" s="228" t="s">
        <v>714</v>
      </c>
      <c r="H242" s="228" t="s">
        <v>715</v>
      </c>
      <c r="I242" s="239" t="str">
        <f>IF(ISBLANK(input!I267),"",input!I267)</f>
        <v/>
      </c>
      <c r="O242" s="262" t="s">
        <v>4295</v>
      </c>
    </row>
    <row r="243" spans="1:15" ht="12.75" customHeight="1" x14ac:dyDescent="0.2">
      <c r="A243" s="17"/>
      <c r="B243" s="17" t="s">
        <v>716</v>
      </c>
      <c r="C243" s="17"/>
      <c r="D243" s="17"/>
      <c r="E243" s="17"/>
      <c r="F243" s="17"/>
      <c r="G243" s="17" t="s">
        <v>717</v>
      </c>
      <c r="H243" s="17" t="s">
        <v>718</v>
      </c>
      <c r="I243" s="239" t="str">
        <f>IF(ISBLANK(input!I268),"",input!I268)</f>
        <v/>
      </c>
      <c r="O243" s="262" t="s">
        <v>4295</v>
      </c>
    </row>
    <row r="244" spans="1:15" ht="12.75" customHeight="1" x14ac:dyDescent="0.2">
      <c r="A244" s="17"/>
      <c r="B244" s="17" t="s">
        <v>719</v>
      </c>
      <c r="C244" s="17"/>
      <c r="D244" s="17"/>
      <c r="E244" s="17"/>
      <c r="F244" s="17"/>
      <c r="G244" s="17" t="s">
        <v>720</v>
      </c>
      <c r="H244" s="17" t="s">
        <v>302</v>
      </c>
      <c r="I244" s="239" t="str">
        <f>IF(ISBLANK(input!I269),"",input!I269)</f>
        <v/>
      </c>
      <c r="O244" s="262" t="s">
        <v>4295</v>
      </c>
    </row>
    <row r="245" spans="1:15" ht="12.75" customHeight="1" x14ac:dyDescent="0.2">
      <c r="A245" s="17"/>
      <c r="B245" s="17" t="s">
        <v>721</v>
      </c>
      <c r="C245" s="17"/>
      <c r="D245" s="17"/>
      <c r="E245" s="17"/>
      <c r="F245" s="17"/>
      <c r="G245" s="17" t="s">
        <v>722</v>
      </c>
      <c r="H245" s="17" t="s">
        <v>302</v>
      </c>
      <c r="I245" s="239" t="str">
        <f>IF(ISBLANK(input!I270),"",input!I270)</f>
        <v/>
      </c>
      <c r="O245" s="262" t="s">
        <v>4295</v>
      </c>
    </row>
    <row r="246" spans="1:15" ht="12.75" customHeight="1" x14ac:dyDescent="0.2">
      <c r="A246" s="17"/>
      <c r="B246" s="17" t="s">
        <v>723</v>
      </c>
      <c r="C246" s="17"/>
      <c r="D246" s="17"/>
      <c r="E246" s="17"/>
      <c r="F246" s="17"/>
      <c r="G246" s="17" t="s">
        <v>724</v>
      </c>
      <c r="H246" s="17" t="s">
        <v>315</v>
      </c>
      <c r="I246" s="239" t="str">
        <f>IF(ISBLANK(input!I271),"",input!I271)</f>
        <v/>
      </c>
      <c r="O246" s="262" t="s">
        <v>4295</v>
      </c>
    </row>
    <row r="247" spans="1:15" ht="12.75" customHeight="1" x14ac:dyDescent="0.2">
      <c r="A247" s="17"/>
      <c r="B247" s="17" t="s">
        <v>725</v>
      </c>
      <c r="C247" s="17"/>
      <c r="D247" s="17"/>
      <c r="E247" s="17"/>
      <c r="F247" s="17"/>
      <c r="G247" s="17" t="s">
        <v>726</v>
      </c>
      <c r="H247" s="17" t="s">
        <v>315</v>
      </c>
      <c r="I247" s="239" t="str">
        <f>IF(ISBLANK(input!I272),"",input!I272)</f>
        <v/>
      </c>
      <c r="O247" s="262" t="s">
        <v>4295</v>
      </c>
    </row>
    <row r="248" spans="1:15" ht="12.75" customHeight="1" x14ac:dyDescent="0.2">
      <c r="A248" s="17"/>
      <c r="B248" s="17" t="s">
        <v>727</v>
      </c>
      <c r="C248" s="17"/>
      <c r="D248" s="17"/>
      <c r="E248" s="17"/>
      <c r="F248" s="17"/>
      <c r="G248" s="17" t="s">
        <v>728</v>
      </c>
      <c r="H248" s="17" t="s">
        <v>315</v>
      </c>
      <c r="I248" s="239" t="str">
        <f>IF(ISBLANK(input!I273),"",input!I273)</f>
        <v/>
      </c>
      <c r="O248" s="262" t="s">
        <v>4295</v>
      </c>
    </row>
    <row r="249" spans="1:15" ht="12.75" customHeight="1" x14ac:dyDescent="0.2">
      <c r="A249" s="17"/>
      <c r="B249" s="17" t="s">
        <v>729</v>
      </c>
      <c r="C249" s="17"/>
      <c r="D249" s="17"/>
      <c r="E249" s="17"/>
      <c r="F249" s="17"/>
      <c r="G249" s="17" t="s">
        <v>730</v>
      </c>
      <c r="H249" s="17" t="s">
        <v>718</v>
      </c>
      <c r="I249" s="239" t="str">
        <f>IF(ISBLANK(input!I274),"",input!I274)</f>
        <v/>
      </c>
      <c r="J249" s="228"/>
      <c r="O249" s="262" t="s">
        <v>4295</v>
      </c>
    </row>
    <row r="250" spans="1:15" ht="12.75" customHeight="1" x14ac:dyDescent="0.2">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2">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2">
      <c r="A252" s="566"/>
      <c r="B252" s="577" t="s">
        <v>737</v>
      </c>
      <c r="C252" s="566"/>
      <c r="D252" s="566"/>
      <c r="E252" s="566"/>
      <c r="F252" s="566"/>
      <c r="G252" s="566" t="s">
        <v>738</v>
      </c>
      <c r="H252" s="567" t="s">
        <v>733</v>
      </c>
      <c r="I252" s="239" t="str">
        <f>IF(ISBLANK(input!I277),"",input!I277)</f>
        <v/>
      </c>
      <c r="O252" s="262" t="s">
        <v>4295</v>
      </c>
    </row>
    <row r="253" spans="1:15" ht="12.75" customHeight="1" x14ac:dyDescent="0.2">
      <c r="A253" s="216"/>
      <c r="B253" s="608" t="s">
        <v>739</v>
      </c>
      <c r="C253" s="958"/>
      <c r="D253" s="228"/>
      <c r="E253" s="228"/>
      <c r="F253" s="228"/>
      <c r="G253" s="578" t="s">
        <v>740</v>
      </c>
      <c r="H253" s="216" t="s">
        <v>741</v>
      </c>
      <c r="I253" s="239" t="str">
        <f>IF(ISBLANK(input!I278),"",input!I278)</f>
        <v/>
      </c>
      <c r="O253" s="262" t="s">
        <v>4295</v>
      </c>
    </row>
    <row r="254" spans="1:15" ht="12.75" customHeight="1" x14ac:dyDescent="0.2">
      <c r="A254" s="216"/>
      <c r="B254" s="608" t="s">
        <v>739</v>
      </c>
      <c r="C254" s="958"/>
      <c r="D254" s="228"/>
      <c r="E254" s="228"/>
      <c r="F254" s="228"/>
      <c r="G254" s="578" t="s">
        <v>743</v>
      </c>
      <c r="H254" s="216" t="s">
        <v>741</v>
      </c>
      <c r="I254" s="239" t="str">
        <f>IF(ISBLANK(input!I279),"",input!I279)</f>
        <v/>
      </c>
      <c r="O254" s="262" t="s">
        <v>4295</v>
      </c>
    </row>
    <row r="255" spans="1:15" ht="12.75" customHeight="1" x14ac:dyDescent="0.2">
      <c r="A255" s="216"/>
      <c r="B255" s="608" t="s">
        <v>739</v>
      </c>
      <c r="C255" s="958"/>
      <c r="D255" s="228"/>
      <c r="E255" s="228"/>
      <c r="F255" s="228"/>
      <c r="G255" s="578" t="s">
        <v>744</v>
      </c>
      <c r="H255" s="216" t="s">
        <v>741</v>
      </c>
      <c r="I255" s="239" t="str">
        <f>IF(ISBLANK(input!I280),"",input!I280)</f>
        <v/>
      </c>
      <c r="O255" s="262" t="s">
        <v>4295</v>
      </c>
    </row>
    <row r="256" spans="1:15" ht="12.75" customHeight="1" x14ac:dyDescent="0.2">
      <c r="A256" s="216"/>
      <c r="B256" s="608" t="s">
        <v>745</v>
      </c>
      <c r="C256" s="958"/>
      <c r="D256" s="228"/>
      <c r="E256" s="228"/>
      <c r="F256" s="228"/>
      <c r="G256" s="578" t="s">
        <v>746</v>
      </c>
      <c r="H256" s="216" t="s">
        <v>604</v>
      </c>
      <c r="I256" s="239" t="str">
        <f>IF(ISBLANK(input!I281),"",input!I281)</f>
        <v/>
      </c>
      <c r="O256" s="262" t="s">
        <v>4295</v>
      </c>
    </row>
    <row r="257" spans="1:15" ht="12.75" customHeight="1" x14ac:dyDescent="0.2">
      <c r="A257" s="216"/>
      <c r="B257" s="608" t="s">
        <v>748</v>
      </c>
      <c r="C257" s="958"/>
      <c r="D257" s="228"/>
      <c r="E257" s="228"/>
      <c r="F257" s="228"/>
      <c r="G257" s="578" t="s">
        <v>749</v>
      </c>
      <c r="H257" s="216" t="s">
        <v>604</v>
      </c>
      <c r="I257" s="239" t="str">
        <f>IF(ISBLANK(input!I282),"",input!I282)</f>
        <v/>
      </c>
      <c r="O257" s="262" t="s">
        <v>4295</v>
      </c>
    </row>
    <row r="258" spans="1:15" ht="12.75" customHeight="1" x14ac:dyDescent="0.2">
      <c r="A258" s="216"/>
      <c r="B258" s="608" t="s">
        <v>750</v>
      </c>
      <c r="C258" s="958"/>
      <c r="D258" s="228"/>
      <c r="E258" s="228"/>
      <c r="F258" s="228"/>
      <c r="G258" s="578" t="s">
        <v>751</v>
      </c>
      <c r="H258" s="216" t="s">
        <v>604</v>
      </c>
      <c r="I258" s="239" t="str">
        <f>IF(ISBLANK(input!I283),"",input!I283)</f>
        <v/>
      </c>
      <c r="O258" s="262" t="s">
        <v>4295</v>
      </c>
    </row>
    <row r="259" spans="1:15" ht="12.75" customHeight="1" x14ac:dyDescent="0.2">
      <c r="A259" s="566"/>
      <c r="B259" s="577" t="s">
        <v>752</v>
      </c>
      <c r="C259" s="566"/>
      <c r="D259" s="566"/>
      <c r="E259" s="566"/>
      <c r="F259" s="566"/>
      <c r="G259" s="781" t="s">
        <v>753</v>
      </c>
      <c r="H259" s="567" t="s">
        <v>754</v>
      </c>
      <c r="I259" s="239" t="str">
        <f>IF(ISBLANK(input!I284),"",input!I284)</f>
        <v/>
      </c>
      <c r="O259" s="262" t="s">
        <v>4295</v>
      </c>
    </row>
    <row r="260" spans="1:15" ht="12.75" customHeight="1" x14ac:dyDescent="0.2">
      <c r="A260" s="216"/>
      <c r="B260" s="228"/>
      <c r="C260" s="216"/>
      <c r="D260" s="228"/>
      <c r="E260" s="228"/>
      <c r="F260" s="228"/>
      <c r="G260" s="578"/>
      <c r="H260" s="216"/>
      <c r="I260" s="239" t="str">
        <f>IF(ISBLANK(input!I285),"",input!I285)</f>
        <v/>
      </c>
      <c r="O260" s="262" t="s">
        <v>4295</v>
      </c>
    </row>
    <row r="261" spans="1:15" ht="12.75" customHeight="1" x14ac:dyDescent="0.2">
      <c r="A261" s="3" t="s">
        <v>235</v>
      </c>
      <c r="B261" s="17"/>
      <c r="C261" s="17"/>
      <c r="D261" s="17"/>
      <c r="E261" s="17"/>
      <c r="F261" s="17"/>
      <c r="G261" s="17"/>
      <c r="H261" s="17"/>
      <c r="I261" s="239" t="str">
        <f>IF(ISBLANK(input!I286),"",input!I286)</f>
        <v/>
      </c>
      <c r="O261" s="262" t="s">
        <v>4295</v>
      </c>
    </row>
    <row r="262" spans="1:15" ht="12.75" customHeight="1" x14ac:dyDescent="0.2">
      <c r="A262" s="17"/>
      <c r="B262" s="17" t="s">
        <v>695</v>
      </c>
      <c r="C262" s="17"/>
      <c r="D262" s="17"/>
      <c r="E262" s="17"/>
      <c r="F262" s="17"/>
      <c r="G262" s="17" t="s">
        <v>757</v>
      </c>
      <c r="H262" s="146" t="s">
        <v>697</v>
      </c>
      <c r="I262" s="239" t="str">
        <f>IF(ISBLANK(input!I287),"",input!I287)</f>
        <v/>
      </c>
      <c r="O262" s="262" t="s">
        <v>4295</v>
      </c>
    </row>
    <row r="263" spans="1:15" ht="12.75" customHeight="1" x14ac:dyDescent="0.2">
      <c r="A263" s="17"/>
      <c r="B263" s="17" t="s">
        <v>699</v>
      </c>
      <c r="C263" s="17"/>
      <c r="D263" s="17"/>
      <c r="E263" s="17"/>
      <c r="F263" s="17"/>
      <c r="G263" s="17" t="s">
        <v>758</v>
      </c>
      <c r="H263" s="146" t="s">
        <v>697</v>
      </c>
      <c r="I263" s="239" t="str">
        <f>IF(ISBLANK(input!I288),"",input!I288)</f>
        <v/>
      </c>
      <c r="O263" s="262" t="s">
        <v>4295</v>
      </c>
    </row>
    <row r="264" spans="1:15" ht="12.75" customHeight="1" x14ac:dyDescent="0.2">
      <c r="A264" s="17"/>
      <c r="B264" s="17" t="s">
        <v>703</v>
      </c>
      <c r="C264" s="17"/>
      <c r="D264" s="17"/>
      <c r="E264" s="17"/>
      <c r="F264" s="17"/>
      <c r="G264" s="17" t="s">
        <v>764</v>
      </c>
      <c r="H264" s="17" t="s">
        <v>315</v>
      </c>
      <c r="I264" s="239" t="str">
        <f>IF(ISBLANK(input!I291),"",input!I291)</f>
        <v/>
      </c>
      <c r="O264" s="262" t="s">
        <v>4295</v>
      </c>
    </row>
    <row r="265" spans="1:15" ht="12.75" customHeight="1" x14ac:dyDescent="0.2">
      <c r="A265" s="17"/>
      <c r="B265" s="17" t="s">
        <v>703</v>
      </c>
      <c r="C265" s="17"/>
      <c r="D265" s="17"/>
      <c r="E265" s="17"/>
      <c r="F265" s="17"/>
      <c r="G265" s="17" t="s">
        <v>765</v>
      </c>
      <c r="H265" s="17" t="s">
        <v>315</v>
      </c>
      <c r="I265" s="239" t="str">
        <f>IF(ISBLANK(input!I292),"",input!I292)</f>
        <v/>
      </c>
      <c r="O265" s="262" t="s">
        <v>4295</v>
      </c>
    </row>
    <row r="266" spans="1:15" ht="12.75" customHeight="1" x14ac:dyDescent="0.2">
      <c r="A266" s="17"/>
      <c r="B266" s="17" t="s">
        <v>705</v>
      </c>
      <c r="C266" s="17"/>
      <c r="D266" s="17"/>
      <c r="E266" s="17"/>
      <c r="F266" s="17"/>
      <c r="G266" s="17" t="s">
        <v>766</v>
      </c>
      <c r="H266" s="17" t="s">
        <v>315</v>
      </c>
      <c r="I266" s="239" t="str">
        <f>IF(ISBLANK(input!I293),"",input!I293)</f>
        <v/>
      </c>
      <c r="O266" s="262" t="s">
        <v>4295</v>
      </c>
    </row>
    <row r="267" spans="1:15" ht="12.75" customHeight="1" x14ac:dyDescent="0.2">
      <c r="A267" s="17"/>
      <c r="B267" s="17" t="s">
        <v>707</v>
      </c>
      <c r="C267" s="17"/>
      <c r="D267" s="17"/>
      <c r="E267" s="17"/>
      <c r="F267" s="17"/>
      <c r="G267" s="17" t="s">
        <v>767</v>
      </c>
      <c r="H267" s="17" t="s">
        <v>315</v>
      </c>
      <c r="I267" s="239" t="str">
        <f>IF(ISBLANK(input!I294),"",input!I294)</f>
        <v/>
      </c>
      <c r="O267" s="262" t="s">
        <v>4295</v>
      </c>
    </row>
    <row r="268" spans="1:15" ht="12.75" customHeight="1" x14ac:dyDescent="0.2">
      <c r="A268" s="17"/>
      <c r="B268" s="17" t="s">
        <v>709</v>
      </c>
      <c r="C268" s="17"/>
      <c r="D268" s="17"/>
      <c r="E268" s="17"/>
      <c r="F268" s="17"/>
      <c r="G268" s="17" t="s">
        <v>768</v>
      </c>
      <c r="H268" s="17" t="s">
        <v>315</v>
      </c>
      <c r="I268" s="239" t="str">
        <f>IF(ISBLANK(input!I295),"",input!I295)</f>
        <v/>
      </c>
      <c r="O268" s="262" t="s">
        <v>4295</v>
      </c>
    </row>
    <row r="269" spans="1:15" ht="12.75" customHeight="1" x14ac:dyDescent="0.2">
      <c r="A269" s="17"/>
      <c r="B269" s="17" t="s">
        <v>711</v>
      </c>
      <c r="C269" s="17"/>
      <c r="D269" s="17"/>
      <c r="E269" s="17"/>
      <c r="F269" s="17"/>
      <c r="G269" s="17" t="s">
        <v>769</v>
      </c>
      <c r="H269" s="17" t="s">
        <v>610</v>
      </c>
      <c r="I269" s="239" t="str">
        <f>IF(ISBLANK(input!I296),"",input!I296)</f>
        <v/>
      </c>
      <c r="O269" s="262" t="s">
        <v>4295</v>
      </c>
    </row>
    <row r="270" spans="1:15" ht="12.75" customHeight="1" x14ac:dyDescent="0.2">
      <c r="A270" s="17"/>
      <c r="B270" s="17" t="s">
        <v>713</v>
      </c>
      <c r="C270" s="17"/>
      <c r="D270" s="17"/>
      <c r="E270" s="17"/>
      <c r="F270" s="17"/>
      <c r="G270" s="17" t="s">
        <v>770</v>
      </c>
      <c r="H270" s="17" t="s">
        <v>715</v>
      </c>
      <c r="I270" s="239" t="str">
        <f>IF(ISBLANK(input!I297),"",input!I297)</f>
        <v/>
      </c>
      <c r="O270" s="262" t="s">
        <v>4295</v>
      </c>
    </row>
    <row r="271" spans="1:15" ht="12.75" customHeight="1" x14ac:dyDescent="0.2">
      <c r="A271" s="17"/>
      <c r="B271" s="17" t="s">
        <v>716</v>
      </c>
      <c r="C271" s="17"/>
      <c r="D271" s="17"/>
      <c r="E271" s="17"/>
      <c r="F271" s="17"/>
      <c r="G271" s="17" t="s">
        <v>771</v>
      </c>
      <c r="H271" s="17" t="s">
        <v>718</v>
      </c>
      <c r="I271" s="239" t="str">
        <f>IF(ISBLANK(input!I298),"",input!I298)</f>
        <v/>
      </c>
      <c r="O271" s="262" t="s">
        <v>4295</v>
      </c>
    </row>
    <row r="272" spans="1:15" ht="12.75" customHeight="1" x14ac:dyDescent="0.2">
      <c r="A272" s="17"/>
      <c r="B272" s="17" t="s">
        <v>721</v>
      </c>
      <c r="C272" s="17"/>
      <c r="D272" s="17"/>
      <c r="E272" s="17"/>
      <c r="F272" s="17"/>
      <c r="G272" s="17" t="s">
        <v>772</v>
      </c>
      <c r="H272" s="17" t="s">
        <v>302</v>
      </c>
      <c r="I272" s="239" t="str">
        <f>IF(ISBLANK(input!I299),"",input!I299)</f>
        <v/>
      </c>
      <c r="O272" s="262" t="s">
        <v>4295</v>
      </c>
    </row>
    <row r="273" spans="1:15" ht="12.75" customHeight="1" x14ac:dyDescent="0.2">
      <c r="A273" s="17"/>
      <c r="B273" s="17" t="s">
        <v>721</v>
      </c>
      <c r="C273" s="17"/>
      <c r="D273" s="17"/>
      <c r="E273" s="17"/>
      <c r="F273" s="17"/>
      <c r="G273" s="17" t="s">
        <v>773</v>
      </c>
      <c r="H273" s="17" t="s">
        <v>302</v>
      </c>
      <c r="I273" s="239" t="str">
        <f>IF(ISBLANK(input!I300),"",input!I300)</f>
        <v/>
      </c>
      <c r="O273" s="262" t="s">
        <v>4295</v>
      </c>
    </row>
    <row r="274" spans="1:15" ht="12.75" customHeight="1" x14ac:dyDescent="0.2">
      <c r="A274" s="17"/>
      <c r="B274" s="17" t="s">
        <v>774</v>
      </c>
      <c r="C274" s="17"/>
      <c r="D274" s="17"/>
      <c r="E274" s="17"/>
      <c r="F274" s="17"/>
      <c r="G274" s="17" t="s">
        <v>775</v>
      </c>
      <c r="H274" s="17" t="s">
        <v>315</v>
      </c>
      <c r="I274" s="239" t="str">
        <f>IF(ISBLANK(input!I301),"",input!I301)</f>
        <v/>
      </c>
      <c r="O274" s="262" t="s">
        <v>4295</v>
      </c>
    </row>
    <row r="275" spans="1:15" ht="12.75" customHeight="1" x14ac:dyDescent="0.2">
      <c r="A275" s="17"/>
      <c r="B275" s="17" t="s">
        <v>727</v>
      </c>
      <c r="C275" s="17"/>
      <c r="D275" s="17"/>
      <c r="E275" s="17"/>
      <c r="F275" s="17"/>
      <c r="G275" s="17" t="s">
        <v>776</v>
      </c>
      <c r="H275" s="17" t="s">
        <v>315</v>
      </c>
      <c r="I275" s="239" t="str">
        <f>IF(ISBLANK(input!I302),"",input!I302)</f>
        <v/>
      </c>
      <c r="O275" s="262" t="s">
        <v>4295</v>
      </c>
    </row>
    <row r="276" spans="1:15" ht="12.75" customHeight="1" x14ac:dyDescent="0.2">
      <c r="A276" s="17"/>
      <c r="B276" s="17" t="s">
        <v>725</v>
      </c>
      <c r="C276" s="17"/>
      <c r="D276" s="17"/>
      <c r="E276" s="17"/>
      <c r="F276" s="17"/>
      <c r="G276" s="17" t="s">
        <v>777</v>
      </c>
      <c r="H276" s="17" t="s">
        <v>315</v>
      </c>
      <c r="I276" s="239" t="str">
        <f>IF(ISBLANK(input!I303),"",input!I303)</f>
        <v/>
      </c>
      <c r="O276" s="262" t="s">
        <v>4295</v>
      </c>
    </row>
    <row r="277" spans="1:15" ht="12.75" customHeight="1" x14ac:dyDescent="0.2">
      <c r="A277" s="17"/>
      <c r="B277" s="17" t="s">
        <v>729</v>
      </c>
      <c r="C277" s="17"/>
      <c r="D277" s="17"/>
      <c r="E277" s="17"/>
      <c r="F277" s="17"/>
      <c r="G277" s="17" t="s">
        <v>778</v>
      </c>
      <c r="H277" s="17" t="s">
        <v>718</v>
      </c>
      <c r="I277" s="239" t="str">
        <f>IF(ISBLANK(input!I304),"",input!I304)</f>
        <v/>
      </c>
      <c r="O277" s="262" t="s">
        <v>4295</v>
      </c>
    </row>
    <row r="278" spans="1:15" ht="12.75" customHeight="1" x14ac:dyDescent="0.2">
      <c r="A278" s="566"/>
      <c r="B278" s="577" t="s">
        <v>731</v>
      </c>
      <c r="C278" s="566"/>
      <c r="D278" s="566"/>
      <c r="E278" s="566"/>
      <c r="F278" s="566"/>
      <c r="G278" s="566" t="s">
        <v>779</v>
      </c>
      <c r="H278" s="567" t="s">
        <v>733</v>
      </c>
      <c r="I278" s="239" t="str">
        <f>IF(ISBLANK(input!I305),"",input!I305)</f>
        <v/>
      </c>
      <c r="O278" s="262" t="s">
        <v>4295</v>
      </c>
    </row>
    <row r="279" spans="1:15" ht="12.75" customHeight="1" x14ac:dyDescent="0.2">
      <c r="A279" s="566"/>
      <c r="B279" s="577" t="s">
        <v>735</v>
      </c>
      <c r="C279" s="566"/>
      <c r="D279" s="566"/>
      <c r="E279" s="566"/>
      <c r="F279" s="566"/>
      <c r="G279" s="566" t="s">
        <v>780</v>
      </c>
      <c r="H279" s="567" t="s">
        <v>733</v>
      </c>
      <c r="I279" s="239" t="str">
        <f>IF(ISBLANK(input!I306),"",input!I306)</f>
        <v/>
      </c>
      <c r="O279" s="262" t="s">
        <v>4295</v>
      </c>
    </row>
    <row r="280" spans="1:15" ht="12.75" customHeight="1" x14ac:dyDescent="0.2">
      <c r="A280" s="566"/>
      <c r="B280" s="577" t="s">
        <v>737</v>
      </c>
      <c r="C280" s="566"/>
      <c r="D280" s="566"/>
      <c r="E280" s="566"/>
      <c r="F280" s="566"/>
      <c r="G280" s="566" t="s">
        <v>781</v>
      </c>
      <c r="H280" s="567" t="s">
        <v>733</v>
      </c>
      <c r="I280" s="239" t="str">
        <f>IF(ISBLANK(input!I307),"",input!I307)</f>
        <v/>
      </c>
      <c r="O280" s="262" t="s">
        <v>4295</v>
      </c>
    </row>
    <row r="281" spans="1:15" ht="12.75" customHeight="1" x14ac:dyDescent="0.2">
      <c r="A281" s="38"/>
      <c r="B281" s="173" t="s">
        <v>739</v>
      </c>
      <c r="C281" s="958"/>
      <c r="D281" s="17"/>
      <c r="E281" s="17"/>
      <c r="F281" s="17"/>
      <c r="G281" s="146" t="s">
        <v>782</v>
      </c>
      <c r="H281" s="38" t="s">
        <v>741</v>
      </c>
      <c r="I281" s="239" t="str">
        <f>IF(ISBLANK(input!I308),"",input!I308)</f>
        <v/>
      </c>
      <c r="O281" s="262" t="s">
        <v>4295</v>
      </c>
    </row>
    <row r="282" spans="1:15" ht="12.75" customHeight="1" x14ac:dyDescent="0.2">
      <c r="A282" s="38"/>
      <c r="B282" s="173" t="s">
        <v>739</v>
      </c>
      <c r="C282" s="958"/>
      <c r="D282" s="17"/>
      <c r="E282" s="17"/>
      <c r="F282" s="17"/>
      <c r="G282" s="146" t="s">
        <v>783</v>
      </c>
      <c r="H282" s="38" t="s">
        <v>741</v>
      </c>
      <c r="I282" s="239" t="str">
        <f>IF(ISBLANK(input!I309),"",input!I309)</f>
        <v/>
      </c>
      <c r="O282" s="262" t="s">
        <v>4295</v>
      </c>
    </row>
    <row r="283" spans="1:15" ht="12.75" customHeight="1" x14ac:dyDescent="0.2">
      <c r="A283" s="38"/>
      <c r="B283" s="173" t="s">
        <v>739</v>
      </c>
      <c r="C283" s="958"/>
      <c r="D283" s="17"/>
      <c r="E283" s="17"/>
      <c r="F283" s="17"/>
      <c r="G283" s="146" t="s">
        <v>784</v>
      </c>
      <c r="H283" s="38" t="s">
        <v>741</v>
      </c>
      <c r="I283" s="239" t="str">
        <f>IF(ISBLANK(input!I310),"",input!I310)</f>
        <v/>
      </c>
      <c r="O283" s="262" t="s">
        <v>4295</v>
      </c>
    </row>
    <row r="284" spans="1:15" ht="12.75" customHeight="1" x14ac:dyDescent="0.2">
      <c r="A284" s="38"/>
      <c r="B284" s="173" t="s">
        <v>748</v>
      </c>
      <c r="C284" s="958"/>
      <c r="D284" s="17"/>
      <c r="E284" s="17"/>
      <c r="F284" s="17"/>
      <c r="G284" s="146" t="s">
        <v>785</v>
      </c>
      <c r="H284" s="38" t="s">
        <v>604</v>
      </c>
      <c r="I284" s="239" t="str">
        <f>IF(ISBLANK(input!I311),"",input!I311)</f>
        <v/>
      </c>
      <c r="O284" s="262" t="s">
        <v>4295</v>
      </c>
    </row>
    <row r="285" spans="1:15" ht="12.75" customHeight="1" x14ac:dyDescent="0.2">
      <c r="A285" s="38"/>
      <c r="B285" s="173" t="s">
        <v>748</v>
      </c>
      <c r="C285" s="958"/>
      <c r="D285" s="17"/>
      <c r="E285" s="17"/>
      <c r="F285" s="17"/>
      <c r="G285" s="146" t="s">
        <v>786</v>
      </c>
      <c r="H285" s="38" t="s">
        <v>741</v>
      </c>
      <c r="I285" s="239" t="str">
        <f>IF(ISBLANK(input!I312),"",input!I312)</f>
        <v/>
      </c>
      <c r="O285" s="262" t="s">
        <v>4295</v>
      </c>
    </row>
    <row r="286" spans="1:15" ht="12.75" customHeight="1" x14ac:dyDescent="0.2">
      <c r="A286" s="38"/>
      <c r="B286" s="173" t="s">
        <v>750</v>
      </c>
      <c r="C286" s="958"/>
      <c r="D286" s="17"/>
      <c r="E286" s="17"/>
      <c r="F286" s="17"/>
      <c r="G286" s="146" t="s">
        <v>787</v>
      </c>
      <c r="H286" s="38" t="s">
        <v>741</v>
      </c>
      <c r="I286" s="239" t="str">
        <f>IF(ISBLANK(input!I313),"",input!I313)</f>
        <v/>
      </c>
      <c r="O286" s="262" t="s">
        <v>4295</v>
      </c>
    </row>
    <row r="287" spans="1:15" ht="12.75" customHeight="1" x14ac:dyDescent="0.2">
      <c r="A287" s="566"/>
      <c r="B287" s="577" t="s">
        <v>752</v>
      </c>
      <c r="C287" s="566"/>
      <c r="D287" s="566"/>
      <c r="E287" s="566"/>
      <c r="F287" s="566"/>
      <c r="G287" s="567" t="s">
        <v>788</v>
      </c>
      <c r="H287" s="567" t="s">
        <v>754</v>
      </c>
      <c r="I287" s="239" t="str">
        <f>IF(ISBLANK(input!I314),"",input!I314)</f>
        <v/>
      </c>
      <c r="O287" s="262" t="s">
        <v>4295</v>
      </c>
    </row>
    <row r="288" spans="1:15" ht="12.75" customHeight="1" x14ac:dyDescent="0.2">
      <c r="A288" s="17"/>
      <c r="B288" s="17"/>
      <c r="C288" s="17"/>
      <c r="D288" s="17"/>
      <c r="E288" s="17"/>
      <c r="F288" s="17"/>
      <c r="G288" s="17"/>
      <c r="H288" s="17"/>
      <c r="I288" s="239" t="str">
        <f>IF(ISBLANK(input!I315),"",input!I315)</f>
        <v/>
      </c>
      <c r="O288" s="262" t="s">
        <v>4295</v>
      </c>
    </row>
    <row r="289" spans="1:15" ht="12.75" customHeight="1" x14ac:dyDescent="0.2">
      <c r="A289" s="3" t="s">
        <v>789</v>
      </c>
      <c r="B289" s="17"/>
      <c r="C289" s="17"/>
      <c r="D289" s="17"/>
      <c r="E289" s="17"/>
      <c r="F289" s="17"/>
      <c r="G289" s="38"/>
      <c r="H289" s="149"/>
      <c r="I289" s="239" t="str">
        <f>IF(ISBLANK(input!I316),"",input!I316)</f>
        <v/>
      </c>
      <c r="O289" s="262" t="s">
        <v>4295</v>
      </c>
    </row>
    <row r="290" spans="1:15" ht="12.75" customHeight="1" x14ac:dyDescent="0.2">
      <c r="A290" s="566"/>
      <c r="B290" s="566" t="s">
        <v>790</v>
      </c>
      <c r="C290" s="566"/>
      <c r="D290" s="566"/>
      <c r="E290" s="566"/>
      <c r="F290" s="566"/>
      <c r="G290" s="567" t="s">
        <v>791</v>
      </c>
      <c r="H290" s="567" t="s">
        <v>314</v>
      </c>
      <c r="I290" s="239" t="str">
        <f>IF(ISBLANK(input!I317),"",input!I317)</f>
        <v/>
      </c>
      <c r="O290" s="262" t="s">
        <v>4295</v>
      </c>
    </row>
    <row r="291" spans="1:15" ht="12.75" customHeight="1" x14ac:dyDescent="0.2">
      <c r="A291" s="228"/>
      <c r="B291" s="228" t="s">
        <v>792</v>
      </c>
      <c r="C291" s="228"/>
      <c r="D291" s="228"/>
      <c r="E291" s="228"/>
      <c r="F291" s="228"/>
      <c r="G291" s="216" t="s">
        <v>793</v>
      </c>
      <c r="H291" s="216" t="s">
        <v>314</v>
      </c>
      <c r="I291" s="239" t="str">
        <f>IF(ISBLANK(input!I318),"",input!I318)</f>
        <v/>
      </c>
      <c r="O291" s="262" t="s">
        <v>4295</v>
      </c>
    </row>
    <row r="292" spans="1:15" ht="12.75" customHeight="1" x14ac:dyDescent="0.2">
      <c r="A292" s="228"/>
      <c r="B292" s="228" t="s">
        <v>795</v>
      </c>
      <c r="C292" s="228"/>
      <c r="D292" s="228"/>
      <c r="E292" s="228"/>
      <c r="F292" s="228"/>
      <c r="G292" s="216" t="s">
        <v>796</v>
      </c>
      <c r="H292" s="216" t="s">
        <v>314</v>
      </c>
      <c r="I292" s="239" t="str">
        <f>IF(ISBLANK(input!I319),"",input!I319)</f>
        <v/>
      </c>
      <c r="O292" s="262" t="s">
        <v>4295</v>
      </c>
    </row>
    <row r="293" spans="1:15" ht="12.75" customHeight="1" x14ac:dyDescent="0.2">
      <c r="A293" s="228"/>
      <c r="B293" s="228" t="s">
        <v>797</v>
      </c>
      <c r="C293" s="228"/>
      <c r="D293" s="228"/>
      <c r="E293" s="228"/>
      <c r="F293" s="228"/>
      <c r="G293" s="216" t="s">
        <v>798</v>
      </c>
      <c r="H293" s="216" t="s">
        <v>314</v>
      </c>
      <c r="I293" s="239" t="str">
        <f>IF(ISBLANK(input!I320),"",input!I320)</f>
        <v/>
      </c>
      <c r="O293" s="262" t="s">
        <v>4295</v>
      </c>
    </row>
    <row r="294" spans="1:15" ht="12.75" customHeight="1" x14ac:dyDescent="0.2">
      <c r="A294" s="228"/>
      <c r="B294" s="228" t="s">
        <v>799</v>
      </c>
      <c r="C294" s="228"/>
      <c r="D294" s="228"/>
      <c r="E294" s="228"/>
      <c r="F294" s="228"/>
      <c r="G294" s="216" t="s">
        <v>800</v>
      </c>
      <c r="H294" s="216" t="s">
        <v>314</v>
      </c>
      <c r="I294" s="239" t="str">
        <f>IF(ISBLANK(input!I321),"",input!I321)</f>
        <v/>
      </c>
      <c r="O294" s="262" t="s">
        <v>4295</v>
      </c>
    </row>
    <row r="295" spans="1:15" ht="12.75" customHeight="1" x14ac:dyDescent="0.2">
      <c r="A295" s="228"/>
      <c r="B295" s="228" t="s">
        <v>801</v>
      </c>
      <c r="C295" s="228"/>
      <c r="D295" s="228"/>
      <c r="E295" s="228"/>
      <c r="F295" s="228"/>
      <c r="G295" s="216" t="s">
        <v>802</v>
      </c>
      <c r="H295" s="216" t="s">
        <v>314</v>
      </c>
      <c r="I295" s="239" t="str">
        <f>IF(ISBLANK(input!I322),"",input!I322)</f>
        <v/>
      </c>
      <c r="O295" s="262" t="s">
        <v>4295</v>
      </c>
    </row>
    <row r="296" spans="1:15" ht="12.75" customHeight="1" x14ac:dyDescent="0.2">
      <c r="A296" s="228"/>
      <c r="B296" s="228" t="s">
        <v>803</v>
      </c>
      <c r="C296" s="228"/>
      <c r="D296" s="228"/>
      <c r="E296" s="228"/>
      <c r="F296" s="228"/>
      <c r="G296" s="216" t="s">
        <v>804</v>
      </c>
      <c r="H296" s="216" t="s">
        <v>314</v>
      </c>
      <c r="I296" s="239" t="str">
        <f>IF(ISBLANK(input!I323),"",input!I323)</f>
        <v/>
      </c>
      <c r="O296" s="262" t="s">
        <v>4295</v>
      </c>
    </row>
    <row r="297" spans="1:15" ht="12.75" customHeight="1" x14ac:dyDescent="0.2">
      <c r="A297" s="228"/>
      <c r="B297" s="228" t="s">
        <v>805</v>
      </c>
      <c r="C297" s="228"/>
      <c r="D297" s="228"/>
      <c r="E297" s="228"/>
      <c r="F297" s="228"/>
      <c r="G297" s="216" t="s">
        <v>806</v>
      </c>
      <c r="H297" s="578" t="s">
        <v>807</v>
      </c>
      <c r="I297" s="239" t="str">
        <f>IF(ISBLANK(input!I324),"",input!I324)</f>
        <v/>
      </c>
      <c r="O297" s="262" t="s">
        <v>4295</v>
      </c>
    </row>
    <row r="298" spans="1:15" ht="12.75" customHeight="1" x14ac:dyDescent="0.2">
      <c r="A298" s="228"/>
      <c r="B298" s="228" t="s">
        <v>809</v>
      </c>
      <c r="C298" s="228"/>
      <c r="D298" s="228"/>
      <c r="E298" s="228"/>
      <c r="F298" s="228"/>
      <c r="G298" s="216" t="s">
        <v>810</v>
      </c>
      <c r="H298" s="578" t="s">
        <v>807</v>
      </c>
      <c r="I298" s="239" t="str">
        <f>IF(ISBLANK(input!I325),"",input!I325)</f>
        <v/>
      </c>
      <c r="O298" s="262" t="s">
        <v>4295</v>
      </c>
    </row>
    <row r="299" spans="1:15" ht="12.75" customHeight="1" x14ac:dyDescent="0.2">
      <c r="A299" s="228"/>
      <c r="B299" s="228" t="s">
        <v>811</v>
      </c>
      <c r="C299" s="228"/>
      <c r="D299" s="228"/>
      <c r="E299" s="228"/>
      <c r="F299" s="228"/>
      <c r="G299" s="228" t="s">
        <v>812</v>
      </c>
      <c r="H299" s="228" t="s">
        <v>314</v>
      </c>
      <c r="I299" s="239" t="str">
        <f>IF(ISBLANK(input!I326),"",input!I326)</f>
        <v/>
      </c>
      <c r="O299" s="262" t="s">
        <v>4295</v>
      </c>
    </row>
    <row r="300" spans="1:15" ht="12.75" customHeight="1" x14ac:dyDescent="0.2">
      <c r="A300" s="216"/>
      <c r="B300" s="216" t="s">
        <v>813</v>
      </c>
      <c r="C300" s="228"/>
      <c r="D300" s="228"/>
      <c r="E300" s="578"/>
      <c r="F300" s="578"/>
      <c r="G300" s="228" t="s">
        <v>814</v>
      </c>
      <c r="H300" s="216" t="s">
        <v>314</v>
      </c>
      <c r="I300" s="239" t="str">
        <f>IF(ISBLANK(input!I327),"",input!I327)</f>
        <v/>
      </c>
      <c r="O300" s="262" t="s">
        <v>4295</v>
      </c>
    </row>
    <row r="301" spans="1:15" ht="12.75" customHeight="1" x14ac:dyDescent="0.2">
      <c r="A301" s="228"/>
      <c r="B301" s="228" t="s">
        <v>815</v>
      </c>
      <c r="C301" s="228"/>
      <c r="D301" s="228"/>
      <c r="E301" s="228"/>
      <c r="F301" s="228"/>
      <c r="G301" s="228" t="s">
        <v>816</v>
      </c>
      <c r="H301" s="216" t="s">
        <v>817</v>
      </c>
      <c r="I301" s="239" t="str">
        <f>IF(ISBLANK(input!I328),"",input!I328)</f>
        <v/>
      </c>
      <c r="O301" s="262" t="s">
        <v>4295</v>
      </c>
    </row>
    <row r="302" spans="1:15" ht="12.75" customHeight="1" x14ac:dyDescent="0.2">
      <c r="A302" s="216"/>
      <c r="B302" s="216" t="s">
        <v>818</v>
      </c>
      <c r="C302" s="578"/>
      <c r="D302" s="578"/>
      <c r="E302" s="228"/>
      <c r="F302" s="228"/>
      <c r="G302" s="228" t="s">
        <v>819</v>
      </c>
      <c r="H302" s="216" t="s">
        <v>817</v>
      </c>
      <c r="I302" s="239" t="str">
        <f>IF(ISBLANK(input!I329),"",input!I329)</f>
        <v/>
      </c>
      <c r="O302" s="262" t="s">
        <v>4295</v>
      </c>
    </row>
    <row r="303" spans="1:15" ht="12.75" customHeight="1" x14ac:dyDescent="0.2">
      <c r="A303" s="566"/>
      <c r="B303" s="566" t="s">
        <v>820</v>
      </c>
      <c r="C303" s="566"/>
      <c r="D303" s="566"/>
      <c r="E303" s="566"/>
      <c r="F303" s="566"/>
      <c r="G303" s="566" t="s">
        <v>821</v>
      </c>
      <c r="H303" s="566" t="s">
        <v>822</v>
      </c>
      <c r="I303" s="239" t="str">
        <f>IF(ISBLANK(input!I330),"",input!I330)</f>
        <v/>
      </c>
      <c r="O303" s="262" t="s">
        <v>4295</v>
      </c>
    </row>
    <row r="304" spans="1:15" ht="12.75" customHeight="1" x14ac:dyDescent="0.2">
      <c r="A304" s="566"/>
      <c r="B304" s="566" t="s">
        <v>824</v>
      </c>
      <c r="C304" s="566"/>
      <c r="D304" s="566"/>
      <c r="E304" s="566"/>
      <c r="F304" s="566"/>
      <c r="G304" s="567" t="s">
        <v>825</v>
      </c>
      <c r="H304" s="567" t="s">
        <v>305</v>
      </c>
      <c r="I304" s="239" t="str">
        <f>IF(ISBLANK(input!I331),"",input!I331)</f>
        <v/>
      </c>
      <c r="O304" s="262" t="s">
        <v>4295</v>
      </c>
    </row>
    <row r="305" spans="1:26" ht="12.75" customHeight="1" x14ac:dyDescent="0.2">
      <c r="A305" s="566"/>
      <c r="B305" s="566" t="s">
        <v>826</v>
      </c>
      <c r="C305" s="566"/>
      <c r="D305" s="566"/>
      <c r="E305" s="566"/>
      <c r="F305" s="566"/>
      <c r="G305" s="567" t="s">
        <v>827</v>
      </c>
      <c r="H305" s="566" t="s">
        <v>828</v>
      </c>
      <c r="I305" s="239" t="str">
        <f>IF(ISBLANK(input!I332),"",input!I332)</f>
        <v/>
      </c>
      <c r="O305" s="262" t="s">
        <v>4295</v>
      </c>
    </row>
    <row r="306" spans="1:26" ht="12.75" customHeight="1" x14ac:dyDescent="0.2">
      <c r="A306" s="566"/>
      <c r="B306" s="566" t="s">
        <v>830</v>
      </c>
      <c r="C306" s="566"/>
      <c r="D306" s="566"/>
      <c r="E306" s="566"/>
      <c r="F306" s="566"/>
      <c r="G306" s="567" t="s">
        <v>831</v>
      </c>
      <c r="H306" s="567" t="s">
        <v>817</v>
      </c>
      <c r="I306" s="239" t="str">
        <f>IF(ISBLANK(input!I333),"",input!I333)</f>
        <v/>
      </c>
      <c r="O306" s="262" t="s">
        <v>4295</v>
      </c>
    </row>
    <row r="307" spans="1:26" ht="12.75" customHeight="1" x14ac:dyDescent="0.2">
      <c r="A307" s="566"/>
      <c r="B307" s="566" t="s">
        <v>832</v>
      </c>
      <c r="C307" s="566"/>
      <c r="D307" s="566"/>
      <c r="E307" s="566"/>
      <c r="F307" s="566"/>
      <c r="G307" s="566" t="s">
        <v>833</v>
      </c>
      <c r="H307" s="566" t="s">
        <v>834</v>
      </c>
      <c r="I307" s="239" t="str">
        <f>IF(ISBLANK(input!I334),"",input!I334)</f>
        <v/>
      </c>
      <c r="O307" s="262" t="s">
        <v>4295</v>
      </c>
    </row>
    <row r="308" spans="1:26" ht="12.75" customHeight="1" x14ac:dyDescent="0.2">
      <c r="A308" s="566"/>
      <c r="B308" s="566" t="s">
        <v>836</v>
      </c>
      <c r="C308" s="566"/>
      <c r="D308" s="566"/>
      <c r="E308" s="566"/>
      <c r="F308" s="566"/>
      <c r="G308" s="566" t="s">
        <v>837</v>
      </c>
      <c r="H308" s="566" t="s">
        <v>838</v>
      </c>
      <c r="I308" s="239" t="str">
        <f>IF(ISBLANK(input!I335),"",input!I335)</f>
        <v/>
      </c>
      <c r="O308" s="262" t="s">
        <v>4295</v>
      </c>
    </row>
    <row r="309" spans="1:26" ht="12.75" customHeight="1" x14ac:dyDescent="0.2">
      <c r="A309" s="566"/>
      <c r="B309" s="566"/>
      <c r="C309" s="566"/>
      <c r="D309" s="566"/>
      <c r="E309" s="566"/>
      <c r="F309" s="566"/>
      <c r="G309" s="566"/>
      <c r="H309" s="566"/>
      <c r="I309" s="239" t="str">
        <f>IF(ISBLANK(input!I336),"",input!I336)</f>
        <v/>
      </c>
      <c r="O309" s="262" t="s">
        <v>4295</v>
      </c>
    </row>
    <row r="310" spans="1:26" ht="12.75" customHeight="1" x14ac:dyDescent="0.2">
      <c r="A310" s="586" t="s">
        <v>840</v>
      </c>
      <c r="B310" s="586"/>
      <c r="C310" s="586"/>
      <c r="D310" s="586"/>
      <c r="E310" s="586"/>
      <c r="F310" s="586"/>
      <c r="G310" s="586"/>
      <c r="H310" s="586"/>
      <c r="I310" s="239" t="str">
        <f>IF(ISBLANK(input!I337),"",input!I337)</f>
        <v/>
      </c>
      <c r="O310" s="262" t="s">
        <v>4295</v>
      </c>
    </row>
    <row r="311" spans="1:26" ht="12.75" customHeight="1" x14ac:dyDescent="0.2">
      <c r="A311" s="566"/>
      <c r="B311" s="566" t="s">
        <v>841</v>
      </c>
      <c r="C311" s="566"/>
      <c r="D311" s="566"/>
      <c r="E311" s="566"/>
      <c r="F311" s="584"/>
      <c r="G311" s="779" t="s">
        <v>842</v>
      </c>
      <c r="H311" s="567" t="s">
        <v>301</v>
      </c>
      <c r="I311" s="239" t="str">
        <f>IF(ISBLANK(input!I338),"",input!I338)</f>
        <v/>
      </c>
      <c r="O311" s="262" t="s">
        <v>4295</v>
      </c>
    </row>
    <row r="312" spans="1:26" ht="12.75" customHeight="1" x14ac:dyDescent="0.2">
      <c r="A312" s="566"/>
      <c r="B312" s="566" t="s">
        <v>844</v>
      </c>
      <c r="C312" s="566"/>
      <c r="D312" s="566"/>
      <c r="E312" s="566"/>
      <c r="F312" s="584"/>
      <c r="G312" s="779" t="s">
        <v>845</v>
      </c>
      <c r="H312" s="567" t="s">
        <v>305</v>
      </c>
      <c r="I312" s="239" t="str">
        <f>IF(ISBLANK(input!I339),"",input!I339)</f>
        <v/>
      </c>
      <c r="O312" s="262" t="s">
        <v>4295</v>
      </c>
    </row>
    <row r="313" spans="1:26" ht="12.75" customHeight="1" x14ac:dyDescent="0.2">
      <c r="A313" s="566"/>
      <c r="B313" s="566" t="s">
        <v>847</v>
      </c>
      <c r="C313" s="566"/>
      <c r="D313" s="566"/>
      <c r="E313" s="566"/>
      <c r="F313" s="584"/>
      <c r="G313" s="779" t="s">
        <v>848</v>
      </c>
      <c r="H313" s="567" t="s">
        <v>301</v>
      </c>
      <c r="I313" s="239" t="str">
        <f>IF(ISBLANK(input!I340),"",input!I340)</f>
        <v/>
      </c>
      <c r="O313" s="262" t="s">
        <v>4295</v>
      </c>
    </row>
    <row r="314" spans="1:26" ht="12.75" customHeight="1" x14ac:dyDescent="0.2">
      <c r="A314" s="566"/>
      <c r="B314" s="566" t="s">
        <v>849</v>
      </c>
      <c r="C314" s="566"/>
      <c r="D314" s="566"/>
      <c r="E314" s="566"/>
      <c r="F314" s="584"/>
      <c r="G314" s="779" t="s">
        <v>850</v>
      </c>
      <c r="H314" s="567" t="s">
        <v>305</v>
      </c>
      <c r="I314" s="239" t="str">
        <f>IF(ISBLANK(input!I341),"",input!I341)</f>
        <v/>
      </c>
      <c r="O314" s="262" t="s">
        <v>4295</v>
      </c>
    </row>
    <row r="315" spans="1:26" ht="12.75" customHeight="1" x14ac:dyDescent="0.2">
      <c r="A315" s="566"/>
      <c r="B315" s="566" t="s">
        <v>851</v>
      </c>
      <c r="C315" s="566"/>
      <c r="D315" s="566"/>
      <c r="E315" s="566"/>
      <c r="F315" s="584"/>
      <c r="G315" s="779" t="s">
        <v>852</v>
      </c>
      <c r="H315" s="566" t="s">
        <v>853</v>
      </c>
      <c r="I315" s="239" t="str">
        <f>IF(ISBLANK(input!I342),"",input!I342)</f>
        <v/>
      </c>
      <c r="O315" s="262" t="s">
        <v>4295</v>
      </c>
    </row>
    <row r="316" spans="1:26" ht="12.75" customHeight="1" x14ac:dyDescent="0.2">
      <c r="A316" s="566"/>
      <c r="B316" s="566" t="s">
        <v>854</v>
      </c>
      <c r="C316" s="566"/>
      <c r="D316" s="566"/>
      <c r="E316" s="566"/>
      <c r="F316" s="584"/>
      <c r="G316" s="779" t="s">
        <v>855</v>
      </c>
      <c r="H316" s="567" t="s">
        <v>305</v>
      </c>
      <c r="I316" s="239" t="str">
        <f>IF(ISBLANK(input!I343),"",input!I343)</f>
        <v/>
      </c>
      <c r="O316" s="262" t="s">
        <v>4295</v>
      </c>
    </row>
    <row r="317" spans="1:26" ht="12.75" customHeight="1" x14ac:dyDescent="0.2">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2">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2">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2">
      <c r="A320" s="566"/>
      <c r="B320" s="566" t="s">
        <v>863</v>
      </c>
      <c r="C320" s="566"/>
      <c r="D320" s="566"/>
      <c r="E320" s="566"/>
      <c r="F320" s="577"/>
      <c r="G320" s="779" t="s">
        <v>864</v>
      </c>
      <c r="H320" s="567" t="s">
        <v>305</v>
      </c>
      <c r="I320" s="239" t="str">
        <f>IF(ISBLANK(input!I347),"",input!I347)</f>
        <v/>
      </c>
      <c r="O320" s="262" t="s">
        <v>4295</v>
      </c>
    </row>
    <row r="321" spans="1:15" ht="12.75" customHeight="1" x14ac:dyDescent="0.2">
      <c r="A321" s="566"/>
      <c r="B321" s="566" t="s">
        <v>866</v>
      </c>
      <c r="C321" s="566"/>
      <c r="D321" s="566"/>
      <c r="E321" s="566"/>
      <c r="F321" s="577"/>
      <c r="G321" s="779" t="s">
        <v>867</v>
      </c>
      <c r="H321" s="566" t="s">
        <v>301</v>
      </c>
      <c r="I321" s="239" t="str">
        <f>IF(ISBLANK(input!I348),"",input!I348)</f>
        <v/>
      </c>
      <c r="O321" s="262" t="s">
        <v>4295</v>
      </c>
    </row>
    <row r="322" spans="1:15" ht="12.75" customHeight="1" x14ac:dyDescent="0.2">
      <c r="A322" s="566"/>
      <c r="B322" s="566" t="s">
        <v>868</v>
      </c>
      <c r="C322" s="566"/>
      <c r="D322" s="566"/>
      <c r="E322" s="566"/>
      <c r="F322" s="577"/>
      <c r="G322" s="779" t="s">
        <v>869</v>
      </c>
      <c r="H322" s="567" t="s">
        <v>305</v>
      </c>
      <c r="I322" s="239" t="str">
        <f>IF(ISBLANK(input!I349),"",input!I349)</f>
        <v/>
      </c>
      <c r="O322" s="262" t="s">
        <v>4295</v>
      </c>
    </row>
    <row r="323" spans="1:15" ht="12.75" customHeight="1" x14ac:dyDescent="0.2">
      <c r="A323" s="566"/>
      <c r="B323" s="566" t="s">
        <v>870</v>
      </c>
      <c r="C323" s="566"/>
      <c r="D323" s="566"/>
      <c r="E323" s="566"/>
      <c r="F323" s="584"/>
      <c r="G323" s="779" t="s">
        <v>871</v>
      </c>
      <c r="H323" s="566" t="s">
        <v>853</v>
      </c>
      <c r="I323" s="239" t="str">
        <f>IF(ISBLANK(input!I350),"",input!I350)</f>
        <v/>
      </c>
      <c r="O323" s="262" t="s">
        <v>4295</v>
      </c>
    </row>
    <row r="324" spans="1:15" ht="12.75" customHeight="1" x14ac:dyDescent="0.2">
      <c r="A324" s="566"/>
      <c r="B324" s="566" t="s">
        <v>873</v>
      </c>
      <c r="C324" s="566"/>
      <c r="D324" s="566"/>
      <c r="E324" s="566"/>
      <c r="F324" s="577"/>
      <c r="G324" s="779" t="s">
        <v>874</v>
      </c>
      <c r="H324" s="566" t="s">
        <v>301</v>
      </c>
      <c r="I324" s="239" t="str">
        <f>IF(ISBLANK(input!I351),"",input!I351)</f>
        <v/>
      </c>
      <c r="O324" s="262" t="s">
        <v>4295</v>
      </c>
    </row>
    <row r="325" spans="1:15" ht="12.75" customHeight="1" x14ac:dyDescent="0.2">
      <c r="A325" s="566"/>
      <c r="B325" s="566" t="s">
        <v>876</v>
      </c>
      <c r="C325" s="566"/>
      <c r="D325" s="566"/>
      <c r="E325" s="566"/>
      <c r="F325" s="577"/>
      <c r="G325" s="779" t="s">
        <v>877</v>
      </c>
      <c r="H325" s="567" t="s">
        <v>305</v>
      </c>
      <c r="I325" s="239" t="str">
        <f>IF(ISBLANK(input!I352),"",input!I352)</f>
        <v/>
      </c>
      <c r="O325" s="262" t="s">
        <v>4295</v>
      </c>
    </row>
    <row r="326" spans="1:15" ht="12.75" customHeight="1" x14ac:dyDescent="0.2">
      <c r="A326" s="566"/>
      <c r="B326" s="566" t="s">
        <v>878</v>
      </c>
      <c r="C326" s="566"/>
      <c r="D326" s="566"/>
      <c r="E326" s="566"/>
      <c r="F326" s="577"/>
      <c r="G326" s="779" t="s">
        <v>879</v>
      </c>
      <c r="H326" s="566" t="s">
        <v>853</v>
      </c>
      <c r="I326" s="239" t="str">
        <f>IF(ISBLANK(input!I353),"",input!I353)</f>
        <v/>
      </c>
      <c r="O326" s="262" t="s">
        <v>4295</v>
      </c>
    </row>
    <row r="327" spans="1:15" ht="12.75" customHeight="1" x14ac:dyDescent="0.2">
      <c r="A327" s="566"/>
      <c r="B327" s="566" t="s">
        <v>881</v>
      </c>
      <c r="C327" s="566"/>
      <c r="D327" s="566"/>
      <c r="E327" s="566"/>
      <c r="F327" s="577"/>
      <c r="G327" s="779" t="s">
        <v>882</v>
      </c>
      <c r="H327" s="567" t="s">
        <v>305</v>
      </c>
      <c r="I327" s="239" t="str">
        <f>IF(ISBLANK(input!I354),"",input!I354)</f>
        <v/>
      </c>
      <c r="O327" s="262" t="s">
        <v>4295</v>
      </c>
    </row>
    <row r="328" spans="1:15" ht="12.75" customHeight="1" x14ac:dyDescent="0.2">
      <c r="A328" s="566"/>
      <c r="B328" s="566"/>
      <c r="C328" s="566"/>
      <c r="D328" s="566"/>
      <c r="E328" s="566"/>
      <c r="F328" s="577"/>
      <c r="G328" s="779"/>
      <c r="H328" s="567"/>
      <c r="I328" s="239" t="str">
        <f>IF(ISBLANK(input!I355),"",input!I355)</f>
        <v/>
      </c>
      <c r="O328" s="262" t="s">
        <v>4295</v>
      </c>
    </row>
    <row r="329" spans="1:15" ht="12.75" customHeight="1" x14ac:dyDescent="0.2">
      <c r="A329" s="586" t="s">
        <v>884</v>
      </c>
      <c r="B329" s="566"/>
      <c r="C329" s="566"/>
      <c r="D329" s="566"/>
      <c r="E329" s="566"/>
      <c r="F329" s="577"/>
      <c r="G329" s="779"/>
      <c r="H329" s="567"/>
      <c r="I329" s="239" t="str">
        <f>IF(ISBLANK(input!I356),"",input!I356)</f>
        <v/>
      </c>
      <c r="O329" s="262" t="s">
        <v>4295</v>
      </c>
    </row>
    <row r="330" spans="1:15" ht="12.75" customHeight="1" x14ac:dyDescent="0.2">
      <c r="A330" s="566"/>
      <c r="B330" s="566"/>
      <c r="C330" s="566" t="s">
        <v>885</v>
      </c>
      <c r="D330" s="566"/>
      <c r="E330" s="566"/>
      <c r="F330" s="577"/>
      <c r="G330" s="566" t="s">
        <v>886</v>
      </c>
      <c r="H330" s="567" t="s">
        <v>887</v>
      </c>
      <c r="I330" s="239" t="str">
        <f>IF(ISBLANK(input!I357),"",input!I357)</f>
        <v/>
      </c>
      <c r="O330" s="262" t="s">
        <v>4295</v>
      </c>
    </row>
    <row r="331" spans="1:15" ht="12.75" customHeight="1" x14ac:dyDescent="0.2">
      <c r="A331" s="566"/>
      <c r="B331" s="566"/>
      <c r="C331" s="566" t="s">
        <v>888</v>
      </c>
      <c r="D331" s="566"/>
      <c r="E331" s="566"/>
      <c r="F331" s="577"/>
      <c r="G331" s="566" t="s">
        <v>889</v>
      </c>
      <c r="H331" s="567" t="s">
        <v>887</v>
      </c>
      <c r="I331" s="239" t="str">
        <f>IF(ISBLANK(input!I358),"",input!I358)</f>
        <v/>
      </c>
      <c r="O331" s="262" t="s">
        <v>4295</v>
      </c>
    </row>
    <row r="332" spans="1:15" ht="12.75" customHeight="1" x14ac:dyDescent="0.2">
      <c r="A332" s="566"/>
      <c r="B332" s="566"/>
      <c r="C332" s="566" t="s">
        <v>890</v>
      </c>
      <c r="D332" s="566"/>
      <c r="E332" s="566"/>
      <c r="F332" s="577"/>
      <c r="G332" s="566" t="s">
        <v>891</v>
      </c>
      <c r="H332" s="567" t="s">
        <v>887</v>
      </c>
      <c r="I332" s="239" t="str">
        <f>IF(ISBLANK(input!I359),"",input!I359)</f>
        <v/>
      </c>
      <c r="O332" s="262" t="s">
        <v>4295</v>
      </c>
    </row>
    <row r="333" spans="1:15" ht="12.75" customHeight="1" x14ac:dyDescent="0.2">
      <c r="A333" s="566"/>
      <c r="B333" s="566"/>
      <c r="C333" s="566" t="s">
        <v>892</v>
      </c>
      <c r="D333" s="566"/>
      <c r="E333" s="566"/>
      <c r="F333" s="577"/>
      <c r="G333" s="566" t="s">
        <v>893</v>
      </c>
      <c r="H333" s="567" t="s">
        <v>887</v>
      </c>
      <c r="I333" s="239" t="str">
        <f>IF(ISBLANK(input!I360),"",input!I360)</f>
        <v/>
      </c>
      <c r="O333" s="262" t="s">
        <v>4295</v>
      </c>
    </row>
    <row r="334" spans="1:15" ht="12.75" customHeight="1" x14ac:dyDescent="0.2">
      <c r="A334" s="566"/>
      <c r="B334" s="566"/>
      <c r="C334" s="566" t="s">
        <v>894</v>
      </c>
      <c r="D334" s="566"/>
      <c r="E334" s="566"/>
      <c r="F334" s="566"/>
      <c r="G334" s="566" t="s">
        <v>895</v>
      </c>
      <c r="H334" s="566" t="s">
        <v>896</v>
      </c>
      <c r="I334" s="239" t="str">
        <f>IF(ISBLANK(input!I361),"",input!I361)</f>
        <v/>
      </c>
      <c r="O334" s="262" t="s">
        <v>4295</v>
      </c>
    </row>
    <row r="335" spans="1:15" ht="12.75" customHeight="1" x14ac:dyDescent="0.2">
      <c r="A335" s="566"/>
      <c r="B335" s="566"/>
      <c r="C335" s="566" t="s">
        <v>897</v>
      </c>
      <c r="D335" s="566"/>
      <c r="E335" s="566"/>
      <c r="F335" s="577"/>
      <c r="G335" s="566" t="s">
        <v>898</v>
      </c>
      <c r="H335" s="567" t="s">
        <v>887</v>
      </c>
      <c r="I335" s="239" t="str">
        <f>IF(ISBLANK(input!I362),"",input!I362)</f>
        <v/>
      </c>
      <c r="O335" s="262" t="s">
        <v>4295</v>
      </c>
    </row>
    <row r="336" spans="1:15" ht="12.75" customHeight="1" x14ac:dyDescent="0.2">
      <c r="A336" s="566"/>
      <c r="B336" s="566"/>
      <c r="C336" s="566" t="s">
        <v>899</v>
      </c>
      <c r="D336" s="566"/>
      <c r="E336" s="566"/>
      <c r="F336" s="566"/>
      <c r="G336" s="566" t="s">
        <v>900</v>
      </c>
      <c r="H336" s="566" t="s">
        <v>896</v>
      </c>
      <c r="I336" s="239" t="str">
        <f>IF(ISBLANK(input!I363),"",input!I363)</f>
        <v/>
      </c>
      <c r="O336" s="262" t="s">
        <v>4295</v>
      </c>
    </row>
    <row r="337" spans="1:15" ht="12.75" customHeight="1" x14ac:dyDescent="0.2">
      <c r="A337" s="566"/>
      <c r="B337" s="566"/>
      <c r="C337" s="566" t="s">
        <v>901</v>
      </c>
      <c r="D337" s="566"/>
      <c r="E337" s="566"/>
      <c r="F337" s="577"/>
      <c r="G337" s="566" t="s">
        <v>902</v>
      </c>
      <c r="H337" s="567" t="s">
        <v>887</v>
      </c>
      <c r="I337" s="239" t="str">
        <f>IF(ISBLANK(input!I364),"",input!I364)</f>
        <v/>
      </c>
      <c r="O337" s="262" t="s">
        <v>4295</v>
      </c>
    </row>
    <row r="338" spans="1:15" ht="12.75" customHeight="1" x14ac:dyDescent="0.2">
      <c r="A338" s="577"/>
      <c r="B338" s="566"/>
      <c r="C338" s="566" t="s">
        <v>903</v>
      </c>
      <c r="D338" s="566"/>
      <c r="E338" s="566"/>
      <c r="F338" s="577"/>
      <c r="G338" s="566" t="s">
        <v>904</v>
      </c>
      <c r="H338" s="566" t="s">
        <v>896</v>
      </c>
      <c r="I338" s="239" t="str">
        <f>IF(ISBLANK(input!I365),"",input!I365)</f>
        <v/>
      </c>
      <c r="O338" s="262" t="s">
        <v>4295</v>
      </c>
    </row>
    <row r="339" spans="1:15" ht="12.75" customHeight="1" x14ac:dyDescent="0.2">
      <c r="A339" s="566"/>
      <c r="B339" s="566"/>
      <c r="C339" s="566" t="s">
        <v>905</v>
      </c>
      <c r="D339" s="566"/>
      <c r="E339" s="566"/>
      <c r="F339" s="577"/>
      <c r="G339" s="566" t="s">
        <v>906</v>
      </c>
      <c r="H339" s="567" t="s">
        <v>887</v>
      </c>
      <c r="I339" s="239" t="str">
        <f>IF(ISBLANK(input!I366),"",input!I366)</f>
        <v/>
      </c>
      <c r="O339" s="262" t="s">
        <v>4295</v>
      </c>
    </row>
    <row r="340" spans="1:15" ht="12.75" customHeight="1" x14ac:dyDescent="0.2">
      <c r="A340" s="577"/>
      <c r="B340" s="566"/>
      <c r="C340" s="566" t="s">
        <v>907</v>
      </c>
      <c r="D340" s="566"/>
      <c r="E340" s="566"/>
      <c r="F340" s="577"/>
      <c r="G340" s="566" t="s">
        <v>908</v>
      </c>
      <c r="H340" s="566" t="s">
        <v>896</v>
      </c>
      <c r="I340" s="239" t="str">
        <f>IF(ISBLANK(input!I367),"",input!I367)</f>
        <v/>
      </c>
      <c r="O340" s="262" t="s">
        <v>4295</v>
      </c>
    </row>
    <row r="341" spans="1:15" ht="12.75" customHeight="1" x14ac:dyDescent="0.2">
      <c r="A341" s="107"/>
      <c r="B341" s="108"/>
      <c r="C341" s="108"/>
      <c r="D341" s="108"/>
      <c r="E341" s="108"/>
      <c r="F341" s="108"/>
      <c r="G341" s="107"/>
      <c r="H341" s="107"/>
      <c r="I341" s="239" t="str">
        <f>IF(ISBLANK(input!I368),"",input!I368)</f>
        <v/>
      </c>
      <c r="O341" s="262" t="s">
        <v>4295</v>
      </c>
    </row>
    <row r="342" spans="1:15" ht="12.75" customHeight="1" x14ac:dyDescent="0.2">
      <c r="G342"/>
      <c r="H342"/>
      <c r="I342" s="239" t="str">
        <f>IF(ISBLANK(input!I369),"",input!I369)</f>
        <v/>
      </c>
      <c r="O342" s="262" t="s">
        <v>4295</v>
      </c>
    </row>
    <row r="343" spans="1:15" ht="12.75" customHeight="1" x14ac:dyDescent="0.2">
      <c r="A343" s="598"/>
      <c r="B343" s="598"/>
      <c r="C343" s="801"/>
      <c r="D343" s="801"/>
      <c r="E343" s="801"/>
      <c r="F343" s="801"/>
      <c r="G343" s="803"/>
      <c r="H343" s="804"/>
      <c r="I343" s="239" t="str">
        <f>IF(ISBLANK(input!I370),"",input!I370)</f>
        <v/>
      </c>
      <c r="O343" s="262" t="s">
        <v>4295</v>
      </c>
    </row>
    <row r="344" spans="1:15" ht="12.75" customHeight="1" x14ac:dyDescent="0.2">
      <c r="A344" s="566" t="s">
        <v>909</v>
      </c>
      <c r="B344" s="566"/>
      <c r="C344" s="584"/>
      <c r="D344" s="566"/>
      <c r="E344" s="566"/>
      <c r="F344" s="566"/>
      <c r="G344" s="779"/>
      <c r="H344" s="566"/>
      <c r="I344" s="239" t="str">
        <f>IF(ISBLANK(input!I371),"",input!I371)</f>
        <v/>
      </c>
      <c r="O344" s="262" t="s">
        <v>4295</v>
      </c>
    </row>
    <row r="345" spans="1:15" ht="12.75" customHeight="1" x14ac:dyDescent="0.2">
      <c r="A345" s="566"/>
      <c r="B345" s="566"/>
      <c r="C345" s="566" t="s">
        <v>910</v>
      </c>
      <c r="D345" s="566"/>
      <c r="E345" s="566"/>
      <c r="F345" s="566"/>
      <c r="G345" s="566" t="s">
        <v>911</v>
      </c>
      <c r="H345" s="566" t="s">
        <v>896</v>
      </c>
      <c r="I345" s="239" t="str">
        <f>IF(ISBLANK(input!I372),"",input!I372)</f>
        <v/>
      </c>
      <c r="O345" s="262" t="s">
        <v>4295</v>
      </c>
    </row>
    <row r="346" spans="1:15" ht="12.75" customHeight="1" x14ac:dyDescent="0.2">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2">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2">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2">
      <c r="A349" s="566"/>
      <c r="B349" s="566"/>
      <c r="C349" s="566" t="s">
        <v>922</v>
      </c>
      <c r="D349" s="566"/>
      <c r="E349" s="566"/>
      <c r="F349" s="566"/>
      <c r="G349" s="566" t="s">
        <v>923</v>
      </c>
      <c r="H349" s="566" t="s">
        <v>314</v>
      </c>
      <c r="I349" s="239" t="str">
        <f>IF(ISBLANK(input!I376),"",input!I376)</f>
        <v/>
      </c>
      <c r="O349" s="262" t="s">
        <v>4295</v>
      </c>
    </row>
    <row r="350" spans="1:15" ht="12.75" customHeight="1" x14ac:dyDescent="0.2">
      <c r="A350" s="566"/>
      <c r="B350" s="566"/>
      <c r="C350" s="566" t="s">
        <v>924</v>
      </c>
      <c r="D350" s="566"/>
      <c r="E350" s="566"/>
      <c r="F350" s="566"/>
      <c r="G350" s="566" t="s">
        <v>925</v>
      </c>
      <c r="H350" s="566" t="s">
        <v>314</v>
      </c>
      <c r="I350" s="239" t="str">
        <f>IF(ISBLANK(input!I377),"",input!I377)</f>
        <v/>
      </c>
      <c r="O350" s="262" t="s">
        <v>4295</v>
      </c>
    </row>
    <row r="351" spans="1:15" ht="12.75" customHeight="1" x14ac:dyDescent="0.2">
      <c r="A351" s="586"/>
      <c r="B351" s="586" t="s">
        <v>927</v>
      </c>
      <c r="C351" s="586"/>
      <c r="D351" s="586"/>
      <c r="E351" s="586"/>
      <c r="F351" s="586"/>
      <c r="G351" s="586"/>
      <c r="H351" s="586"/>
      <c r="I351" s="239" t="str">
        <f>IF(ISBLANK(input!I378),"",input!I378)</f>
        <v/>
      </c>
      <c r="O351" s="262" t="s">
        <v>4295</v>
      </c>
    </row>
    <row r="352" spans="1:15" ht="12.75" customHeight="1" x14ac:dyDescent="0.2">
      <c r="A352" s="566"/>
      <c r="B352" s="566"/>
      <c r="C352" s="566" t="s">
        <v>928</v>
      </c>
      <c r="D352" s="566"/>
      <c r="E352" s="566"/>
      <c r="F352" s="566"/>
      <c r="G352" s="566" t="s">
        <v>929</v>
      </c>
      <c r="H352" s="566" t="s">
        <v>930</v>
      </c>
      <c r="I352" s="239" t="str">
        <f>IF(ISBLANK(input!I379),"",input!I379)</f>
        <v/>
      </c>
      <c r="O352" s="262" t="s">
        <v>4295</v>
      </c>
    </row>
    <row r="353" spans="1:15" ht="12.75" customHeight="1" x14ac:dyDescent="0.2">
      <c r="A353" s="566"/>
      <c r="B353" s="566"/>
      <c r="C353" s="566" t="s">
        <v>931</v>
      </c>
      <c r="D353" s="566"/>
      <c r="E353" s="566"/>
      <c r="F353" s="566"/>
      <c r="G353" s="566" t="s">
        <v>932</v>
      </c>
      <c r="H353" s="566" t="s">
        <v>930</v>
      </c>
      <c r="I353" s="239" t="str">
        <f>IF(ISBLANK(input!I380),"",input!I380)</f>
        <v/>
      </c>
      <c r="O353" s="262" t="s">
        <v>4295</v>
      </c>
    </row>
    <row r="354" spans="1:15" ht="12.75" customHeight="1" x14ac:dyDescent="0.2">
      <c r="A354" s="586"/>
      <c r="B354" s="586" t="s">
        <v>935</v>
      </c>
      <c r="C354" s="586"/>
      <c r="D354" s="586"/>
      <c r="E354" s="586"/>
      <c r="F354" s="586"/>
      <c r="G354" s="586"/>
      <c r="H354" s="586"/>
      <c r="I354" s="239" t="str">
        <f>IF(ISBLANK(input!I381),"",input!I381)</f>
        <v/>
      </c>
      <c r="O354" s="262" t="s">
        <v>4295</v>
      </c>
    </row>
    <row r="355" spans="1:15" ht="12.75" customHeight="1" x14ac:dyDescent="0.2">
      <c r="A355" s="566"/>
      <c r="B355" s="566"/>
      <c r="C355" s="566" t="s">
        <v>936</v>
      </c>
      <c r="D355" s="566"/>
      <c r="E355" s="566"/>
      <c r="F355" s="566"/>
      <c r="G355" s="566" t="s">
        <v>937</v>
      </c>
      <c r="H355" s="566" t="s">
        <v>930</v>
      </c>
      <c r="I355" s="239" t="str">
        <f>IF(ISBLANK(input!I382),"",input!I382)</f>
        <v/>
      </c>
      <c r="O355" s="262" t="s">
        <v>4295</v>
      </c>
    </row>
    <row r="356" spans="1:15" ht="12.75" customHeight="1" x14ac:dyDescent="0.2">
      <c r="A356" s="566"/>
      <c r="B356" s="566"/>
      <c r="C356" s="566" t="s">
        <v>939</v>
      </c>
      <c r="D356" s="566"/>
      <c r="E356" s="566"/>
      <c r="F356" s="566"/>
      <c r="G356" s="566" t="s">
        <v>940</v>
      </c>
      <c r="H356" s="566" t="s">
        <v>930</v>
      </c>
      <c r="I356" s="239" t="str">
        <f>IF(ISBLANK(input!I383),"",input!I383)</f>
        <v/>
      </c>
      <c r="O356" s="262" t="s">
        <v>4295</v>
      </c>
    </row>
    <row r="357" spans="1:15" ht="12.75" customHeight="1" x14ac:dyDescent="0.2">
      <c r="A357" s="586"/>
      <c r="B357" s="586" t="s">
        <v>942</v>
      </c>
      <c r="C357" s="586"/>
      <c r="D357" s="586"/>
      <c r="E357" s="586"/>
      <c r="F357" s="586"/>
      <c r="G357" s="586"/>
      <c r="H357" s="586"/>
      <c r="I357" s="239" t="str">
        <f>IF(ISBLANK(input!I384),"",input!I384)</f>
        <v/>
      </c>
      <c r="O357" s="262" t="s">
        <v>4295</v>
      </c>
    </row>
    <row r="358" spans="1:15" ht="12.75" customHeight="1" x14ac:dyDescent="0.2">
      <c r="A358" s="566"/>
      <c r="B358" s="566"/>
      <c r="C358" s="566" t="s">
        <v>943</v>
      </c>
      <c r="D358" s="566"/>
      <c r="E358" s="566"/>
      <c r="F358" s="566"/>
      <c r="G358" s="566" t="s">
        <v>944</v>
      </c>
      <c r="H358" s="566" t="s">
        <v>930</v>
      </c>
      <c r="I358" s="239" t="str">
        <f>IF(ISBLANK(input!I385),"",input!I385)</f>
        <v/>
      </c>
      <c r="O358" s="262" t="s">
        <v>4295</v>
      </c>
    </row>
    <row r="359" spans="1:15" ht="12.75" customHeight="1" x14ac:dyDescent="0.2">
      <c r="A359" s="566"/>
      <c r="B359" s="566"/>
      <c r="C359" s="566" t="s">
        <v>945</v>
      </c>
      <c r="D359" s="566"/>
      <c r="E359" s="566"/>
      <c r="F359" s="566"/>
      <c r="G359" s="566" t="s">
        <v>946</v>
      </c>
      <c r="H359" s="566" t="s">
        <v>930</v>
      </c>
      <c r="I359" s="239" t="str">
        <f>IF(ISBLANK(input!I386),"",input!I386)</f>
        <v/>
      </c>
      <c r="O359" s="262" t="s">
        <v>4295</v>
      </c>
    </row>
    <row r="360" spans="1:15" ht="12.75" customHeight="1" x14ac:dyDescent="0.2">
      <c r="A360" s="566"/>
      <c r="B360" s="566"/>
      <c r="C360" s="566" t="s">
        <v>947</v>
      </c>
      <c r="D360" s="566"/>
      <c r="E360" s="566"/>
      <c r="F360" s="566"/>
      <c r="G360" s="566" t="s">
        <v>948</v>
      </c>
      <c r="H360" s="566" t="s">
        <v>930</v>
      </c>
      <c r="I360" s="239" t="str">
        <f>IF(ISBLANK(input!I387),"",input!I387)</f>
        <v/>
      </c>
      <c r="O360" s="262" t="s">
        <v>4295</v>
      </c>
    </row>
    <row r="361" spans="1:15" ht="12.75" customHeight="1" x14ac:dyDescent="0.2">
      <c r="A361" s="566"/>
      <c r="B361" s="566"/>
      <c r="C361" s="566" t="s">
        <v>949</v>
      </c>
      <c r="D361" s="566"/>
      <c r="E361" s="566"/>
      <c r="F361" s="566"/>
      <c r="G361" s="566" t="s">
        <v>950</v>
      </c>
      <c r="H361" s="566" t="s">
        <v>930</v>
      </c>
      <c r="I361" s="239" t="str">
        <f>IF(ISBLANK(input!I388),"",input!I388)</f>
        <v/>
      </c>
      <c r="O361" s="262" t="s">
        <v>4295</v>
      </c>
    </row>
    <row r="362" spans="1:15" ht="12.75" customHeight="1" x14ac:dyDescent="0.2">
      <c r="A362" s="566"/>
      <c r="B362" s="566"/>
      <c r="C362" s="566" t="s">
        <v>951</v>
      </c>
      <c r="D362" s="566"/>
      <c r="E362" s="566"/>
      <c r="F362" s="566"/>
      <c r="G362" s="566" t="s">
        <v>952</v>
      </c>
      <c r="H362" s="566" t="s">
        <v>930</v>
      </c>
      <c r="I362" s="239" t="str">
        <f>IF(ISBLANK(input!I389),"",input!I389)</f>
        <v/>
      </c>
      <c r="O362" s="262" t="s">
        <v>4295</v>
      </c>
    </row>
    <row r="363" spans="1:15" ht="12.75" customHeight="1" x14ac:dyDescent="0.2">
      <c r="A363" s="566"/>
      <c r="B363" s="566"/>
      <c r="C363" s="566" t="s">
        <v>953</v>
      </c>
      <c r="D363" s="566"/>
      <c r="E363" s="566"/>
      <c r="F363" s="566"/>
      <c r="G363" s="566" t="s">
        <v>954</v>
      </c>
      <c r="H363" s="566" t="s">
        <v>930</v>
      </c>
      <c r="I363" s="239" t="str">
        <f>IF(ISBLANK(input!I390),"",input!I390)</f>
        <v/>
      </c>
      <c r="O363" s="262" t="s">
        <v>4295</v>
      </c>
    </row>
    <row r="364" spans="1:15" ht="12.75" customHeight="1" x14ac:dyDescent="0.2">
      <c r="A364" s="566"/>
      <c r="B364" s="566"/>
      <c r="C364" s="566"/>
      <c r="D364" s="566"/>
      <c r="E364" s="566"/>
      <c r="F364" s="566"/>
      <c r="G364" s="567"/>
      <c r="H364" s="567"/>
      <c r="I364" s="239" t="str">
        <f>IF(ISBLANK(input!I391),"",input!I391)</f>
        <v/>
      </c>
      <c r="O364" s="262" t="s">
        <v>4295</v>
      </c>
    </row>
    <row r="365" spans="1:15" ht="12.75" customHeight="1" x14ac:dyDescent="0.2">
      <c r="A365" s="582" t="s">
        <v>955</v>
      </c>
      <c r="B365" s="582"/>
      <c r="C365" s="582"/>
      <c r="D365" s="582"/>
      <c r="E365" s="582"/>
      <c r="F365" s="582"/>
      <c r="G365" s="582"/>
      <c r="H365" s="582"/>
      <c r="I365" s="239" t="str">
        <f>IF(ISBLANK(input!I392),"",input!I392)</f>
        <v/>
      </c>
      <c r="O365" s="262" t="s">
        <v>4295</v>
      </c>
    </row>
    <row r="366" spans="1:15" ht="12.75" customHeight="1" x14ac:dyDescent="0.2">
      <c r="A366" s="566"/>
      <c r="B366" s="566" t="s">
        <v>956</v>
      </c>
      <c r="C366" s="566"/>
      <c r="D366" s="566"/>
      <c r="E366" s="566"/>
      <c r="F366" s="566"/>
      <c r="G366" s="566" t="s">
        <v>957</v>
      </c>
      <c r="H366" s="566" t="s">
        <v>896</v>
      </c>
      <c r="I366" s="239" t="str">
        <f>IF(ISBLANK(input!I393),"",input!I393)</f>
        <v/>
      </c>
      <c r="O366" s="262" t="s">
        <v>4295</v>
      </c>
    </row>
    <row r="367" spans="1:15" ht="12.75" customHeight="1" x14ac:dyDescent="0.2">
      <c r="A367" s="566"/>
      <c r="B367" s="566"/>
      <c r="C367" s="566" t="s">
        <v>958</v>
      </c>
      <c r="D367" s="566"/>
      <c r="E367" s="566"/>
      <c r="F367" s="566"/>
      <c r="G367" s="566" t="s">
        <v>959</v>
      </c>
      <c r="H367" s="566" t="s">
        <v>843</v>
      </c>
      <c r="I367" s="239" t="str">
        <f>IF(ISBLANK(input!I394),"",input!I394)</f>
        <v/>
      </c>
      <c r="O367" s="262" t="s">
        <v>4295</v>
      </c>
    </row>
    <row r="368" spans="1:15" ht="12.75" customHeight="1" x14ac:dyDescent="0.2">
      <c r="A368" s="566"/>
      <c r="B368" s="566"/>
      <c r="C368" s="566" t="s">
        <v>960</v>
      </c>
      <c r="D368" s="566"/>
      <c r="E368" s="566"/>
      <c r="F368" s="566"/>
      <c r="G368" s="566" t="s">
        <v>961</v>
      </c>
      <c r="H368" s="566" t="s">
        <v>305</v>
      </c>
      <c r="I368" s="239" t="str">
        <f>IF(ISBLANK(input!I395),"",input!I395)</f>
        <v/>
      </c>
      <c r="O368" s="262" t="s">
        <v>4295</v>
      </c>
    </row>
    <row r="369" spans="1:15" ht="12.75" customHeight="1" x14ac:dyDescent="0.2">
      <c r="A369" s="566"/>
      <c r="B369" s="566" t="s">
        <v>962</v>
      </c>
      <c r="C369" s="566"/>
      <c r="D369" s="566"/>
      <c r="E369" s="566"/>
      <c r="F369" s="566"/>
      <c r="G369" s="566" t="s">
        <v>963</v>
      </c>
      <c r="H369" s="566" t="s">
        <v>896</v>
      </c>
      <c r="I369" s="239" t="str">
        <f>IF(ISBLANK(input!I396),"",input!I396)</f>
        <v/>
      </c>
      <c r="O369" s="262" t="s">
        <v>4295</v>
      </c>
    </row>
    <row r="370" spans="1:15" ht="12.75" customHeight="1" x14ac:dyDescent="0.2">
      <c r="A370" s="566"/>
      <c r="B370" s="566"/>
      <c r="C370" s="566" t="s">
        <v>964</v>
      </c>
      <c r="D370" s="566"/>
      <c r="E370" s="566"/>
      <c r="F370" s="566"/>
      <c r="G370" s="566" t="s">
        <v>965</v>
      </c>
      <c r="H370" s="566" t="s">
        <v>843</v>
      </c>
      <c r="I370" s="239" t="str">
        <f>IF(ISBLANK(input!I397),"",input!I397)</f>
        <v/>
      </c>
      <c r="O370" s="262" t="s">
        <v>4295</v>
      </c>
    </row>
    <row r="371" spans="1:15" ht="12.75" customHeight="1" x14ac:dyDescent="0.2">
      <c r="A371" s="566"/>
      <c r="B371" s="566"/>
      <c r="C371" s="566" t="s">
        <v>966</v>
      </c>
      <c r="D371" s="566"/>
      <c r="E371" s="566"/>
      <c r="F371" s="566"/>
      <c r="G371" s="566" t="s">
        <v>967</v>
      </c>
      <c r="H371" s="566" t="s">
        <v>305</v>
      </c>
      <c r="I371" s="239" t="str">
        <f>IF(ISBLANK(input!I398),"",input!I398)</f>
        <v/>
      </c>
      <c r="O371" s="262" t="s">
        <v>4295</v>
      </c>
    </row>
    <row r="372" spans="1:15" ht="12.75" customHeight="1" x14ac:dyDescent="0.2">
      <c r="A372" s="566"/>
      <c r="B372" s="566" t="s">
        <v>968</v>
      </c>
      <c r="C372" s="566"/>
      <c r="D372" s="566"/>
      <c r="E372" s="566"/>
      <c r="F372" s="566"/>
      <c r="G372" s="566" t="s">
        <v>969</v>
      </c>
      <c r="H372" s="566" t="s">
        <v>896</v>
      </c>
      <c r="I372" s="239" t="str">
        <f>IF(ISBLANK(input!I399),"",input!I399)</f>
        <v/>
      </c>
      <c r="O372" s="262" t="s">
        <v>4295</v>
      </c>
    </row>
    <row r="373" spans="1:15" ht="12.75" customHeight="1" x14ac:dyDescent="0.2">
      <c r="A373" s="566"/>
      <c r="B373" s="566"/>
      <c r="C373" s="566" t="s">
        <v>970</v>
      </c>
      <c r="D373" s="566"/>
      <c r="E373" s="566"/>
      <c r="F373" s="566"/>
      <c r="G373" s="567" t="s">
        <v>971</v>
      </c>
      <c r="H373" s="567" t="s">
        <v>314</v>
      </c>
      <c r="I373" s="239" t="str">
        <f>IF(ISBLANK(input!I400),"",input!I400)</f>
        <v/>
      </c>
      <c r="O373" s="262" t="s">
        <v>4295</v>
      </c>
    </row>
    <row r="374" spans="1:15" ht="12.75" customHeight="1" x14ac:dyDescent="0.2">
      <c r="A374" s="566"/>
      <c r="B374" s="566"/>
      <c r="C374" s="566" t="s">
        <v>973</v>
      </c>
      <c r="D374" s="566"/>
      <c r="E374" s="566"/>
      <c r="F374" s="566"/>
      <c r="G374" s="566" t="s">
        <v>974</v>
      </c>
      <c r="H374" s="566" t="s">
        <v>843</v>
      </c>
      <c r="I374" s="239" t="str">
        <f>IF(ISBLANK(input!I401),"",input!I401)</f>
        <v/>
      </c>
      <c r="O374" s="262" t="s">
        <v>4295</v>
      </c>
    </row>
    <row r="375" spans="1:15" ht="12.75" customHeight="1" x14ac:dyDescent="0.2">
      <c r="A375" s="566"/>
      <c r="B375" s="566"/>
      <c r="C375" s="566" t="s">
        <v>975</v>
      </c>
      <c r="D375" s="566"/>
      <c r="E375" s="566"/>
      <c r="F375" s="566"/>
      <c r="G375" s="566" t="s">
        <v>976</v>
      </c>
      <c r="H375" s="566" t="s">
        <v>305</v>
      </c>
      <c r="I375" s="239" t="str">
        <f>IF(ISBLANK(input!I402),"",input!I402)</f>
        <v/>
      </c>
      <c r="O375" s="262" t="s">
        <v>4295</v>
      </c>
    </row>
    <row r="376" spans="1:15" ht="12.75" customHeight="1" x14ac:dyDescent="0.2">
      <c r="A376" s="172"/>
      <c r="H376" s="786"/>
      <c r="I376" s="792"/>
    </row>
    <row r="377" spans="1:15" ht="12.75" customHeight="1" x14ac:dyDescent="0.2">
      <c r="A377" s="100" t="s">
        <v>977</v>
      </c>
      <c r="I377" s="792"/>
    </row>
    <row r="378" spans="1:15" ht="12.75" customHeight="1" x14ac:dyDescent="0.2">
      <c r="I378" s="792"/>
    </row>
    <row r="379" spans="1:15" ht="12.75" customHeight="1" x14ac:dyDescent="0.2">
      <c r="A379" s="413" t="s">
        <v>978</v>
      </c>
      <c r="B379" s="413"/>
      <c r="C379" s="413"/>
      <c r="D379" s="413"/>
      <c r="E379" s="413"/>
      <c r="F379" s="413"/>
      <c r="G379" s="630" t="s">
        <v>282</v>
      </c>
      <c r="H379" s="630" t="s">
        <v>297</v>
      </c>
      <c r="I379" s="792"/>
    </row>
    <row r="380" spans="1:15" ht="12.75" customHeight="1" x14ac:dyDescent="0.2">
      <c r="I380" s="792"/>
    </row>
    <row r="381" spans="1:15" ht="12.75" customHeight="1" x14ac:dyDescent="0.2">
      <c r="A381" s="216" t="s">
        <v>979</v>
      </c>
      <c r="B381" s="228"/>
      <c r="C381" s="228"/>
      <c r="D381" s="228"/>
      <c r="E381" s="228"/>
      <c r="F381" s="228"/>
      <c r="G381" s="216" t="s">
        <v>980</v>
      </c>
      <c r="H381" s="216" t="s">
        <v>981</v>
      </c>
      <c r="I381" s="239" t="str">
        <f>IF(ISBLANK(regional!I5),"",regional!I5)</f>
        <v/>
      </c>
      <c r="O381" s="262" t="s">
        <v>4295</v>
      </c>
    </row>
    <row r="382" spans="1:15" ht="12.75" customHeight="1" x14ac:dyDescent="0.2">
      <c r="A382" s="567" t="s">
        <v>984</v>
      </c>
      <c r="B382" s="566"/>
      <c r="C382" s="566"/>
      <c r="D382" s="566"/>
      <c r="E382" s="566"/>
      <c r="F382" s="566"/>
      <c r="G382" s="567" t="s">
        <v>985</v>
      </c>
      <c r="H382" s="567" t="s">
        <v>981</v>
      </c>
      <c r="I382" s="239" t="str">
        <f>IF(ISBLANK(regional!I6),"",regional!I6)</f>
        <v/>
      </c>
      <c r="O382" s="262" t="s">
        <v>4295</v>
      </c>
    </row>
    <row r="383" spans="1:15" ht="12.75" customHeight="1" x14ac:dyDescent="0.2">
      <c r="A383" s="216" t="s">
        <v>986</v>
      </c>
      <c r="B383" s="228"/>
      <c r="C383" s="228"/>
      <c r="D383" s="228"/>
      <c r="E383" s="228"/>
      <c r="F383" s="228"/>
      <c r="G383" s="216" t="s">
        <v>987</v>
      </c>
      <c r="H383" s="216" t="s">
        <v>981</v>
      </c>
      <c r="I383" s="239" t="str">
        <f>IF(ISBLANK(regional!I7),"",regional!I7)</f>
        <v/>
      </c>
      <c r="O383" s="262" t="s">
        <v>4295</v>
      </c>
    </row>
    <row r="384" spans="1:15" ht="12.75" customHeight="1" x14ac:dyDescent="0.2">
      <c r="A384" s="216" t="s">
        <v>988</v>
      </c>
      <c r="B384" s="228"/>
      <c r="C384" s="228"/>
      <c r="D384" s="228"/>
      <c r="E384" s="228"/>
      <c r="F384" s="228"/>
      <c r="G384" s="216" t="s">
        <v>989</v>
      </c>
      <c r="H384" s="216" t="s">
        <v>981</v>
      </c>
      <c r="I384" s="239" t="str">
        <f>IF(ISBLANK(regional!I8),"",regional!I8)</f>
        <v/>
      </c>
      <c r="O384" s="262" t="s">
        <v>4295</v>
      </c>
    </row>
    <row r="385" spans="1:15" ht="12.75" customHeight="1" x14ac:dyDescent="0.2">
      <c r="A385" s="216" t="s">
        <v>990</v>
      </c>
      <c r="B385" s="228"/>
      <c r="C385" s="228"/>
      <c r="D385" s="228"/>
      <c r="E385" s="228"/>
      <c r="F385" s="228"/>
      <c r="G385" s="216" t="s">
        <v>991</v>
      </c>
      <c r="H385" s="216" t="s">
        <v>981</v>
      </c>
      <c r="I385" s="239" t="str">
        <f>IF(ISBLANK(regional!I9),"",regional!I9)</f>
        <v/>
      </c>
      <c r="O385" s="262" t="s">
        <v>4295</v>
      </c>
    </row>
    <row r="386" spans="1:15" ht="12.75" customHeight="1" x14ac:dyDescent="0.2">
      <c r="A386" s="567" t="s">
        <v>992</v>
      </c>
      <c r="B386" s="566"/>
      <c r="C386" s="566"/>
      <c r="D386" s="566"/>
      <c r="E386" s="566"/>
      <c r="F386" s="566"/>
      <c r="G386" s="567" t="s">
        <v>993</v>
      </c>
      <c r="H386" s="567" t="s">
        <v>981</v>
      </c>
      <c r="I386" s="239" t="str">
        <f>IF(ISBLANK(regional!I10),"",regional!I10)</f>
        <v/>
      </c>
      <c r="O386" s="262" t="s">
        <v>4295</v>
      </c>
    </row>
    <row r="387" spans="1:15" ht="12.75" customHeight="1" x14ac:dyDescent="0.2">
      <c r="A387" s="216" t="s">
        <v>994</v>
      </c>
      <c r="B387" s="228"/>
      <c r="C387" s="228"/>
      <c r="D387" s="228"/>
      <c r="E387" s="228"/>
      <c r="F387" s="228"/>
      <c r="G387" s="216" t="s">
        <v>995</v>
      </c>
      <c r="H387" s="216" t="s">
        <v>981</v>
      </c>
      <c r="I387" s="239" t="str">
        <f>IF(ISBLANK(regional!I11),"",regional!I11)</f>
        <v/>
      </c>
      <c r="O387" s="262" t="s">
        <v>4295</v>
      </c>
    </row>
    <row r="388" spans="1:15" ht="12.75" customHeight="1" x14ac:dyDescent="0.2">
      <c r="A388" s="216" t="s">
        <v>996</v>
      </c>
      <c r="B388" s="228"/>
      <c r="C388" s="228"/>
      <c r="D388" s="228"/>
      <c r="E388" s="228"/>
      <c r="F388" s="228"/>
      <c r="G388" s="216" t="s">
        <v>997</v>
      </c>
      <c r="H388" s="216" t="s">
        <v>981</v>
      </c>
      <c r="I388" s="239" t="str">
        <f>IF(ISBLANK(regional!I12),"",regional!I12)</f>
        <v/>
      </c>
      <c r="O388" s="262" t="s">
        <v>4295</v>
      </c>
    </row>
    <row r="389" spans="1:15" ht="12.75" customHeight="1" x14ac:dyDescent="0.2">
      <c r="A389" s="216" t="s">
        <v>998</v>
      </c>
      <c r="B389" s="228"/>
      <c r="C389" s="228"/>
      <c r="D389" s="228"/>
      <c r="E389" s="228"/>
      <c r="F389" s="228"/>
      <c r="G389" s="216" t="s">
        <v>999</v>
      </c>
      <c r="H389" s="216" t="s">
        <v>981</v>
      </c>
      <c r="I389" s="239" t="str">
        <f>IF(ISBLANK(regional!I13),"",regional!I13)</f>
        <v/>
      </c>
      <c r="O389" s="262" t="s">
        <v>4295</v>
      </c>
    </row>
    <row r="390" spans="1:15" ht="12.75" customHeight="1" x14ac:dyDescent="0.2">
      <c r="A390" s="216" t="s">
        <v>1000</v>
      </c>
      <c r="B390" s="228"/>
      <c r="C390" s="228"/>
      <c r="D390" s="228"/>
      <c r="E390" s="228"/>
      <c r="F390" s="228"/>
      <c r="G390" s="216" t="s">
        <v>1001</v>
      </c>
      <c r="H390" s="216" t="s">
        <v>981</v>
      </c>
      <c r="I390" s="239" t="str">
        <f>IF(ISBLANK(regional!I14),"",regional!I14)</f>
        <v/>
      </c>
      <c r="O390" s="262" t="s">
        <v>4295</v>
      </c>
    </row>
    <row r="391" spans="1:15" ht="12.75" customHeight="1" x14ac:dyDescent="0.2">
      <c r="A391" s="216" t="s">
        <v>1002</v>
      </c>
      <c r="B391" s="228"/>
      <c r="C391" s="228"/>
      <c r="D391" s="228"/>
      <c r="E391" s="228"/>
      <c r="F391" s="228"/>
      <c r="G391" s="216" t="s">
        <v>1003</v>
      </c>
      <c r="H391" s="216" t="s">
        <v>981</v>
      </c>
      <c r="I391" s="239" t="str">
        <f>IF(ISBLANK(regional!I15),"",regional!I15)</f>
        <v/>
      </c>
      <c r="O391" s="262" t="s">
        <v>4295</v>
      </c>
    </row>
    <row r="392" spans="1:15" ht="12.75" customHeight="1" x14ac:dyDescent="0.2">
      <c r="A392" s="216"/>
      <c r="B392" s="216" t="s">
        <v>1004</v>
      </c>
      <c r="C392" s="228"/>
      <c r="D392" s="228"/>
      <c r="E392" s="228"/>
      <c r="F392" s="228"/>
      <c r="G392" s="216" t="s">
        <v>1005</v>
      </c>
      <c r="H392" s="216" t="s">
        <v>697</v>
      </c>
      <c r="I392" s="239" t="str">
        <f>IF(ISBLANK(regional!I16),"",regional!I16)</f>
        <v/>
      </c>
      <c r="O392" s="262" t="s">
        <v>4295</v>
      </c>
    </row>
    <row r="393" spans="1:15" ht="12.75" customHeight="1" x14ac:dyDescent="0.2">
      <c r="A393" s="216"/>
      <c r="B393" s="216" t="s">
        <v>1006</v>
      </c>
      <c r="C393" s="228"/>
      <c r="D393" s="228"/>
      <c r="E393" s="228"/>
      <c r="F393" s="228"/>
      <c r="G393" s="578" t="s">
        <v>1007</v>
      </c>
      <c r="H393" s="216" t="s">
        <v>314</v>
      </c>
      <c r="I393" s="239" t="str">
        <f>IF(ISBLANK(regional!I17),"",regional!I17)</f>
        <v/>
      </c>
      <c r="O393" s="262" t="s">
        <v>4295</v>
      </c>
    </row>
    <row r="394" spans="1:15" ht="12.75" customHeight="1" x14ac:dyDescent="0.2">
      <c r="A394" s="216"/>
      <c r="B394" s="216" t="s">
        <v>1008</v>
      </c>
      <c r="C394" s="228"/>
      <c r="D394" s="228"/>
      <c r="E394" s="228"/>
      <c r="F394" s="228"/>
      <c r="G394" s="578" t="s">
        <v>1009</v>
      </c>
      <c r="H394" s="216" t="s">
        <v>314</v>
      </c>
      <c r="I394" s="239" t="str">
        <f>IF(ISBLANK(regional!I18),"",regional!I18)</f>
        <v/>
      </c>
      <c r="O394" s="262" t="s">
        <v>4295</v>
      </c>
    </row>
    <row r="395" spans="1:15" ht="12.75" customHeight="1" x14ac:dyDescent="0.2">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2">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2">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2">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2">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2">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2">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2">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2">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2">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2">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2">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2">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2">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2">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2">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2">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2">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2">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2">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2">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2">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2">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2">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2">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2">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2">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2">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2">
      <c r="A423" s="216"/>
      <c r="B423" s="228"/>
      <c r="C423" s="228"/>
      <c r="D423" s="228"/>
      <c r="E423" s="228"/>
      <c r="F423" s="228"/>
      <c r="G423" s="578"/>
      <c r="H423" s="216"/>
      <c r="I423" s="239" t="str">
        <f>IF(ISBLANK(regional!I47),"",regional!I47)</f>
        <v/>
      </c>
      <c r="K423" s="262" t="s">
        <v>4295</v>
      </c>
      <c r="O423" s="262" t="s">
        <v>4295</v>
      </c>
    </row>
    <row r="424" spans="1:15" ht="12.75" customHeight="1" x14ac:dyDescent="0.2">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2">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2">
      <c r="A426" s="216"/>
      <c r="B426" s="228"/>
      <c r="C426" s="228"/>
      <c r="D426" s="228"/>
      <c r="E426" s="228"/>
      <c r="F426" s="228"/>
      <c r="G426" s="578"/>
      <c r="H426" s="216"/>
      <c r="I426" s="239" t="str">
        <f>IF(ISBLANK(regional!I50),"",regional!I50)</f>
        <v/>
      </c>
      <c r="K426" s="262" t="s">
        <v>4295</v>
      </c>
      <c r="O426" s="262" t="s">
        <v>4295</v>
      </c>
    </row>
    <row r="427" spans="1:15" ht="12.75" customHeight="1" x14ac:dyDescent="0.2">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2">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2">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2">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2">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2">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2">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2">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2">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2">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2">
      <c r="I437" s="239" t="str">
        <f>IF(ISBLANK(regional!I61),"",regional!I61)</f>
        <v/>
      </c>
      <c r="K437" s="262" t="s">
        <v>4295</v>
      </c>
      <c r="O437" s="262" t="s">
        <v>4295</v>
      </c>
    </row>
    <row r="438" spans="1:15" ht="12.75" customHeight="1" x14ac:dyDescent="0.2">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2">
      <c r="A439" s="172"/>
      <c r="B439" s="172"/>
      <c r="C439" s="172"/>
      <c r="D439" s="172"/>
      <c r="E439" s="172"/>
      <c r="F439" s="172"/>
      <c r="I439" s="239" t="str">
        <f>IF(ISBLANK(regional!I63),"",regional!I63)</f>
        <v/>
      </c>
      <c r="K439" s="262" t="s">
        <v>4295</v>
      </c>
      <c r="O439" s="262" t="s">
        <v>4295</v>
      </c>
    </row>
    <row r="440" spans="1:15" ht="12.75" customHeight="1" x14ac:dyDescent="0.2">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2">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2">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25">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25">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25">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2">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2">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2">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2">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2">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2">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2">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2">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2">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2">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2">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2">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2">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2">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2">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2">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2">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2">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2">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2">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2">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2">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2">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2">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2">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2">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2">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2">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2">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2">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2">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2">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2">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2">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2">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2">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2">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2">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2">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2">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2">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2">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2">
      <c r="A488" s="172"/>
      <c r="D488" s="172"/>
      <c r="G488" s="183"/>
      <c r="I488" s="239" t="str">
        <f>IF(ISBLANK(regional!I106),"",regional!I106)</f>
        <v/>
      </c>
      <c r="K488" s="262" t="s">
        <v>4295</v>
      </c>
      <c r="O488" s="262" t="s">
        <v>4295</v>
      </c>
    </row>
    <row r="489" spans="1:15" ht="12.75" customHeight="1" x14ac:dyDescent="0.2">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2">
      <c r="I490" s="239" t="str">
        <f>IF(ISBLANK(regional!I108),"",regional!I108)</f>
        <v/>
      </c>
      <c r="K490" s="262" t="s">
        <v>4295</v>
      </c>
      <c r="O490" s="262" t="s">
        <v>4295</v>
      </c>
    </row>
    <row r="491" spans="1:15" ht="12.75" customHeight="1" x14ac:dyDescent="0.2">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2">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2">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2">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2">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2">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2">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2">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2">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2">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2">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2">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2">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2">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2">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2">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2">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2">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2">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2">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2">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2">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2">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2">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2">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2">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2">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2">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2">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2">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2">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2">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2">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2">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2">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2">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2">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2">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2">
      <c r="I529" s="239" t="str">
        <f>IF(ISBLANK(regional!I147),"",regional!I147)</f>
        <v/>
      </c>
      <c r="K529" s="262" t="s">
        <v>4295</v>
      </c>
      <c r="O529" s="262" t="s">
        <v>4295</v>
      </c>
    </row>
    <row r="530" spans="1:15" ht="12.75" customHeight="1" x14ac:dyDescent="0.2">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2">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2">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2">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2">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2">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2">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2">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2">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2">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2">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2">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2">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2">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2">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2">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2">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2">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2">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2">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2">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2">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2">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2">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2">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2">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2">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2">
      <c r="A557" s="216"/>
      <c r="B557" s="228"/>
      <c r="C557" s="228"/>
      <c r="D557" s="228"/>
      <c r="E557" s="228"/>
      <c r="F557" s="228"/>
      <c r="G557" s="578"/>
      <c r="H557" s="216"/>
      <c r="I557" s="239" t="str">
        <f>IF(ISBLANK(regional!I175),"",regional!I175)</f>
        <v/>
      </c>
      <c r="K557" s="262" t="s">
        <v>4295</v>
      </c>
      <c r="O557" s="262" t="s">
        <v>4295</v>
      </c>
    </row>
    <row r="558" spans="1:15" ht="12.75" customHeight="1" x14ac:dyDescent="0.2">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2">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2">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2">
      <c r="A561" s="216" t="s">
        <v>4397</v>
      </c>
      <c r="B561" s="228"/>
      <c r="C561" s="228"/>
      <c r="D561" s="228"/>
      <c r="E561" s="228"/>
      <c r="F561" s="228"/>
      <c r="G561" s="216" t="s">
        <v>1331</v>
      </c>
      <c r="H561" s="216" t="s">
        <v>358</v>
      </c>
      <c r="I561" s="239" t="str">
        <f>IF(ISBLANK(regional!I179),"",regional!I179)</f>
        <v/>
      </c>
      <c r="J561" s="822"/>
    </row>
    <row r="562" spans="1:15" ht="12.75" customHeight="1" x14ac:dyDescent="0.2">
      <c r="A562" s="216" t="s">
        <v>4398</v>
      </c>
      <c r="B562" s="228"/>
      <c r="C562" s="228"/>
      <c r="D562" s="228"/>
      <c r="E562" s="228"/>
      <c r="F562" s="228"/>
      <c r="G562" s="216" t="s">
        <v>1333</v>
      </c>
      <c r="H562" s="216" t="s">
        <v>358</v>
      </c>
      <c r="I562" s="239" t="str">
        <f>IF(ISBLANK(regional!I180),"",regional!I180)</f>
        <v/>
      </c>
      <c r="J562" s="822"/>
    </row>
    <row r="563" spans="1:15" ht="12.75" customHeight="1" x14ac:dyDescent="0.2">
      <c r="A563" s="216" t="s">
        <v>4399</v>
      </c>
      <c r="B563" s="228"/>
      <c r="C563" s="228"/>
      <c r="D563" s="228"/>
      <c r="E563" s="228"/>
      <c r="F563" s="228"/>
      <c r="G563" s="216" t="s">
        <v>1335</v>
      </c>
      <c r="H563" s="216" t="s">
        <v>358</v>
      </c>
      <c r="I563" s="239" t="str">
        <f>IF(ISBLANK(regional!I181),"",regional!I181)</f>
        <v/>
      </c>
      <c r="J563" s="822"/>
    </row>
    <row r="564" spans="1:15" ht="12.75" customHeight="1" x14ac:dyDescent="0.2">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2">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2">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2">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2">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2">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2">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2">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2">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2">
      <c r="I573" s="239" t="str">
        <f>IF(ISBLANK(regional!I191),"",regional!I191)</f>
        <v/>
      </c>
      <c r="K573" s="262" t="s">
        <v>4295</v>
      </c>
      <c r="O573" s="262" t="s">
        <v>4295</v>
      </c>
    </row>
    <row r="574" spans="1:15" ht="12.75" customHeight="1" x14ac:dyDescent="0.2">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2">
      <c r="A575" s="172"/>
      <c r="I575" s="239" t="str">
        <f>IF(ISBLANK(regional!I193),"",regional!I193)</f>
        <v/>
      </c>
      <c r="K575" s="262" t="s">
        <v>4295</v>
      </c>
      <c r="O575" s="262" t="s">
        <v>4295</v>
      </c>
    </row>
    <row r="576" spans="1:15" ht="12.75" customHeight="1" x14ac:dyDescent="0.2">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2">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2">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2">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2">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2">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2">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2">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2">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2">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2">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2">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2">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2">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2">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2">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2">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2">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2">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2">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2">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2">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2">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2">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2">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2">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2">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2">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2">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2">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2">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2">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2">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2">
      <c r="A609" s="487"/>
      <c r="B609" s="487"/>
      <c r="C609" s="487"/>
      <c r="D609" s="487"/>
      <c r="E609" s="487"/>
      <c r="F609" s="487"/>
      <c r="G609" s="650"/>
      <c r="H609" s="650"/>
      <c r="I609" s="239" t="str">
        <f>IF(ISBLANK(regional!I227),"",regional!I227)</f>
        <v/>
      </c>
      <c r="K609" s="262" t="s">
        <v>4295</v>
      </c>
      <c r="O609" s="262" t="s">
        <v>4295</v>
      </c>
    </row>
    <row r="610" spans="1:15" ht="12.75" customHeight="1" x14ac:dyDescent="0.2">
      <c r="A610" t="s">
        <v>1418</v>
      </c>
      <c r="I610" s="239" t="str">
        <f>IF(ISBLANK(regional!I228),"",regional!I228)</f>
        <v/>
      </c>
      <c r="K610" s="262" t="s">
        <v>4295</v>
      </c>
      <c r="O610" s="262" t="s">
        <v>4295</v>
      </c>
    </row>
    <row r="611" spans="1:15" ht="12.75" customHeight="1" x14ac:dyDescent="0.2">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2">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2">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2">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2">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2">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2">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2">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2">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2">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2">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2">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2">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2">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2">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2">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2">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2">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2">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2">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2">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2">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2">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2">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2">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2">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2">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2">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2">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2">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2">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2">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2">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2">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2">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2">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2">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2">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2">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2">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2">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2">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2">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2">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2">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2">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2">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2">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2">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2">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2">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2">
      <c r="A662" s="410" t="s">
        <v>1518</v>
      </c>
      <c r="I662" s="239" t="str">
        <f>IF(ISBLANK(regional!I277),"",regional!I277)</f>
        <v/>
      </c>
      <c r="K662" s="262" t="s">
        <v>4295</v>
      </c>
      <c r="O662" s="262" t="s">
        <v>4295</v>
      </c>
    </row>
    <row r="663" spans="1:15" ht="12.75" customHeight="1" x14ac:dyDescent="0.2">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2">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2">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2">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2">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2">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2">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2">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2">
      <c r="A671" s="410" t="s">
        <v>1534</v>
      </c>
      <c r="I671" s="239" t="str">
        <f>IF(ISBLANK(regional!I286),"",regional!I286)</f>
        <v/>
      </c>
      <c r="K671" s="262" t="s">
        <v>4295</v>
      </c>
      <c r="O671" s="262" t="s">
        <v>4295</v>
      </c>
    </row>
    <row r="672" spans="1:15" ht="12.75" customHeight="1" x14ac:dyDescent="0.2">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2">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2">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2">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2">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2">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2">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2">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2">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2">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2">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2">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2">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2">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2">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2">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2">
      <c r="A688" s="410" t="s">
        <v>1572</v>
      </c>
      <c r="I688" s="239" t="str">
        <f>IF(ISBLANK(regional!I303),"",regional!I303)</f>
        <v/>
      </c>
      <c r="J688" s="822"/>
      <c r="K688" s="262" t="s">
        <v>4295</v>
      </c>
      <c r="O688" s="262" t="s">
        <v>4295</v>
      </c>
    </row>
    <row r="689" spans="1:15" ht="12.75" customHeight="1" x14ac:dyDescent="0.2">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2">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2">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2">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2">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2">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2">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2">
      <c r="A696" s="410" t="s">
        <v>1583</v>
      </c>
      <c r="I696" s="239" t="str">
        <f>IF(ISBLANK(regional!I310),"",regional!I310)</f>
        <v/>
      </c>
      <c r="K696" s="262" t="s">
        <v>4295</v>
      </c>
      <c r="O696" s="262" t="s">
        <v>4295</v>
      </c>
    </row>
    <row r="697" spans="1:15" ht="12.75" customHeight="1" x14ac:dyDescent="0.2">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2">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2">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2">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2">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2">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2">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2">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2">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2">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2">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2">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2">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2">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2">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2">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2">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2">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2">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2">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2">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2">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2">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2">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2">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2">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2">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2">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2">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2">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2">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2">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2">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2">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2">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2">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2">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2">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2">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2">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2">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2">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2">
      <c r="I739" s="239" t="str">
        <f>IF(ISBLANK(regional!I353),"",regional!I353)</f>
        <v/>
      </c>
      <c r="K739" s="262" t="s">
        <v>4295</v>
      </c>
      <c r="O739" s="262" t="s">
        <v>4295</v>
      </c>
    </row>
    <row r="740" spans="1:15" ht="12.75" customHeight="1" x14ac:dyDescent="0.2">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2">
      <c r="A741" t="s">
        <v>1636</v>
      </c>
      <c r="I741" s="239" t="str">
        <f>IF(ISBLANK(regional!I355),"",regional!I355)</f>
        <v/>
      </c>
      <c r="K741" s="262" t="s">
        <v>4295</v>
      </c>
      <c r="O741" s="262" t="s">
        <v>4295</v>
      </c>
    </row>
    <row r="742" spans="1:15" ht="12.75" customHeight="1" x14ac:dyDescent="0.2">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2">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2">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2">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2">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2">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2">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2">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2">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2">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2">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2">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2">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2">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2">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2">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2">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2">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2">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2">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2">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2">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2">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2">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2">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2">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2">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2">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2">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2">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2">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2">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2">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2">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2">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2">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2">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2">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2">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2">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2">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2">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2">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2">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2">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2">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2">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2">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2">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2">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2">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2">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2">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2">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2">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2">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2">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2">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2">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2">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2">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2">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2">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2">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2">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2">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2">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2">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2">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2">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2">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2">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2">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2">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2">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2">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2">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2">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2">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2">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2">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2">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2">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2">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2">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2">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2">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2">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2">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2">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2">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2">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2">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2">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2">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2">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2">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2">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2">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2">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2">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2">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2">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2">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2">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2">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2">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2">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2">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2">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2">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2">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2">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2">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2">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2">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2">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2">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2">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2">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2">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2">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2">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2">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2">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2">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2">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2">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2">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2">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2">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2">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2">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2">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2">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2">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2">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2">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2">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2">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2">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2">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2">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2">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2">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2">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2">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2">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2">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2">
      <c r="A891" s="582" t="s">
        <v>1896</v>
      </c>
      <c r="B891" s="582"/>
      <c r="C891" s="582"/>
      <c r="D891" s="582"/>
      <c r="E891" s="582"/>
      <c r="F891" s="582"/>
      <c r="G891" s="581" t="s">
        <v>1897</v>
      </c>
      <c r="H891" s="567" t="s">
        <v>358</v>
      </c>
      <c r="I891" s="239" t="str">
        <f>IF(ISBLANK(regional!I504),"",regional!I504)</f>
        <v/>
      </c>
    </row>
    <row r="892" spans="1:15" ht="12.75" customHeight="1" x14ac:dyDescent="0.2">
      <c r="A892" s="566" t="s">
        <v>1899</v>
      </c>
      <c r="B892" s="566"/>
      <c r="C892" s="566"/>
      <c r="D892" s="566"/>
      <c r="E892" s="566"/>
      <c r="F892" s="566"/>
      <c r="G892" s="567" t="s">
        <v>1900</v>
      </c>
      <c r="H892" s="567" t="s">
        <v>358</v>
      </c>
      <c r="I892" s="239" t="str">
        <f>IF(ISBLANK(regional!I505),"",regional!I505)</f>
        <v/>
      </c>
    </row>
    <row r="893" spans="1:15" ht="12.75" customHeight="1" x14ac:dyDescent="0.2">
      <c r="A893" s="566" t="s">
        <v>1901</v>
      </c>
      <c r="B893" s="566"/>
      <c r="C893" s="566"/>
      <c r="D893" s="566"/>
      <c r="E893" s="566"/>
      <c r="F893" s="566"/>
      <c r="G893" s="567" t="s">
        <v>1902</v>
      </c>
      <c r="H893" s="567" t="s">
        <v>358</v>
      </c>
      <c r="I893" s="239" t="str">
        <f>IF(ISBLANK(regional!I506),"",regional!I506)</f>
        <v/>
      </c>
    </row>
    <row r="894" spans="1:15" ht="12.75" customHeight="1" x14ac:dyDescent="0.2">
      <c r="A894" s="566" t="s">
        <v>1903</v>
      </c>
      <c r="B894" s="566"/>
      <c r="C894" s="566"/>
      <c r="D894" s="566"/>
      <c r="E894" s="566"/>
      <c r="F894" s="566"/>
      <c r="G894" s="567" t="s">
        <v>1904</v>
      </c>
      <c r="H894" s="567" t="s">
        <v>358</v>
      </c>
      <c r="I894" s="239" t="str">
        <f>IF(ISBLANK(regional!I507),"",regional!I507)</f>
        <v/>
      </c>
    </row>
    <row r="895" spans="1:15" ht="12.75" customHeight="1" x14ac:dyDescent="0.2">
      <c r="A895" s="566" t="s">
        <v>1905</v>
      </c>
      <c r="B895" s="566"/>
      <c r="C895" s="566"/>
      <c r="D895" s="566"/>
      <c r="E895" s="566"/>
      <c r="F895" s="566"/>
      <c r="G895" s="567" t="s">
        <v>1906</v>
      </c>
      <c r="H895" s="567" t="s">
        <v>358</v>
      </c>
      <c r="I895" s="239" t="str">
        <f>IF(ISBLANK(regional!I508),"",regional!I508)</f>
        <v/>
      </c>
    </row>
    <row r="896" spans="1:15" ht="12.75" customHeight="1" x14ac:dyDescent="0.2">
      <c r="A896" s="566" t="s">
        <v>1907</v>
      </c>
      <c r="B896" s="566"/>
      <c r="C896" s="566"/>
      <c r="D896" s="566"/>
      <c r="E896" s="566"/>
      <c r="F896" s="566"/>
      <c r="G896" s="567" t="s">
        <v>1908</v>
      </c>
      <c r="H896" s="567" t="s">
        <v>358</v>
      </c>
      <c r="I896" s="239" t="str">
        <f>IF(ISBLANK(regional!I509),"",regional!I509)</f>
        <v/>
      </c>
    </row>
    <row r="897" spans="1:15" ht="12.75" customHeight="1" x14ac:dyDescent="0.2">
      <c r="A897" s="566" t="s">
        <v>1909</v>
      </c>
      <c r="B897" s="566"/>
      <c r="C897" s="566"/>
      <c r="D897" s="566"/>
      <c r="E897" s="566"/>
      <c r="F897" s="566"/>
      <c r="G897" s="567" t="s">
        <v>1910</v>
      </c>
      <c r="H897" s="567" t="s">
        <v>358</v>
      </c>
      <c r="I897" s="239" t="str">
        <f>IF(ISBLANK(regional!I510),"",regional!I510)</f>
        <v/>
      </c>
    </row>
    <row r="898" spans="1:15" ht="12.75" customHeight="1" x14ac:dyDescent="0.2">
      <c r="A898" s="566" t="s">
        <v>1912</v>
      </c>
      <c r="B898" s="566"/>
      <c r="C898" s="566"/>
      <c r="D898" s="566"/>
      <c r="E898" s="566"/>
      <c r="F898" s="566"/>
      <c r="G898" s="567" t="s">
        <v>1913</v>
      </c>
      <c r="H898" s="567" t="s">
        <v>358</v>
      </c>
      <c r="I898" s="239" t="str">
        <f>IF(ISBLANK(regional!I511),"",regional!I511)</f>
        <v/>
      </c>
    </row>
    <row r="899" spans="1:15" ht="12.75" customHeight="1" x14ac:dyDescent="0.2">
      <c r="A899" s="598" t="s">
        <v>1914</v>
      </c>
      <c r="B899" s="598"/>
      <c r="C899" s="598"/>
      <c r="D899" s="598"/>
      <c r="E899" s="598"/>
      <c r="F899" s="598"/>
      <c r="G899" s="601" t="s">
        <v>1915</v>
      </c>
      <c r="H899" s="601" t="s">
        <v>358</v>
      </c>
      <c r="I899" s="239" t="str">
        <f>IF(ISBLANK(regional!I512),"",regional!I512)</f>
        <v/>
      </c>
    </row>
    <row r="900" spans="1:15" ht="12.75" customHeight="1" x14ac:dyDescent="0.2">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2">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2">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2">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2">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2">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2">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2">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2">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2">
      <c r="A909" s="487"/>
      <c r="B909" s="487"/>
      <c r="C909" s="487"/>
      <c r="D909" s="487"/>
      <c r="E909" s="487"/>
      <c r="F909" s="487"/>
      <c r="G909" s="650"/>
      <c r="H909" s="650"/>
      <c r="I909" s="239" t="str">
        <f>IF(ISBLANK(regional!I522),"",regional!I522)</f>
        <v/>
      </c>
      <c r="K909" s="262" t="s">
        <v>4295</v>
      </c>
      <c r="O909" s="262" t="s">
        <v>4295</v>
      </c>
    </row>
    <row r="910" spans="1:15" ht="12.75" customHeight="1" x14ac:dyDescent="0.2">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2">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2">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2">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2">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2">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2">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2">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2">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2">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2">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2">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2">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2">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2">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2">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2">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2">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2">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2">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2">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2">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2">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2">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2">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2">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2">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2">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2">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2">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2">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2">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2">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2">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2">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2">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2">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2">
      <c r="C947" s="172"/>
      <c r="D947" s="183"/>
      <c r="I947" s="792"/>
    </row>
    <row r="948" spans="1:15" ht="12.75" customHeight="1" x14ac:dyDescent="0.2">
      <c r="A948" s="280" t="s">
        <v>1971</v>
      </c>
      <c r="B948" s="17"/>
      <c r="C948" s="17"/>
      <c r="D948" s="17"/>
      <c r="E948" s="17"/>
      <c r="F948" s="17"/>
      <c r="G948" s="38"/>
      <c r="H948" s="17"/>
      <c r="I948" s="793" t="str">
        <f>IF(global!$I142="","",global!$I142)</f>
        <v/>
      </c>
      <c r="K948" s="262" t="s">
        <v>4295</v>
      </c>
      <c r="O948" s="262" t="s">
        <v>4295</v>
      </c>
    </row>
    <row r="949" spans="1:15" ht="12.75" customHeight="1" x14ac:dyDescent="0.2">
      <c r="A949" s="17"/>
      <c r="B949" s="17"/>
      <c r="C949" s="17"/>
      <c r="D949" s="17"/>
      <c r="E949" s="17"/>
      <c r="F949" s="17"/>
      <c r="G949" s="17"/>
      <c r="H949" s="17"/>
      <c r="I949" s="793" t="str">
        <f>IF(global!$I141="","",global!$I141)</f>
        <v/>
      </c>
      <c r="K949" s="262" t="s">
        <v>4295</v>
      </c>
      <c r="O949" s="262" t="s">
        <v>4295</v>
      </c>
    </row>
    <row r="950" spans="1:15" ht="12.75" customHeight="1" x14ac:dyDescent="0.2">
      <c r="A950" s="147" t="s">
        <v>978</v>
      </c>
      <c r="B950" s="147"/>
      <c r="C950" s="147"/>
      <c r="D950" s="147"/>
      <c r="E950" s="147"/>
      <c r="F950" s="147"/>
      <c r="G950" s="148" t="s">
        <v>282</v>
      </c>
      <c r="H950" s="148" t="s">
        <v>297</v>
      </c>
      <c r="I950" s="545"/>
      <c r="J950" s="545"/>
    </row>
    <row r="951" spans="1:15" ht="12.75" customHeight="1" x14ac:dyDescent="0.2">
      <c r="A951" s="17"/>
      <c r="B951" s="17"/>
      <c r="C951" s="38"/>
      <c r="D951" s="38"/>
      <c r="E951" s="17"/>
      <c r="F951" s="17"/>
      <c r="G951" s="17"/>
      <c r="H951" s="17"/>
      <c r="I951" s="17"/>
      <c r="J951" s="228"/>
    </row>
    <row r="952" spans="1:15" ht="12.75" customHeight="1" x14ac:dyDescent="0.2">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2">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2">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2">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2">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2">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2">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2">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2">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2">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2">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2">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2">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2">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2">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2">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2">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2">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2">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2">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2">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2">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2">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2">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2">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2">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2">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2">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2">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2">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2">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2">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2">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2">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2">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2">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2">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2">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2">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2">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2">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2">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2">
      <c r="A994" s="38"/>
      <c r="B994" s="17"/>
      <c r="C994" s="38"/>
      <c r="D994" s="146"/>
      <c r="E994" s="146"/>
      <c r="F994" s="17"/>
      <c r="G994" s="146"/>
      <c r="H994" s="146"/>
      <c r="I994" s="239" t="str">
        <f>IF(ISBLANK(continental!I47),"",continental!I47)</f>
        <v/>
      </c>
      <c r="K994" s="262" t="s">
        <v>4295</v>
      </c>
      <c r="O994" s="262" t="s">
        <v>4295</v>
      </c>
    </row>
    <row r="995" spans="1:15" ht="12.75" customHeight="1" x14ac:dyDescent="0.2">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2">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2">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2">
      <c r="A998" s="38"/>
      <c r="B998" s="17"/>
      <c r="C998" s="38"/>
      <c r="D998" s="146"/>
      <c r="E998" s="146"/>
      <c r="F998" s="17"/>
      <c r="G998" s="146"/>
      <c r="H998" s="146"/>
      <c r="I998" s="239" t="str">
        <f>IF(ISBLANK(continental!I51),"",continental!I51)</f>
        <v/>
      </c>
      <c r="K998" s="262" t="s">
        <v>4295</v>
      </c>
      <c r="O998" s="262" t="s">
        <v>4295</v>
      </c>
    </row>
    <row r="999" spans="1:15" ht="12.75" customHeight="1" x14ac:dyDescent="0.2">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2">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2">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2">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2">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2">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2">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2">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2">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2">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2">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2">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2">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2">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2">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2">
      <c r="A1014" s="17"/>
      <c r="B1014" s="17"/>
      <c r="C1014" s="17"/>
      <c r="D1014" s="17"/>
      <c r="E1014" s="17"/>
      <c r="F1014" s="17"/>
      <c r="G1014" s="17"/>
      <c r="H1014" s="17"/>
      <c r="I1014" s="239" t="str">
        <f>IF(ISBLANK(continental!I67),"",continental!I67)</f>
        <v/>
      </c>
      <c r="K1014" s="262" t="s">
        <v>4295</v>
      </c>
      <c r="O1014" s="262" t="s">
        <v>4295</v>
      </c>
    </row>
    <row r="1015" spans="1:15" ht="12.75" customHeight="1" x14ac:dyDescent="0.2">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2">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2">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2">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2">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2">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25">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25">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2">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2">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2">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2">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2">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2">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2">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2">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2">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2">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2">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2">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2">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2">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2">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2">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2">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2">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2">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2">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2">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2">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2">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2">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2">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2">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2">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2">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2">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2">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2">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2">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2">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2">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2">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2">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2">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2">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2">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2">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2">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2">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2">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2">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2">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2">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2">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2">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2">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2">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2">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2">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2">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2">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2">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2">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2">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2">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2">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2">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2">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2">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2">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2">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2">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2">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2">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2">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2">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2">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2">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2">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2">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2">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2">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2">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2">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2">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2">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2">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2">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2">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2">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2">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2">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2">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2">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2">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2">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2">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2">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2">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2">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2">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2">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2">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2">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2">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2">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2">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2">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2">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2">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2">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2">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2">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2">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2">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2">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2">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2">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2">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2">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2">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2">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2">
      <c r="A1138" s="38" t="s">
        <v>1330</v>
      </c>
      <c r="B1138" s="17"/>
      <c r="C1138" s="17"/>
      <c r="D1138" s="17"/>
      <c r="E1138" s="17"/>
      <c r="F1138" s="17"/>
      <c r="G1138" s="38" t="s">
        <v>2202</v>
      </c>
      <c r="H1138" s="38" t="s">
        <v>358</v>
      </c>
      <c r="I1138" s="239" t="str">
        <f>IF(ISBLANK(continental!I185),"",continental!I185)</f>
        <v/>
      </c>
    </row>
    <row r="1139" spans="1:15" ht="12.75" customHeight="1" x14ac:dyDescent="0.2">
      <c r="A1139" s="38" t="s">
        <v>1332</v>
      </c>
      <c r="B1139" s="17"/>
      <c r="C1139" s="17"/>
      <c r="D1139" s="17"/>
      <c r="E1139" s="17"/>
      <c r="F1139" s="17"/>
      <c r="G1139" s="38" t="s">
        <v>2203</v>
      </c>
      <c r="H1139" s="38" t="s">
        <v>358</v>
      </c>
      <c r="I1139" s="239" t="str">
        <f>IF(ISBLANK(continental!I186),"",continental!I186)</f>
        <v/>
      </c>
    </row>
    <row r="1140" spans="1:15" ht="12.75" customHeight="1" x14ac:dyDescent="0.2">
      <c r="A1140" s="38" t="s">
        <v>1334</v>
      </c>
      <c r="B1140" s="17"/>
      <c r="C1140" s="17"/>
      <c r="D1140" s="17"/>
      <c r="E1140" s="17"/>
      <c r="F1140" s="17"/>
      <c r="G1140" s="38" t="s">
        <v>2204</v>
      </c>
      <c r="H1140" s="38" t="s">
        <v>358</v>
      </c>
      <c r="I1140" s="239" t="str">
        <f>IF(ISBLANK(continental!I187),"",continental!I187)</f>
        <v/>
      </c>
    </row>
    <row r="1141" spans="1:15" ht="12.75" customHeight="1" x14ac:dyDescent="0.2">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2">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2">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2">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2">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2">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2">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2">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2">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2">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2">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2">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2">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2">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2">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2">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2">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2">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2">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2">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2">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2">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2">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2">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2">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2">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2">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2">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2">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2">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2">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2">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2">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2">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2">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2">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2">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2">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2">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2">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2">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2">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2">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2">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2">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2">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2">
      <c r="G1187"/>
      <c r="H1187"/>
      <c r="I1187" s="239" t="str">
        <f>IF(ISBLANK(continental!I234),"",continental!I234)</f>
        <v/>
      </c>
      <c r="K1187" s="262" t="s">
        <v>4295</v>
      </c>
      <c r="O1187" s="262" t="s">
        <v>4295</v>
      </c>
    </row>
    <row r="1188" spans="1:15" ht="12.75" customHeight="1" x14ac:dyDescent="0.2">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2">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2">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2">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2">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2">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2">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2">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2">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2">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2">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2">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2">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2">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2">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2">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2">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2">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2">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2">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2">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2">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2">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2">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2">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2">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2">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2">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2">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2">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2">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2">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2">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2">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2">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2">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2">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2">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2">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2">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2">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2">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2">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2">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2">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2">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2">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2">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2">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2">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2">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2">
      <c r="A1239" s="410" t="s">
        <v>1518</v>
      </c>
      <c r="I1239" s="239" t="str">
        <f>IF(ISBLANK(continental!I283),"",continental!I283)</f>
        <v/>
      </c>
      <c r="K1239" s="262" t="s">
        <v>4295</v>
      </c>
      <c r="O1239" s="262" t="s">
        <v>4295</v>
      </c>
    </row>
    <row r="1240" spans="1:15" ht="12.75" customHeight="1" x14ac:dyDescent="0.2">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2">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2">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2">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2">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2">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2">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2">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2">
      <c r="A1248" s="410" t="s">
        <v>1534</v>
      </c>
      <c r="I1248" s="239" t="str">
        <f>IF(ISBLANK(continental!I292),"",continental!I292)</f>
        <v/>
      </c>
      <c r="K1248" s="262" t="s">
        <v>4295</v>
      </c>
      <c r="O1248" s="262" t="s">
        <v>4295</v>
      </c>
    </row>
    <row r="1249" spans="1:15" ht="12.75" customHeight="1" x14ac:dyDescent="0.2">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2">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2">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2">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2">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2">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2">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2">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2">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2">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2">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2">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2">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2">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2">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2">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2">
      <c r="A1265" s="410" t="s">
        <v>1572</v>
      </c>
      <c r="I1265" s="239" t="str">
        <f>IF(ISBLANK(continental!I309),"",continental!I309)</f>
        <v/>
      </c>
      <c r="K1265" s="262" t="s">
        <v>4295</v>
      </c>
      <c r="O1265" s="262" t="s">
        <v>4295</v>
      </c>
    </row>
    <row r="1266" spans="1:15" ht="12.75" customHeight="1" x14ac:dyDescent="0.2">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2">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2">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2">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2">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2">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2">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2">
      <c r="A1273" s="410" t="s">
        <v>1583</v>
      </c>
      <c r="I1273" s="239" t="str">
        <f>IF(ISBLANK(continental!I316),"",continental!I316)</f>
        <v/>
      </c>
      <c r="K1273" s="262" t="s">
        <v>4295</v>
      </c>
      <c r="O1273" s="262" t="s">
        <v>4295</v>
      </c>
    </row>
    <row r="1274" spans="1:15" ht="12.75" customHeight="1" x14ac:dyDescent="0.2">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2">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2">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2">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2">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2">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2">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2">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2">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2">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2">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2">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2">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2">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2">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2">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2">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2">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2">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2">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2">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2">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2">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2">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2">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2">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2">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2">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2">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2">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2">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2">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2">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2">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2">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2">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2">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2">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2">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2">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2">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2">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2">
      <c r="I1316" s="239" t="str">
        <f>IF(ISBLANK(continental!I359),"",continental!I359)</f>
        <v/>
      </c>
      <c r="K1316" s="262" t="s">
        <v>4295</v>
      </c>
      <c r="O1316" s="262" t="s">
        <v>4295</v>
      </c>
    </row>
    <row r="1317" spans="1:15" ht="12.75" customHeight="1" x14ac:dyDescent="0.2">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2">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2">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2">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2">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2">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2">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2">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2">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2">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2">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2">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2">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2">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2">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2">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2">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2">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2">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2">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2">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2">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2">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2">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2">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2">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2">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2">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2">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2">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2">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2">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2">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2">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2">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2">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2">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2">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2">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2">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2">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2">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2">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2">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2">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2">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2">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2">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2">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2">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2">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2">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2">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2">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2">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2">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2">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2">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2">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2">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2">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2">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2">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2">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2">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2">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2">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2">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2">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2">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2">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2">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2">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2">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2">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2">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2">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2">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2">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2">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2">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2">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2">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2">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2">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2">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2">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2">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2">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2">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2">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2">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2">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2">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2">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2">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2">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2">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2">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2">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2">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2">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2">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2">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2">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2">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2">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2">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2">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2">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2">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2">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2">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2">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2">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2">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2">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2">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2">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2">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2">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2">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2">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2">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2">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2">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2">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2">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2">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2">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2">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2">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2">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2">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2">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2">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2">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2">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2">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2">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2">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2">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2">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2">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2">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2">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2">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2">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2">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2">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2">
      <c r="A1467" s="566" t="s">
        <v>1896</v>
      </c>
      <c r="B1467" s="566"/>
      <c r="C1467" s="566"/>
      <c r="D1467" s="566"/>
      <c r="E1467" s="566"/>
      <c r="F1467" s="566"/>
      <c r="G1467" s="567" t="s">
        <v>2523</v>
      </c>
      <c r="H1467" s="567" t="s">
        <v>358</v>
      </c>
      <c r="I1467" s="239" t="str">
        <f>IF(ISBLANK(continental!I510),"",continental!I510)</f>
        <v/>
      </c>
    </row>
    <row r="1468" spans="1:15" ht="12.75" customHeight="1" x14ac:dyDescent="0.2">
      <c r="A1468" s="566" t="s">
        <v>1899</v>
      </c>
      <c r="B1468" s="566"/>
      <c r="C1468" s="566"/>
      <c r="D1468" s="566"/>
      <c r="E1468" s="566"/>
      <c r="F1468" s="566"/>
      <c r="G1468" s="567" t="s">
        <v>2524</v>
      </c>
      <c r="H1468" s="567" t="s">
        <v>358</v>
      </c>
      <c r="I1468" s="239" t="str">
        <f>IF(ISBLANK(continental!I511),"",continental!I511)</f>
        <v/>
      </c>
    </row>
    <row r="1469" spans="1:15" ht="12.75" customHeight="1" x14ac:dyDescent="0.2">
      <c r="A1469" s="566" t="s">
        <v>1901</v>
      </c>
      <c r="B1469" s="566"/>
      <c r="C1469" s="566"/>
      <c r="D1469" s="566"/>
      <c r="E1469" s="566"/>
      <c r="F1469" s="566"/>
      <c r="G1469" s="567" t="s">
        <v>2525</v>
      </c>
      <c r="H1469" s="567" t="s">
        <v>358</v>
      </c>
      <c r="I1469" s="239" t="str">
        <f>IF(ISBLANK(continental!I512),"",continental!I512)</f>
        <v/>
      </c>
    </row>
    <row r="1470" spans="1:15" ht="12.75" customHeight="1" x14ac:dyDescent="0.2">
      <c r="A1470" s="566" t="s">
        <v>1903</v>
      </c>
      <c r="B1470" s="566"/>
      <c r="C1470" s="566"/>
      <c r="D1470" s="566"/>
      <c r="E1470" s="566"/>
      <c r="F1470" s="566"/>
      <c r="G1470" s="567" t="s">
        <v>2526</v>
      </c>
      <c r="H1470" s="567" t="s">
        <v>358</v>
      </c>
      <c r="I1470" s="239" t="str">
        <f>IF(ISBLANK(continental!I513),"",continental!I513)</f>
        <v/>
      </c>
    </row>
    <row r="1471" spans="1:15" ht="12.75" customHeight="1" x14ac:dyDescent="0.2">
      <c r="A1471" s="566" t="s">
        <v>1905</v>
      </c>
      <c r="B1471" s="566"/>
      <c r="C1471" s="566"/>
      <c r="D1471" s="566"/>
      <c r="E1471" s="566"/>
      <c r="F1471" s="566"/>
      <c r="G1471" s="567" t="s">
        <v>2527</v>
      </c>
      <c r="H1471" s="567" t="s">
        <v>358</v>
      </c>
      <c r="I1471" s="239" t="str">
        <f>IF(ISBLANK(continental!I514),"",continental!I514)</f>
        <v/>
      </c>
    </row>
    <row r="1472" spans="1:15" ht="12.75" customHeight="1" x14ac:dyDescent="0.2">
      <c r="A1472" s="566" t="s">
        <v>1907</v>
      </c>
      <c r="B1472" s="566"/>
      <c r="C1472" s="566"/>
      <c r="D1472" s="566"/>
      <c r="E1472" s="566"/>
      <c r="F1472" s="566"/>
      <c r="G1472" s="567" t="s">
        <v>2528</v>
      </c>
      <c r="H1472" s="567" t="s">
        <v>358</v>
      </c>
      <c r="I1472" s="239" t="str">
        <f>IF(ISBLANK(continental!I515),"",continental!I515)</f>
        <v/>
      </c>
    </row>
    <row r="1473" spans="1:15" ht="12.75" customHeight="1" x14ac:dyDescent="0.2">
      <c r="A1473" s="566" t="s">
        <v>1909</v>
      </c>
      <c r="B1473" s="566"/>
      <c r="C1473" s="566"/>
      <c r="D1473" s="566"/>
      <c r="E1473" s="566"/>
      <c r="F1473" s="566"/>
      <c r="G1473" s="567" t="s">
        <v>2529</v>
      </c>
      <c r="H1473" s="567" t="s">
        <v>358</v>
      </c>
      <c r="I1473" s="239" t="str">
        <f>IF(ISBLANK(continental!I516),"",continental!I516)</f>
        <v/>
      </c>
    </row>
    <row r="1474" spans="1:15" ht="12.75" customHeight="1" x14ac:dyDescent="0.2">
      <c r="A1474" s="566" t="s">
        <v>1912</v>
      </c>
      <c r="B1474" s="566"/>
      <c r="C1474" s="566"/>
      <c r="D1474" s="566"/>
      <c r="E1474" s="566"/>
      <c r="F1474" s="566"/>
      <c r="G1474" s="567" t="s">
        <v>2530</v>
      </c>
      <c r="H1474" s="567" t="s">
        <v>358</v>
      </c>
      <c r="I1474" s="239" t="str">
        <f>IF(ISBLANK(continental!I517),"",continental!I517)</f>
        <v/>
      </c>
    </row>
    <row r="1475" spans="1:15" ht="12.75" customHeight="1" x14ac:dyDescent="0.2">
      <c r="A1475" s="566" t="s">
        <v>1914</v>
      </c>
      <c r="B1475" s="566"/>
      <c r="C1475" s="566"/>
      <c r="D1475" s="566"/>
      <c r="E1475" s="566"/>
      <c r="F1475" s="566"/>
      <c r="G1475" s="567" t="s">
        <v>2531</v>
      </c>
      <c r="H1475" s="567" t="s">
        <v>358</v>
      </c>
      <c r="I1475" s="239" t="str">
        <f>IF(ISBLANK(continental!I518),"",continental!I518)</f>
        <v/>
      </c>
    </row>
    <row r="1476" spans="1:15" ht="12.75" customHeight="1" x14ac:dyDescent="0.2">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2">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2">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2">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2">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2">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2">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2">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2">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2">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2">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2">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2">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2">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2">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2">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2">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2">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2">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2">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2">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2">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2">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2">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2">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2">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2">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2">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2">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2">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2">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2">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2">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2">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2">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2">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2">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2">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2">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2">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2">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2">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2">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2">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2">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2">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2">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2">
      <c r="A1524" s="101" t="s">
        <v>2578</v>
      </c>
      <c r="B1524" s="17"/>
      <c r="C1524" s="17"/>
      <c r="D1524" s="17"/>
      <c r="E1524" s="17"/>
      <c r="F1524" s="17"/>
      <c r="G1524" s="38"/>
      <c r="H1524" s="38"/>
      <c r="I1524" s="38"/>
      <c r="J1524" s="216"/>
    </row>
    <row r="1525" spans="1:15" ht="12.75" customHeight="1" x14ac:dyDescent="0.2">
      <c r="A1525" s="17"/>
      <c r="B1525" s="17"/>
      <c r="C1525" s="17"/>
      <c r="D1525" s="17"/>
      <c r="E1525" s="17"/>
      <c r="F1525" s="17"/>
      <c r="G1525" s="38"/>
      <c r="H1525" s="38"/>
      <c r="I1525" s="38"/>
      <c r="J1525" s="216"/>
    </row>
    <row r="1526" spans="1:15" ht="12.75" customHeight="1" x14ac:dyDescent="0.2">
      <c r="A1526" s="147" t="s">
        <v>978</v>
      </c>
      <c r="B1526" s="147"/>
      <c r="C1526" s="147"/>
      <c r="D1526" s="147"/>
      <c r="E1526" s="147"/>
      <c r="F1526" s="147"/>
      <c r="G1526" s="148" t="s">
        <v>282</v>
      </c>
      <c r="H1526" s="148" t="s">
        <v>297</v>
      </c>
      <c r="I1526" s="148"/>
      <c r="J1526" s="824"/>
    </row>
    <row r="1527" spans="1:15" ht="12.75" customHeight="1" x14ac:dyDescent="0.2">
      <c r="A1527" s="17"/>
      <c r="B1527" s="17"/>
      <c r="C1527" s="17"/>
      <c r="D1527" s="17"/>
      <c r="E1527" s="17"/>
      <c r="F1527" s="17"/>
      <c r="G1527" s="17"/>
      <c r="H1527" s="38"/>
      <c r="I1527" s="38"/>
      <c r="J1527" s="216"/>
    </row>
    <row r="1528" spans="1:15" ht="12.75" customHeight="1" x14ac:dyDescent="0.2">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2">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2">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2">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2">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2">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2">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2">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2">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2">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2">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2">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2">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2">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2">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2">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2">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2">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2">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2">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2">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2">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2">
      <c r="A1550" s="17"/>
      <c r="B1550" s="17"/>
      <c r="C1550" s="17"/>
      <c r="D1550" s="17"/>
      <c r="E1550" s="17"/>
      <c r="F1550" s="17"/>
      <c r="G1550" s="17"/>
      <c r="H1550" s="17"/>
      <c r="I1550" s="239" t="str">
        <f>IF(ISBLANK(global!I27),"",global!I27)</f>
        <v/>
      </c>
      <c r="K1550" s="262" t="s">
        <v>4295</v>
      </c>
      <c r="O1550" s="262" t="s">
        <v>4295</v>
      </c>
    </row>
    <row r="1551" spans="1:15" ht="12.75" customHeight="1" x14ac:dyDescent="0.2">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2">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2">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2">
      <c r="A1554" s="17"/>
      <c r="B1554" s="17"/>
      <c r="C1554" s="17"/>
      <c r="D1554" s="146"/>
      <c r="E1554" s="17"/>
      <c r="F1554" s="17"/>
      <c r="G1554" s="38"/>
      <c r="H1554" s="17"/>
      <c r="I1554" s="239" t="str">
        <f>IF(ISBLANK(global!I31),"",global!I31)</f>
        <v/>
      </c>
      <c r="K1554" s="262" t="s">
        <v>4295</v>
      </c>
      <c r="O1554" s="262" t="s">
        <v>4295</v>
      </c>
    </row>
    <row r="1555" spans="1:15" ht="12.75" customHeight="1" x14ac:dyDescent="0.2">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2">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2">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2">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2">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2">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2">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2">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2">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2">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2">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2">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2">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2">
      <c r="A1568" s="17"/>
      <c r="B1568" s="17"/>
      <c r="C1568" s="17"/>
      <c r="D1568" s="17"/>
      <c r="E1568" s="17"/>
      <c r="F1568" s="17"/>
      <c r="G1568" s="17"/>
      <c r="H1568" s="38"/>
      <c r="I1568" s="239" t="str">
        <f>IF(ISBLANK(global!I45),"",global!I45)</f>
        <v/>
      </c>
      <c r="K1568" s="262" t="s">
        <v>4295</v>
      </c>
      <c r="O1568" s="262" t="s">
        <v>4295</v>
      </c>
    </row>
    <row r="1569" spans="1:15" ht="12.75" customHeight="1" x14ac:dyDescent="0.2">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2">
      <c r="A1570" s="17"/>
      <c r="B1570" s="17"/>
      <c r="C1570" s="17"/>
      <c r="D1570" s="17"/>
      <c r="E1570" s="17"/>
      <c r="F1570" s="17"/>
      <c r="G1570" s="17"/>
      <c r="H1570" s="38"/>
      <c r="I1570" s="239" t="str">
        <f>IF(ISBLANK(global!I47),"",global!I47)</f>
        <v/>
      </c>
      <c r="K1570" s="262" t="s">
        <v>4295</v>
      </c>
      <c r="O1570" s="262" t="s">
        <v>4295</v>
      </c>
    </row>
    <row r="1571" spans="1:15" ht="12.75" customHeight="1" x14ac:dyDescent="0.2">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2">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2">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2">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2">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25">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25">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2">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2">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2">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2">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2">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2">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2">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2">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2">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2">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2">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2">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2">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2">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2">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2">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2">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2">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2">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2">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2">
      <c r="A1598" s="17"/>
      <c r="B1598" s="17"/>
      <c r="C1598" s="17"/>
      <c r="D1598" s="17"/>
      <c r="E1598" s="17"/>
      <c r="F1598" s="17"/>
      <c r="G1598" s="17"/>
      <c r="H1598" s="38"/>
      <c r="I1598" s="239" t="str">
        <f>IF(ISBLANK(global!I75),"",global!I75)</f>
        <v/>
      </c>
      <c r="K1598" s="262" t="s">
        <v>4295</v>
      </c>
      <c r="O1598" s="262" t="s">
        <v>4295</v>
      </c>
    </row>
    <row r="1599" spans="1:15" ht="12.75" customHeight="1" x14ac:dyDescent="0.2">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2">
      <c r="A1600" s="17"/>
      <c r="B1600" s="17"/>
      <c r="C1600" s="17"/>
      <c r="D1600" s="17"/>
      <c r="E1600" s="17"/>
      <c r="F1600" s="17"/>
      <c r="G1600" s="17"/>
      <c r="H1600" s="38"/>
      <c r="I1600" s="239" t="str">
        <f>IF(ISBLANK(global!I77),"",global!I77)</f>
        <v/>
      </c>
      <c r="K1600" s="262" t="s">
        <v>4295</v>
      </c>
      <c r="O1600" s="262" t="s">
        <v>4295</v>
      </c>
    </row>
    <row r="1601" spans="1:15" ht="12.75" customHeight="1" x14ac:dyDescent="0.2">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2">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2">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2">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2">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2">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2">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2">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2">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2">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2">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2">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2">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2">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2">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2">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2">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2">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2">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2">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2">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2">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2">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2">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2">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2">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2">
      <c r="A1627" s="17"/>
      <c r="B1627" s="17"/>
      <c r="C1627" s="17"/>
      <c r="D1627" s="17"/>
      <c r="E1627" s="17"/>
      <c r="F1627" s="17"/>
      <c r="G1627" s="17"/>
      <c r="H1627" s="17"/>
      <c r="I1627" s="239" t="str">
        <f>IF(ISBLANK(global!I104),"",global!I104)</f>
        <v/>
      </c>
      <c r="K1627" s="262" t="s">
        <v>4295</v>
      </c>
      <c r="O1627" s="262" t="s">
        <v>4295</v>
      </c>
    </row>
    <row r="1628" spans="1:15" ht="12.75" customHeight="1" x14ac:dyDescent="0.2">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2">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2">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2">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2">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2">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2">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2">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2">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2">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2">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2">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2">
      <c r="A1640" s="17"/>
      <c r="B1640" s="17"/>
      <c r="C1640" s="17"/>
      <c r="D1640" s="17"/>
      <c r="E1640" s="17"/>
      <c r="F1640" s="17"/>
      <c r="G1640" s="17"/>
      <c r="H1640" s="17"/>
      <c r="I1640" s="239" t="str">
        <f>IF(ISBLANK(global!I117),"",global!I117)</f>
        <v/>
      </c>
      <c r="K1640" s="262" t="s">
        <v>4295</v>
      </c>
      <c r="O1640" s="262" t="s">
        <v>4295</v>
      </c>
    </row>
    <row r="1641" spans="1:15" ht="12.75" customHeight="1" x14ac:dyDescent="0.2">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2">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2">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2">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2">
      <c r="A1645" s="17"/>
      <c r="B1645" s="17"/>
      <c r="C1645" s="17"/>
      <c r="D1645" s="17"/>
      <c r="E1645" s="17"/>
      <c r="F1645" s="17"/>
      <c r="G1645" s="17"/>
      <c r="H1645" s="38"/>
      <c r="I1645" s="239" t="str">
        <f>IF(ISBLANK(global!I122),"",global!I122)</f>
        <v/>
      </c>
      <c r="K1645" s="262" t="s">
        <v>4295</v>
      </c>
      <c r="O1645" s="262" t="s">
        <v>4295</v>
      </c>
    </row>
    <row r="1646" spans="1:15" ht="12.75" customHeight="1" x14ac:dyDescent="0.2">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2">
      <c r="A1647" s="38"/>
      <c r="B1647" s="17"/>
      <c r="C1647" s="17"/>
      <c r="D1647" s="17"/>
      <c r="E1647" s="17"/>
      <c r="F1647" s="17"/>
      <c r="G1647" s="17"/>
      <c r="H1647" s="38"/>
      <c r="I1647" s="239" t="str">
        <f>IF(ISBLANK(global!I124),"",global!I124)</f>
        <v/>
      </c>
      <c r="K1647" s="262" t="s">
        <v>4295</v>
      </c>
      <c r="O1647" s="262" t="s">
        <v>4295</v>
      </c>
    </row>
    <row r="1648" spans="1:15" ht="12.75" customHeight="1" x14ac:dyDescent="0.2">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2">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2">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2">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2">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2">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2">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2">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2">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2">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2">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2">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2">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2">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2">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2">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2">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2">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2">
      <c r="G1666"/>
      <c r="I1666" s="239" t="str">
        <f>IF(ISBLANK(global!I143),"",global!I143)</f>
        <v/>
      </c>
      <c r="K1666" s="262" t="s">
        <v>4295</v>
      </c>
      <c r="O1666" s="262" t="s">
        <v>4295</v>
      </c>
    </row>
    <row r="1667" spans="1:15" ht="12.75" customHeight="1" x14ac:dyDescent="0.2">
      <c r="A1667" s="487"/>
      <c r="B1667" s="487"/>
      <c r="C1667" s="487"/>
      <c r="D1667" s="487"/>
      <c r="E1667" s="487"/>
      <c r="F1667" s="487"/>
      <c r="G1667" s="487"/>
      <c r="H1667" s="650"/>
      <c r="I1667" s="239" t="str">
        <f>IF(ISBLANK(global!I144),"",global!I144)</f>
        <v/>
      </c>
      <c r="K1667" s="262" t="s">
        <v>4295</v>
      </c>
      <c r="O1667" s="262" t="s">
        <v>4295</v>
      </c>
    </row>
    <row r="1668" spans="1:15" ht="12.75" customHeight="1" x14ac:dyDescent="0.2">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2">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2">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2">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2">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2">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2">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2">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2">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2">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2">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2">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2">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2">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2">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2">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2">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2">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2">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2">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2">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2">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2">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2">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2">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2">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2">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2">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2">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2">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2">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2">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2">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2">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2">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2">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2">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2">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2">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2">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2">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2">
      <c r="A1709" s="410" t="s">
        <v>2835</v>
      </c>
      <c r="I1709" s="239" t="str">
        <f>IF(ISBLANK(global!I186),"",global!I186)</f>
        <v/>
      </c>
      <c r="K1709" s="262" t="s">
        <v>4295</v>
      </c>
      <c r="O1709" s="262" t="s">
        <v>4295</v>
      </c>
    </row>
    <row r="1710" spans="1:15" ht="12.75" customHeight="1" x14ac:dyDescent="0.2">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2">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2">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2">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2">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2">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2">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2">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2">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2">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2">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2">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2">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2">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2">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2">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2">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2">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2">
      <c r="A1728" s="410" t="s">
        <v>2857</v>
      </c>
      <c r="I1728" s="239" t="str">
        <f>IF(ISBLANK(global!I205),"",global!I205)</f>
        <v/>
      </c>
      <c r="K1728" s="262" t="s">
        <v>4295</v>
      </c>
      <c r="O1728" s="262" t="s">
        <v>4295</v>
      </c>
    </row>
    <row r="1729" spans="1:15" ht="12.75" customHeight="1" x14ac:dyDescent="0.2">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2">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2">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2">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2">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2">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2">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2">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2">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2">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2">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2">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2">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2">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2">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2">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2">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2">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2">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2">
      <c r="I1748" s="239" t="str">
        <f>IF(ISBLANK(global!I225),"",global!I225)</f>
        <v/>
      </c>
      <c r="K1748" s="262" t="s">
        <v>4295</v>
      </c>
      <c r="O1748" s="262" t="s">
        <v>4295</v>
      </c>
    </row>
    <row r="1749" spans="1:15" ht="12.75" customHeight="1" x14ac:dyDescent="0.2">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2">
      <c r="A1750" t="s">
        <v>2880</v>
      </c>
      <c r="I1750" s="239" t="str">
        <f>IF(ISBLANK(global!I227),"",global!I227)</f>
        <v/>
      </c>
      <c r="K1750" s="262" t="s">
        <v>4295</v>
      </c>
      <c r="O1750" s="262" t="s">
        <v>4295</v>
      </c>
    </row>
    <row r="1751" spans="1:15" ht="12.75" customHeight="1" x14ac:dyDescent="0.2">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2">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2">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2">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2">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2">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2">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2">
      <c r="A1758" t="s">
        <v>2888</v>
      </c>
      <c r="G1758"/>
      <c r="H1758"/>
      <c r="I1758" s="239" t="str">
        <f>IF(ISBLANK(global!I235),"",global!I235)</f>
        <v/>
      </c>
      <c r="K1758" s="262" t="s">
        <v>4295</v>
      </c>
      <c r="O1758" s="262" t="s">
        <v>4295</v>
      </c>
    </row>
    <row r="1759" spans="1:15" ht="12.75" customHeight="1" x14ac:dyDescent="0.2">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2">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2">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2">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2">
      <c r="A1763" t="s">
        <v>2893</v>
      </c>
      <c r="G1763"/>
      <c r="H1763"/>
      <c r="I1763" s="239" t="str">
        <f>IF(ISBLANK(global!I240),"",global!I240)</f>
        <v/>
      </c>
      <c r="K1763" s="262" t="s">
        <v>4295</v>
      </c>
      <c r="O1763" s="262" t="s">
        <v>4295</v>
      </c>
    </row>
    <row r="1764" spans="1:15" ht="12.75" customHeight="1" x14ac:dyDescent="0.2">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2">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2">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2">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2">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2">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2">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2">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2">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2">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2">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2">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2">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2">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2">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2">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2">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2">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2">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2">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2">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2">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2">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2">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2">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2">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2">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2">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2">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2">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2">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2">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2">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2">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2">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2">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2">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2">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2">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2">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2">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2">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2">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2">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2">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2">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2">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2">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2">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2">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2">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2">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2">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2">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2">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2">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2">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2">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2">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2">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2">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2">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2">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2">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2">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2">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2">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2">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2">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2">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2">
      <c r="A1834" s="172" t="s">
        <v>2988</v>
      </c>
      <c r="I1834" s="239" t="str">
        <f>IF(ISBLANK(global!I311),"",global!I311)</f>
        <v/>
      </c>
      <c r="K1834" s="262" t="s">
        <v>4295</v>
      </c>
      <c r="O1834" s="262" t="s">
        <v>4295</v>
      </c>
    </row>
    <row r="1835" spans="1:15" ht="12.75" customHeight="1" x14ac:dyDescent="0.2">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2">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2">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2">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2">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2">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2">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2">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2">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2">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2">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2">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2">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2">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2">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2">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2">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2">
      <c r="A1852" s="73"/>
      <c r="B1852" s="17"/>
      <c r="C1852" s="17"/>
      <c r="D1852" s="17"/>
      <c r="E1852" s="17"/>
      <c r="F1852" s="17"/>
      <c r="G1852" s="17"/>
      <c r="H1852" s="17"/>
      <c r="I1852" s="239" t="str">
        <f>IF(ISBLANK(global!I329),"",global!I329)</f>
        <v/>
      </c>
      <c r="K1852" s="262" t="s">
        <v>4295</v>
      </c>
      <c r="O1852" s="262" t="s">
        <v>4295</v>
      </c>
    </row>
    <row r="1853" spans="1:15" ht="12.75" customHeight="1" x14ac:dyDescent="0.2">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2">
      <c r="A1854" s="17"/>
      <c r="B1854" s="17"/>
      <c r="C1854" s="17"/>
      <c r="D1854" s="17"/>
      <c r="E1854" s="17"/>
      <c r="F1854" s="17"/>
      <c r="G1854" s="17"/>
      <c r="H1854" s="17"/>
      <c r="I1854" s="239" t="str">
        <f>IF(ISBLANK(global!I331),"",global!I331)</f>
        <v/>
      </c>
      <c r="K1854" s="262" t="s">
        <v>4295</v>
      </c>
      <c r="O1854" s="262" t="s">
        <v>4295</v>
      </c>
    </row>
    <row r="1855" spans="1:15" ht="12.75" customHeight="1" x14ac:dyDescent="0.2">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2">
      <c r="A1856" s="38"/>
      <c r="B1856" s="38"/>
      <c r="C1856" s="17"/>
      <c r="D1856" s="17"/>
      <c r="E1856" s="17"/>
      <c r="F1856" s="17"/>
      <c r="G1856" s="17"/>
      <c r="H1856" s="17"/>
      <c r="I1856" s="239" t="str">
        <f>IF(ISBLANK(global!I333),"",global!I333)</f>
        <v/>
      </c>
      <c r="K1856" s="262" t="s">
        <v>4295</v>
      </c>
      <c r="O1856" s="262" t="s">
        <v>4295</v>
      </c>
    </row>
    <row r="1857" spans="1:15" ht="12.75" customHeight="1" x14ac:dyDescent="0.2">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2">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2">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2">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2">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2">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2">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2">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2">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2">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2">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2">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2">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2">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2">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2">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2">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2">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2">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2">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2">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2">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2">
      <c r="A1879" s="17"/>
      <c r="B1879" s="17"/>
      <c r="C1879" s="17"/>
      <c r="D1879" s="17"/>
      <c r="E1879" s="17"/>
      <c r="F1879" s="17"/>
      <c r="G1879" s="17"/>
      <c r="H1879" s="17"/>
      <c r="I1879" s="239" t="str">
        <f>IF(ISBLANK(global!I356),"",global!I356)</f>
        <v/>
      </c>
      <c r="K1879" s="262" t="s">
        <v>4295</v>
      </c>
      <c r="O1879" s="262" t="s">
        <v>4295</v>
      </c>
    </row>
    <row r="1880" spans="1:15" ht="12.75" customHeight="1" x14ac:dyDescent="0.2">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2">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2">
      <c r="A1882" s="17"/>
      <c r="B1882" s="17"/>
      <c r="C1882" s="17"/>
      <c r="D1882" s="17"/>
      <c r="E1882" s="17"/>
      <c r="F1882" s="17"/>
      <c r="G1882" s="17"/>
      <c r="H1882" s="17"/>
      <c r="I1882" s="239" t="str">
        <f>IF(ISBLANK(global!I359),"",global!I359)</f>
        <v/>
      </c>
      <c r="K1882" s="262" t="s">
        <v>4295</v>
      </c>
      <c r="O1882" s="262" t="s">
        <v>4295</v>
      </c>
    </row>
    <row r="1883" spans="1:15" ht="12.75" customHeight="1" x14ac:dyDescent="0.2">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2">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2">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2">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2">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2">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2">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2">
      <c r="A1890" s="17"/>
      <c r="B1890" s="17"/>
      <c r="C1890" s="17"/>
      <c r="D1890" s="17"/>
      <c r="E1890" s="17"/>
      <c r="F1890" s="17"/>
      <c r="G1890" s="17"/>
      <c r="H1890" s="17"/>
      <c r="I1890" s="239" t="str">
        <f>IF(ISBLANK(global!I367),"",global!I367)</f>
        <v/>
      </c>
      <c r="K1890" s="262" t="s">
        <v>4295</v>
      </c>
      <c r="O1890" s="262" t="s">
        <v>4295</v>
      </c>
    </row>
    <row r="1891" spans="1:15" ht="12.75" customHeight="1" x14ac:dyDescent="0.2">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2">
      <c r="A1892" s="38"/>
      <c r="B1892" s="38"/>
      <c r="C1892" s="17"/>
      <c r="D1892" s="17"/>
      <c r="E1892" s="17"/>
      <c r="F1892" s="17"/>
      <c r="G1892" s="17"/>
      <c r="H1892" s="17"/>
      <c r="I1892" s="239" t="str">
        <f>IF(ISBLANK(global!I369),"",global!I369)</f>
        <v/>
      </c>
      <c r="K1892" s="262" t="s">
        <v>4295</v>
      </c>
      <c r="O1892" s="262" t="s">
        <v>4295</v>
      </c>
    </row>
    <row r="1893" spans="1:15" ht="12.75" customHeight="1" x14ac:dyDescent="0.2">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2">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2">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2">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2">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25">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25">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2">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2">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2">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2">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2">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2">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2">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2">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2">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2">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2">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2">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2">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2">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2">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2">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2">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2">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2">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2">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2">
      <c r="A1920" s="17"/>
      <c r="B1920" s="17"/>
      <c r="C1920" s="17"/>
      <c r="D1920" s="17"/>
      <c r="E1920" s="17"/>
      <c r="F1920" s="17"/>
      <c r="G1920" s="17"/>
      <c r="H1920" s="17"/>
      <c r="I1920" s="239" t="str">
        <f>IF(ISBLANK(global!I397),"",global!I397)</f>
        <v/>
      </c>
      <c r="K1920" s="262" t="s">
        <v>4295</v>
      </c>
      <c r="O1920" s="262" t="s">
        <v>4295</v>
      </c>
    </row>
    <row r="1921" spans="1:15" ht="12.75" customHeight="1" x14ac:dyDescent="0.2">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2">
      <c r="A1922" s="17"/>
      <c r="B1922" s="17"/>
      <c r="C1922" s="17"/>
      <c r="D1922" s="17"/>
      <c r="E1922" s="17"/>
      <c r="F1922" s="17"/>
      <c r="G1922" s="17"/>
      <c r="H1922" s="17"/>
      <c r="I1922" s="239" t="str">
        <f>IF(ISBLANK(global!I399),"",global!I399)</f>
        <v/>
      </c>
      <c r="K1922" s="262" t="s">
        <v>4295</v>
      </c>
      <c r="O1922" s="262" t="s">
        <v>4295</v>
      </c>
    </row>
    <row r="1923" spans="1:15" ht="12.75" customHeight="1" x14ac:dyDescent="0.2">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2">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2">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2">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2">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2">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2">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2">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2">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2">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2">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2">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2">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2">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2">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2">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2">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2">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2">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2">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2">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2">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2">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2">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2">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2">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2">
      <c r="A1949" s="17"/>
      <c r="B1949" s="17"/>
      <c r="C1949" s="17"/>
      <c r="D1949" s="17"/>
      <c r="E1949" s="17"/>
      <c r="F1949" s="17"/>
      <c r="G1949" s="17"/>
      <c r="H1949" s="17"/>
      <c r="I1949" s="239" t="str">
        <f>IF(ISBLANK(global!I426),"",global!I426)</f>
        <v/>
      </c>
      <c r="K1949" s="262" t="s">
        <v>4295</v>
      </c>
      <c r="O1949" s="262" t="s">
        <v>4295</v>
      </c>
    </row>
    <row r="1950" spans="1:15" ht="12.75" customHeight="1" x14ac:dyDescent="0.2">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2">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2">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2">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2">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2">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2">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2">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2">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2">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2">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2">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2">
      <c r="A1962" s="17"/>
      <c r="B1962" s="17"/>
      <c r="C1962" s="17"/>
      <c r="D1962" s="17"/>
      <c r="E1962" s="17"/>
      <c r="F1962" s="17"/>
      <c r="G1962" s="17"/>
      <c r="H1962" s="17"/>
      <c r="I1962" s="239" t="str">
        <f>IF(ISBLANK(global!I439),"",global!I439)</f>
        <v/>
      </c>
      <c r="K1962" s="262" t="s">
        <v>4295</v>
      </c>
      <c r="O1962" s="262" t="s">
        <v>4295</v>
      </c>
    </row>
    <row r="1963" spans="1:15" ht="12.75" customHeight="1" x14ac:dyDescent="0.2">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2">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2">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2">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2">
      <c r="A1967" s="17"/>
      <c r="B1967" s="17"/>
      <c r="C1967" s="17"/>
      <c r="D1967" s="146"/>
      <c r="E1967" s="17"/>
      <c r="F1967" s="17"/>
      <c r="G1967" s="17"/>
      <c r="H1967" s="17"/>
      <c r="I1967" s="239" t="str">
        <f>IF(ISBLANK(global!I444),"",global!I444)</f>
        <v/>
      </c>
      <c r="K1967" s="262" t="s">
        <v>4295</v>
      </c>
      <c r="O1967" s="262" t="s">
        <v>4295</v>
      </c>
    </row>
    <row r="1968" spans="1:15" ht="12.75" customHeight="1" x14ac:dyDescent="0.2">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2">
      <c r="A1969" s="38"/>
      <c r="B1969" s="17"/>
      <c r="C1969" s="17"/>
      <c r="D1969" s="17"/>
      <c r="E1969" s="17"/>
      <c r="F1969" s="17"/>
      <c r="G1969" s="17"/>
      <c r="H1969" s="17"/>
      <c r="I1969" s="239" t="str">
        <f>IF(ISBLANK(global!I446),"",global!I446)</f>
        <v/>
      </c>
      <c r="K1969" s="262" t="s">
        <v>4295</v>
      </c>
      <c r="O1969" s="262" t="s">
        <v>4295</v>
      </c>
    </row>
    <row r="1970" spans="1:15" ht="12.75" customHeight="1" x14ac:dyDescent="0.2">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2">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2">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2">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2">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2">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2">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2">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2">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2">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2">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2">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2">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2">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2">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2">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2">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2">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2">
      <c r="A1988" s="168"/>
      <c r="B1988" s="168"/>
      <c r="C1988" s="168"/>
      <c r="D1988" s="168"/>
      <c r="E1988" s="168"/>
      <c r="F1988" s="168"/>
      <c r="G1988" s="168"/>
      <c r="H1988" s="168"/>
      <c r="I1988" s="239" t="str">
        <f>IF(ISBLANK(global!I465),"",global!I465)</f>
        <v/>
      </c>
      <c r="K1988" s="262" t="s">
        <v>4295</v>
      </c>
      <c r="O1988" s="262" t="s">
        <v>4295</v>
      </c>
    </row>
    <row r="1989" spans="1:15" ht="12.75" customHeight="1" x14ac:dyDescent="0.2">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2">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2">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2">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2">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2">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2">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2">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2">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2">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2">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2">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2">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2">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2">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2">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2">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2">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2">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2">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2">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2">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2">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2">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2">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2">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2">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2">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2">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2">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2">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2">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2">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2">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2">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2">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2">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2">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2">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2">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2">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2">
      <c r="A2030" s="410" t="s">
        <v>3187</v>
      </c>
      <c r="I2030" s="239" t="str">
        <f>IF(ISBLANK(global!I507),"",global!I507)</f>
        <v/>
      </c>
      <c r="K2030" s="262" t="s">
        <v>4295</v>
      </c>
      <c r="O2030" s="262" t="s">
        <v>4295</v>
      </c>
    </row>
    <row r="2031" spans="1:15" ht="12.75" customHeight="1" x14ac:dyDescent="0.2">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2">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2">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2">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2">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2">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2">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2">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2">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2">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2">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2">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2">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2">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2">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2">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2">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2">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2">
      <c r="A2049" s="410" t="s">
        <v>3206</v>
      </c>
      <c r="I2049" s="239" t="str">
        <f>IF(ISBLANK(global!I526),"",global!I526)</f>
        <v/>
      </c>
      <c r="K2049" s="262" t="s">
        <v>4295</v>
      </c>
      <c r="O2049" s="262" t="s">
        <v>4295</v>
      </c>
    </row>
    <row r="2050" spans="1:15" ht="12.75" customHeight="1" x14ac:dyDescent="0.2">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2">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2">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2">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2">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2">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2">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2">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2">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2">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2">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2">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2">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2">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2">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2">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2">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2">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2">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2">
      <c r="I2069" s="239" t="str">
        <f>IF(ISBLANK(global!I546),"",global!I546)</f>
        <v/>
      </c>
      <c r="K2069" s="262" t="s">
        <v>4295</v>
      </c>
      <c r="O2069" s="262" t="s">
        <v>4295</v>
      </c>
    </row>
    <row r="2070" spans="1:15" ht="12.75" customHeight="1" x14ac:dyDescent="0.2">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2">
      <c r="A2071" t="s">
        <v>3226</v>
      </c>
      <c r="I2071" s="239" t="str">
        <f>IF(ISBLANK(global!I548),"",global!I548)</f>
        <v/>
      </c>
      <c r="K2071" s="262" t="s">
        <v>4295</v>
      </c>
      <c r="O2071" s="262" t="s">
        <v>4295</v>
      </c>
    </row>
    <row r="2072" spans="1:15" ht="12.75" customHeight="1" x14ac:dyDescent="0.2">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2">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2">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2">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2">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2">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2">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2">
      <c r="A2079" t="s">
        <v>3234</v>
      </c>
      <c r="G2079"/>
      <c r="H2079"/>
      <c r="I2079" s="239" t="str">
        <f>IF(ISBLANK(global!I556),"",global!I556)</f>
        <v/>
      </c>
      <c r="K2079" s="262" t="s">
        <v>4295</v>
      </c>
      <c r="O2079" s="262" t="s">
        <v>4295</v>
      </c>
    </row>
    <row r="2080" spans="1:15" ht="12.75" customHeight="1" x14ac:dyDescent="0.2">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2">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2">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2">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2">
      <c r="A2084" t="s">
        <v>3239</v>
      </c>
      <c r="G2084"/>
      <c r="H2084"/>
      <c r="I2084" s="239" t="str">
        <f>IF(ISBLANK(global!I561),"",global!I561)</f>
        <v/>
      </c>
      <c r="K2084" s="262" t="s">
        <v>4295</v>
      </c>
      <c r="O2084" s="262" t="s">
        <v>4295</v>
      </c>
    </row>
    <row r="2085" spans="1:15" ht="12.75" customHeight="1" x14ac:dyDescent="0.2">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2">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2">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2">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2">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2">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2">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2">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2">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2">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2">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2">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2">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2">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2">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2">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2">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2">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2">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2">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2">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2">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2">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2">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2">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2">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2">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2">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2">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2">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2">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2">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2">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2">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2">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2">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2">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2">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2">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2">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2">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2">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2">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2">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2">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2">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2">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2">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2">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2">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2">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2">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2">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2">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2">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2">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2">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2">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2">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2">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2">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2">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2">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2">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2">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2">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2">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2">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2">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2">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2">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2">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2">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2">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2">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2">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2">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2">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2">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2">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2">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2">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2">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2">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2">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2">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2">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2">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2">
      <c r="A2173" s="73"/>
      <c r="B2173" s="5"/>
      <c r="C2173" s="17"/>
      <c r="D2173" s="17"/>
      <c r="E2173" s="17"/>
      <c r="F2173" s="17"/>
      <c r="G2173" s="17"/>
      <c r="H2173" s="38"/>
      <c r="I2173" s="239" t="str">
        <f>IF(ISBLANK(global!I650),"",global!I650)</f>
        <v/>
      </c>
      <c r="K2173" s="262" t="s">
        <v>4295</v>
      </c>
      <c r="O2173" s="262" t="s">
        <v>4295</v>
      </c>
    </row>
    <row r="2174" spans="1:15" ht="12.75" customHeight="1" x14ac:dyDescent="0.2">
      <c r="A2174" s="73"/>
      <c r="B2174" s="5"/>
      <c r="C2174" s="17"/>
      <c r="D2174" s="17"/>
      <c r="E2174" s="17"/>
      <c r="F2174" s="17"/>
      <c r="G2174" s="17"/>
      <c r="H2174" s="38"/>
      <c r="I2174" s="239" t="str">
        <f>IF(ISBLANK(global!I651),"",global!I651)</f>
        <v/>
      </c>
      <c r="K2174" s="262" t="s">
        <v>4295</v>
      </c>
      <c r="O2174" s="262" t="s">
        <v>4295</v>
      </c>
    </row>
    <row r="2175" spans="1:15" ht="12.75" customHeight="1" x14ac:dyDescent="0.2">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2">
      <c r="A2176" s="17"/>
      <c r="B2176" s="17"/>
      <c r="C2176" s="17"/>
      <c r="D2176" s="17"/>
      <c r="E2176" s="17"/>
      <c r="F2176" s="17"/>
      <c r="G2176" s="17"/>
      <c r="H2176" s="38"/>
      <c r="I2176" s="239" t="str">
        <f>IF(ISBLANK(global!I653),"",global!I653)</f>
        <v/>
      </c>
      <c r="K2176" s="262" t="s">
        <v>4295</v>
      </c>
      <c r="O2176" s="262" t="s">
        <v>4295</v>
      </c>
    </row>
    <row r="2177" spans="1:15" ht="12.75" customHeight="1" x14ac:dyDescent="0.2">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2">
      <c r="A2178" s="17"/>
      <c r="B2178" s="17"/>
      <c r="C2178" s="17"/>
      <c r="D2178" s="17"/>
      <c r="E2178" s="17"/>
      <c r="F2178" s="17"/>
      <c r="G2178" s="17"/>
      <c r="H2178" s="38"/>
      <c r="I2178" s="239" t="str">
        <f>IF(ISBLANK(global!I655),"",global!I655)</f>
        <v/>
      </c>
      <c r="K2178" s="262" t="s">
        <v>4295</v>
      </c>
      <c r="O2178" s="262" t="s">
        <v>4295</v>
      </c>
    </row>
    <row r="2179" spans="1:15" ht="12.75" customHeight="1" x14ac:dyDescent="0.2">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2">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2">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2">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2">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2">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2">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2">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2">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2">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2">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2">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2">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2">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2">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2">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2">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2">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2">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2">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2">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2">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2">
      <c r="A2201" s="17"/>
      <c r="B2201" s="17"/>
      <c r="C2201" s="17"/>
      <c r="D2201" s="17"/>
      <c r="E2201" s="17"/>
      <c r="F2201" s="17"/>
      <c r="G2201" s="17"/>
      <c r="H2201" s="17"/>
      <c r="I2201" s="239" t="str">
        <f>IF(ISBLANK(global!I678),"",global!I678)</f>
        <v/>
      </c>
      <c r="K2201" s="262" t="s">
        <v>4295</v>
      </c>
      <c r="O2201" s="262" t="s">
        <v>4295</v>
      </c>
    </row>
    <row r="2202" spans="1:15" ht="12.75" customHeight="1" x14ac:dyDescent="0.2">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2">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2">
      <c r="A2204" s="17"/>
      <c r="B2204" s="17"/>
      <c r="C2204" s="17"/>
      <c r="D2204" s="17"/>
      <c r="E2204" s="17"/>
      <c r="F2204" s="17"/>
      <c r="G2204" s="17"/>
      <c r="H2204" s="17"/>
      <c r="I2204" s="239" t="str">
        <f>IF(ISBLANK(global!I681),"",global!I681)</f>
        <v/>
      </c>
      <c r="K2204" s="262" t="s">
        <v>4295</v>
      </c>
      <c r="O2204" s="262" t="s">
        <v>4295</v>
      </c>
    </row>
    <row r="2205" spans="1:15" ht="12.75" customHeight="1" x14ac:dyDescent="0.2">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2">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2">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2">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2">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2">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2">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2">
      <c r="A2212" s="17"/>
      <c r="B2212" s="17"/>
      <c r="C2212" s="17"/>
      <c r="D2212" s="17"/>
      <c r="E2212" s="17"/>
      <c r="F2212" s="17"/>
      <c r="G2212" s="17"/>
      <c r="H2212" s="38"/>
      <c r="I2212" s="239" t="str">
        <f>IF(ISBLANK(global!I689),"",global!I689)</f>
        <v/>
      </c>
      <c r="K2212" s="262" t="s">
        <v>4295</v>
      </c>
      <c r="O2212" s="262" t="s">
        <v>4295</v>
      </c>
    </row>
    <row r="2213" spans="1:15" ht="12.75" customHeight="1" x14ac:dyDescent="0.2">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2">
      <c r="A2214" s="17"/>
      <c r="B2214" s="17"/>
      <c r="C2214" s="17"/>
      <c r="D2214" s="17"/>
      <c r="E2214" s="17"/>
      <c r="F2214" s="17"/>
      <c r="G2214" s="17"/>
      <c r="H2214" s="38"/>
      <c r="I2214" s="239" t="str">
        <f>IF(ISBLANK(global!I691),"",global!I691)</f>
        <v/>
      </c>
      <c r="K2214" s="262" t="s">
        <v>4295</v>
      </c>
      <c r="O2214" s="262" t="s">
        <v>4295</v>
      </c>
    </row>
    <row r="2215" spans="1:15" ht="12.75" customHeight="1" x14ac:dyDescent="0.2">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2">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2">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2">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2">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25">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25">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2">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2">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2">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2">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2">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2">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2">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2">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2">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2">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2">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2">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2">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2">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2">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2">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2">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2">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2">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2">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2">
      <c r="A2242" s="17"/>
      <c r="B2242" s="17"/>
      <c r="C2242" s="17"/>
      <c r="D2242" s="17"/>
      <c r="E2242" s="17"/>
      <c r="F2242" s="17"/>
      <c r="G2242" s="17"/>
      <c r="H2242" s="38"/>
      <c r="I2242" s="239" t="str">
        <f>IF(ISBLANK(global!I719),"",global!I719)</f>
        <v/>
      </c>
      <c r="K2242" s="262" t="s">
        <v>4295</v>
      </c>
      <c r="O2242" s="262" t="s">
        <v>4295</v>
      </c>
    </row>
    <row r="2243" spans="1:15" ht="12.75" customHeight="1" x14ac:dyDescent="0.2">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2">
      <c r="A2244" s="17"/>
      <c r="B2244" s="17"/>
      <c r="C2244" s="17"/>
      <c r="D2244" s="17"/>
      <c r="E2244" s="17"/>
      <c r="F2244" s="17"/>
      <c r="G2244" s="17"/>
      <c r="H2244" s="38"/>
      <c r="I2244" s="239" t="str">
        <f>IF(ISBLANK(global!I721),"",global!I721)</f>
        <v/>
      </c>
      <c r="K2244" s="262" t="s">
        <v>4295</v>
      </c>
      <c r="O2244" s="262" t="s">
        <v>4295</v>
      </c>
    </row>
    <row r="2245" spans="1:15" ht="12.75" customHeight="1" x14ac:dyDescent="0.2">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2">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2">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2">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2">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2">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2">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2">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2">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2">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2">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2">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2">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2">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2">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2">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2">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2">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2">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2">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2">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2">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2">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2">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2">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2">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2">
      <c r="A2271" s="17"/>
      <c r="B2271" s="17"/>
      <c r="C2271" s="17"/>
      <c r="D2271" s="17"/>
      <c r="E2271" s="17"/>
      <c r="F2271" s="17"/>
      <c r="G2271" s="17"/>
      <c r="H2271" s="17"/>
      <c r="I2271" s="239" t="str">
        <f>IF(ISBLANK(global!I748),"",global!I748)</f>
        <v/>
      </c>
      <c r="K2271" s="262" t="s">
        <v>4295</v>
      </c>
      <c r="O2271" s="262" t="s">
        <v>4295</v>
      </c>
    </row>
    <row r="2272" spans="1:15" ht="12.75" customHeight="1" x14ac:dyDescent="0.2">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2">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2">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2">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2">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2">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2">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2">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2">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2">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2">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2">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2">
      <c r="A2284" s="17"/>
      <c r="B2284" s="17"/>
      <c r="C2284" s="17"/>
      <c r="D2284" s="17"/>
      <c r="E2284" s="17"/>
      <c r="F2284" s="17"/>
      <c r="G2284" s="17"/>
      <c r="H2284" s="17"/>
      <c r="I2284" s="239" t="str">
        <f>IF(ISBLANK(global!I761),"",global!I761)</f>
        <v/>
      </c>
      <c r="K2284" s="262" t="s">
        <v>4295</v>
      </c>
      <c r="O2284" s="262" t="s">
        <v>4295</v>
      </c>
    </row>
    <row r="2285" spans="1:15" ht="12.75" customHeight="1" x14ac:dyDescent="0.2">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2">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2">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2">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2">
      <c r="A2289" s="17"/>
      <c r="B2289" s="17"/>
      <c r="C2289" s="17"/>
      <c r="D2289" s="17"/>
      <c r="E2289" s="17"/>
      <c r="F2289" s="17"/>
      <c r="G2289" s="17"/>
      <c r="H2289" s="38"/>
      <c r="I2289" s="239" t="str">
        <f>IF(ISBLANK(global!I766),"",global!I766)</f>
        <v/>
      </c>
      <c r="K2289" s="262" t="s">
        <v>4295</v>
      </c>
      <c r="O2289" s="262" t="s">
        <v>4295</v>
      </c>
    </row>
    <row r="2290" spans="1:15" ht="12.75" customHeight="1" x14ac:dyDescent="0.2">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2">
      <c r="A2291" s="38"/>
      <c r="B2291" s="17"/>
      <c r="C2291" s="17"/>
      <c r="D2291" s="17"/>
      <c r="E2291" s="17"/>
      <c r="F2291" s="17"/>
      <c r="G2291" s="17"/>
      <c r="H2291" s="38"/>
      <c r="I2291" s="239" t="str">
        <f>IF(ISBLANK(global!I768),"",global!I768)</f>
        <v/>
      </c>
      <c r="K2291" s="262" t="s">
        <v>4295</v>
      </c>
      <c r="O2291" s="262" t="s">
        <v>4295</v>
      </c>
    </row>
    <row r="2292" spans="1:15" ht="12.75" customHeight="1" x14ac:dyDescent="0.2">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2">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2">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2">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2">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2">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2">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2">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2">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2">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2">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2">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2">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2">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2">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2">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2">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2">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2">
      <c r="A2310" s="168"/>
      <c r="B2310" s="168"/>
      <c r="C2310" s="168"/>
      <c r="D2310" s="168"/>
      <c r="E2310" s="168"/>
      <c r="F2310" s="168"/>
      <c r="G2310" s="168"/>
      <c r="H2310" s="357"/>
      <c r="I2310" s="239" t="str">
        <f>IF(ISBLANK(global!I787),"",global!I787)</f>
        <v/>
      </c>
      <c r="K2310" s="262" t="s">
        <v>4295</v>
      </c>
      <c r="O2310" s="262" t="s">
        <v>4295</v>
      </c>
    </row>
    <row r="2311" spans="1:15" ht="12.75" customHeight="1" x14ac:dyDescent="0.2">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2">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2">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2">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2">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2">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2">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2">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2">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2">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2">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2">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2">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2">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2">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2">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2">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2">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2">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2">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2">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2">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2">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2">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2">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2">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2">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2">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2">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2">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2">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2">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2">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2">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2">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2">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2">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2">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2">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2">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2">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2">
      <c r="A2352" s="410" t="s">
        <v>3496</v>
      </c>
      <c r="I2352" s="239" t="str">
        <f>IF(ISBLANK(global!I829),"",global!I829)</f>
        <v/>
      </c>
      <c r="K2352" s="262" t="s">
        <v>4295</v>
      </c>
      <c r="O2352" s="262" t="s">
        <v>4295</v>
      </c>
    </row>
    <row r="2353" spans="1:15" ht="12.75" customHeight="1" x14ac:dyDescent="0.2">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2">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2">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2">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2">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2">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2">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2">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2">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2">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2">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2">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2">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2">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2">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2">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2">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2">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2">
      <c r="A2371" s="410" t="s">
        <v>3515</v>
      </c>
      <c r="I2371" s="239" t="str">
        <f>IF(ISBLANK(global!I848),"",global!I848)</f>
        <v/>
      </c>
      <c r="K2371" s="262" t="s">
        <v>4295</v>
      </c>
      <c r="O2371" s="262" t="s">
        <v>4295</v>
      </c>
    </row>
    <row r="2372" spans="1:15" ht="12.75" customHeight="1" x14ac:dyDescent="0.2">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2">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2">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2">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2">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2">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2">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2">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2">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2">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2">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2">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2">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2">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2">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2">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2">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2">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2">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2">
      <c r="I2391" s="239" t="str">
        <f>IF(ISBLANK(global!I868),"",global!I868)</f>
        <v/>
      </c>
      <c r="K2391" s="262" t="s">
        <v>4295</v>
      </c>
      <c r="O2391" s="262" t="s">
        <v>4295</v>
      </c>
    </row>
    <row r="2392" spans="1:15" ht="12.75" customHeight="1" x14ac:dyDescent="0.2">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2">
      <c r="A2393" t="s">
        <v>3535</v>
      </c>
      <c r="I2393" s="239" t="str">
        <f>IF(ISBLANK(global!I870),"",global!I870)</f>
        <v/>
      </c>
      <c r="K2393" s="262" t="s">
        <v>4295</v>
      </c>
      <c r="O2393" s="262" t="s">
        <v>4295</v>
      </c>
    </row>
    <row r="2394" spans="1:15" ht="12.75" customHeight="1" x14ac:dyDescent="0.2">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2">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2">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2">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2">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2">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2">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2">
      <c r="A2401" t="s">
        <v>3544</v>
      </c>
      <c r="G2401"/>
      <c r="H2401"/>
      <c r="I2401" s="239" t="str">
        <f>IF(ISBLANK(global!I878),"",global!I878)</f>
        <v/>
      </c>
      <c r="K2401" s="262" t="s">
        <v>4295</v>
      </c>
      <c r="O2401" s="262" t="s">
        <v>4295</v>
      </c>
    </row>
    <row r="2402" spans="1:15" ht="12.75" customHeight="1" x14ac:dyDescent="0.2">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2">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2">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2">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2">
      <c r="A2406" t="s">
        <v>3549</v>
      </c>
      <c r="G2406"/>
      <c r="H2406"/>
      <c r="I2406" s="239" t="str">
        <f>IF(ISBLANK(global!I883),"",global!I883)</f>
        <v/>
      </c>
      <c r="K2406" s="262" t="s">
        <v>4295</v>
      </c>
      <c r="O2406" s="262" t="s">
        <v>4295</v>
      </c>
    </row>
    <row r="2407" spans="1:15" ht="12.75" customHeight="1" x14ac:dyDescent="0.2">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2">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2">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2">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2">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2">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2">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2">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2">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2">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2">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2">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2">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2">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2">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2">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2">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2">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2">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2">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2">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2">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2">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2">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2">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2">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2">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2">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2">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2">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2">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2">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2">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2">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2">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2">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2">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2">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2">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2">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2">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2">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2">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2">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2">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2">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2">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2">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2">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2">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2">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2">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2">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2">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2">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2">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2">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2">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2">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2">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2">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2">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2">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2">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2">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2">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2">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2">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2">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2">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2">
      <c r="A2477" s="172" t="s">
        <v>3620</v>
      </c>
      <c r="I2477" s="239" t="str">
        <f>IF(ISBLANK(global!I954),"",global!I954)</f>
        <v/>
      </c>
      <c r="K2477" s="262" t="s">
        <v>4295</v>
      </c>
      <c r="O2477" s="262" t="s">
        <v>4295</v>
      </c>
    </row>
    <row r="2478" spans="1:15" ht="12.75" customHeight="1" x14ac:dyDescent="0.2">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2">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2">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2">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2">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2">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2">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2">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2">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2">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2">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2">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2">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2">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2">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2">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2">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4400</v>
      </c>
      <c r="B1" s="327" t="s">
        <v>4401</v>
      </c>
      <c r="C1" s="327" t="s">
        <v>297</v>
      </c>
    </row>
    <row r="2" spans="1:3" ht="15" x14ac:dyDescent="0.2">
      <c r="A2" s="317" t="s">
        <v>4402</v>
      </c>
      <c r="B2" s="318">
        <f>(kwsd.water.wC*kwsd.sed.sdC)/(kwsd.water.wC+kwsd.sed.sdC)*FRw.w1C*(SYSTEMAREA.C*AREAFRAC.w1C)</f>
        <v>1087.1760324530321</v>
      </c>
      <c r="C2" s="317" t="s">
        <v>1089</v>
      </c>
    </row>
    <row r="3" spans="1:3" ht="15" x14ac:dyDescent="0.2">
      <c r="A3" s="317" t="s">
        <v>4403</v>
      </c>
      <c r="B3" s="318" t="e">
        <f>(kwsd.water.wR*kwsd.sed.sdR)/(kwsd.water.wR+kwsd.sed.sdR)*FRw.w1R*(SYSTEMAREA.R*AREAFRAC.w1R)</f>
        <v>#NAME?</v>
      </c>
      <c r="C3" s="317" t="s">
        <v>1089</v>
      </c>
    </row>
    <row r="4" spans="1:3" ht="15" x14ac:dyDescent="0.2">
      <c r="A4" s="317" t="s">
        <v>4404</v>
      </c>
      <c r="B4" s="318">
        <f>(kwsd.water.wC*kwsd.sed.sdC)/(kwsd.water.wC+kwsd.sed.sdC)*FRw.w2C*(SYSTEMAREA.C*AREAFRAC.w2C)</f>
        <v>69235.204388377169</v>
      </c>
      <c r="C4" s="317" t="s">
        <v>1089</v>
      </c>
    </row>
    <row r="5" spans="1:3" ht="15" x14ac:dyDescent="0.2">
      <c r="A5" s="317" t="s">
        <v>4405</v>
      </c>
      <c r="B5" s="318" t="e">
        <f>(kwsd.water.wR*kwsd.sed.sdR)/(kwsd.water.wR+kwsd.sed.sdR)*FRw.w2R*(SYSTEMAREA.R*AREAFRAC.w2R)</f>
        <v>#NAME?</v>
      </c>
      <c r="C5" s="317" t="s">
        <v>1089</v>
      </c>
    </row>
    <row r="6" spans="1:3" ht="15" x14ac:dyDescent="0.2">
      <c r="A6" s="317" t="s">
        <v>4406</v>
      </c>
      <c r="B6" s="318">
        <f>(kwsd.water.wA*kwsd.sed.sdA)/(kwsd.water.wA+kwsd.sed.sdA)*FRw.w3A*(SYSTEMAREA.A*AREAFRAC.wA)</f>
        <v>475438.40079700813</v>
      </c>
      <c r="C6" s="321" t="s">
        <v>1089</v>
      </c>
    </row>
    <row r="7" spans="1:3" ht="15" x14ac:dyDescent="0.2">
      <c r="A7" s="317" t="s">
        <v>4407</v>
      </c>
      <c r="B7" s="318">
        <f>(kwsd.water.wM*kwsd.sed.sdM)/(kwsd.water.wM+kwsd.sed.sdM)*FRw.w3M*(SYSTEMAREA.M*AREAFRAC.wM)</f>
        <v>723143.48563013447</v>
      </c>
      <c r="C7" s="321" t="s">
        <v>1089</v>
      </c>
    </row>
    <row r="8" spans="1:3" ht="15" x14ac:dyDescent="0.2">
      <c r="A8" s="317" t="s">
        <v>4408</v>
      </c>
      <c r="B8" s="318">
        <f>(kwsd.water.wT*kwsd.sed.sdT)/(kwsd.water.wT+kwsd.sed.sdT)*FRw.w3T*(SYSTEMAREA.T*AREAFRAC.wT)</f>
        <v>1664034.4027895285</v>
      </c>
      <c r="C8" s="321" t="s">
        <v>1089</v>
      </c>
    </row>
    <row r="9" spans="1:3" ht="15" x14ac:dyDescent="0.2">
      <c r="A9" s="319" t="s">
        <v>3096</v>
      </c>
      <c r="B9" s="318">
        <v>1E-3</v>
      </c>
      <c r="C9" s="320" t="s">
        <v>1226</v>
      </c>
    </row>
    <row r="10" spans="1:3" ht="15" x14ac:dyDescent="0.2">
      <c r="A10" s="319" t="s">
        <v>2150</v>
      </c>
      <c r="B10" s="318">
        <v>1E-3</v>
      </c>
      <c r="C10" s="319" t="s">
        <v>1226</v>
      </c>
    </row>
    <row r="11" spans="1:3" ht="15" x14ac:dyDescent="0.2">
      <c r="A11" s="319" t="s">
        <v>2719</v>
      </c>
      <c r="B11" s="318">
        <v>1E-3</v>
      </c>
      <c r="C11" s="320" t="s">
        <v>1226</v>
      </c>
    </row>
    <row r="12" spans="1:3" ht="15" x14ac:dyDescent="0.2">
      <c r="A12" s="319" t="s">
        <v>1232</v>
      </c>
      <c r="B12" s="318">
        <v>1E-3</v>
      </c>
      <c r="C12" s="319" t="s">
        <v>1226</v>
      </c>
    </row>
    <row r="13" spans="1:3" ht="15" x14ac:dyDescent="0.2">
      <c r="A13" s="319" t="s">
        <v>3408</v>
      </c>
      <c r="B13" s="321">
        <v>1E-3</v>
      </c>
      <c r="C13" s="320" t="s">
        <v>1226</v>
      </c>
    </row>
    <row r="14" spans="1:3" ht="15" x14ac:dyDescent="0.2">
      <c r="A14" s="317" t="s">
        <v>3094</v>
      </c>
      <c r="B14" s="318">
        <f>(FRaerw.aA+FRaers.aA)*(tdry.A+twet.A)/twet.A*RAINrate.A*COLLECTeff.A</f>
        <v>2.6424826653137157E-2</v>
      </c>
      <c r="C14" s="319" t="s">
        <v>1226</v>
      </c>
    </row>
    <row r="15" spans="1:3" ht="15" x14ac:dyDescent="0.2">
      <c r="A15" s="317" t="s">
        <v>2147</v>
      </c>
      <c r="B15" s="318">
        <f>(FRaerw.aC+FRaers.aC)*(tdry.C+twet.C)/twet.C*RAINrate.C*COLLECTeff.C</f>
        <v>7.3989514628752737E-2</v>
      </c>
      <c r="C15" s="319" t="s">
        <v>1226</v>
      </c>
    </row>
    <row r="16" spans="1:3" ht="15" x14ac:dyDescent="0.2">
      <c r="A16" s="317" t="s">
        <v>2717</v>
      </c>
      <c r="B16" s="318">
        <f>(FRaerw.aM+FRaers.aM)*(tdry.M+twet.M)/twet.M*RAINrate.M*COLLECTeff.M</f>
        <v>7.3989514628752737E-2</v>
      </c>
      <c r="C16" s="319" t="s">
        <v>1226</v>
      </c>
    </row>
    <row r="17" spans="1:3" ht="15" x14ac:dyDescent="0.2">
      <c r="A17" s="317" t="s">
        <v>1228</v>
      </c>
      <c r="B17" s="318">
        <f>(FRaerw.aR+FRaers.aR)*(tdry.R+twet.R)/twet.R*COLLECTeff.R*RAINrate.R</f>
        <v>7.3989514628752723E-2</v>
      </c>
      <c r="C17" s="319" t="s">
        <v>1226</v>
      </c>
    </row>
    <row r="18" spans="1:3" ht="15" x14ac:dyDescent="0.2">
      <c r="A18" s="317" t="s">
        <v>3406</v>
      </c>
      <c r="B18" s="318">
        <f>(FRaerw.aT+FRaers.aT)*(tdry.T+twet.T)/twet.T*RAINrate.T*COLLECTeff.T</f>
        <v>0.13740909859608266</v>
      </c>
      <c r="C18" s="319" t="s">
        <v>1226</v>
      </c>
    </row>
    <row r="19" spans="1:3" ht="15" x14ac:dyDescent="0.2">
      <c r="A19" s="317" t="s">
        <v>4409</v>
      </c>
      <c r="B19" s="318">
        <f>VOLUME.aA/TAU.aA</f>
        <v>29424519893.079891</v>
      </c>
      <c r="C19" s="321" t="s">
        <v>1089</v>
      </c>
    </row>
    <row r="20" spans="1:3" ht="15" x14ac:dyDescent="0.2">
      <c r="A20" s="317" t="s">
        <v>4410</v>
      </c>
      <c r="B20" s="318" t="e">
        <f>VOLUME.aC/TAU.aC-AIRflow.aC.aR</f>
        <v>#NAME?</v>
      </c>
      <c r="C20" s="321" t="s">
        <v>1089</v>
      </c>
    </row>
    <row r="21" spans="1:3" ht="15" x14ac:dyDescent="0.2">
      <c r="A21" s="317" t="s">
        <v>4411</v>
      </c>
      <c r="B21" s="318" t="e">
        <f>AIRflow.aR.aC</f>
        <v>#NAME?</v>
      </c>
      <c r="C21" s="321" t="s">
        <v>1089</v>
      </c>
    </row>
    <row r="22" spans="1:3" ht="15" x14ac:dyDescent="0.2">
      <c r="A22" s="317" t="s">
        <v>4412</v>
      </c>
      <c r="B22" s="318" t="e">
        <f>AIRflow.aA.aM</f>
        <v>#NAME?</v>
      </c>
      <c r="C22" s="321" t="s">
        <v>1089</v>
      </c>
    </row>
    <row r="23" spans="1:3" ht="15" x14ac:dyDescent="0.2">
      <c r="A23" s="317" t="s">
        <v>4413</v>
      </c>
      <c r="B23" s="318" t="e">
        <f>AIRflow.aC.aM</f>
        <v>#NAME?</v>
      </c>
      <c r="C23" s="321" t="s">
        <v>1089</v>
      </c>
    </row>
    <row r="24" spans="1:3" ht="15" x14ac:dyDescent="0.2">
      <c r="A24" s="317" t="s">
        <v>4414</v>
      </c>
      <c r="B24" s="318" t="e">
        <f>AIRflow.aT.aM</f>
        <v>#NAME?</v>
      </c>
      <c r="C24" s="321" t="s">
        <v>1089</v>
      </c>
    </row>
    <row r="25" spans="1:3" ht="15" x14ac:dyDescent="0.2">
      <c r="A25" s="317" t="s">
        <v>4415</v>
      </c>
      <c r="B25" s="318">
        <f>VOLUME.aR/TAU.aR</f>
        <v>2162581519.9666018</v>
      </c>
      <c r="C25" s="317" t="s">
        <v>1089</v>
      </c>
    </row>
    <row r="26" spans="1:3" ht="15" x14ac:dyDescent="0.2">
      <c r="A26" s="317" t="s">
        <v>4416</v>
      </c>
      <c r="B26" s="318">
        <f>VOLUME.aT/TAU.aT</f>
        <v>50964763443.135521</v>
      </c>
      <c r="C26" s="321" t="s">
        <v>1089</v>
      </c>
    </row>
    <row r="27" spans="1:3" x14ac:dyDescent="0.2">
      <c r="A27" s="319" t="s">
        <v>1989</v>
      </c>
      <c r="B27" s="318">
        <f>AREAland.C*FRACnatsoil.C/SYSTEMAREA.C</f>
        <v>0.13073261798103972</v>
      </c>
      <c r="C27" s="321" t="s">
        <v>314</v>
      </c>
    </row>
    <row r="28" spans="1:3" x14ac:dyDescent="0.2">
      <c r="A28" s="319" t="s">
        <v>1011</v>
      </c>
      <c r="B28" s="318">
        <f>AREAland.R*FRACnatsoil.R/SYSTEMAREA.R</f>
        <v>0.26882388813869412</v>
      </c>
      <c r="C28" s="317" t="s">
        <v>314</v>
      </c>
    </row>
    <row r="29" spans="1:3" x14ac:dyDescent="0.2">
      <c r="A29" s="319" t="s">
        <v>1990</v>
      </c>
      <c r="B29" s="318">
        <f>AREAland.C*FRACagsoil.C/SYSTEMAREA.C</f>
        <v>0.2905169288467549</v>
      </c>
      <c r="C29" s="321" t="s">
        <v>314</v>
      </c>
    </row>
    <row r="30" spans="1:3" x14ac:dyDescent="0.2">
      <c r="A30" s="319" t="s">
        <v>1013</v>
      </c>
      <c r="B30" s="318">
        <f>AREAland.R*FRACagsoil.R/SYSTEMAREA.R</f>
        <v>0.5973864180859868</v>
      </c>
      <c r="C30" s="317" t="s">
        <v>314</v>
      </c>
    </row>
    <row r="31" spans="1:3" x14ac:dyDescent="0.2">
      <c r="A31" s="319" t="s">
        <v>1991</v>
      </c>
      <c r="B31" s="318">
        <f>AREAland.C*FRACothersoil.C/SYSTEMAREA.C</f>
        <v>4.8419488141125809E-2</v>
      </c>
      <c r="C31" s="321" t="s">
        <v>314</v>
      </c>
    </row>
    <row r="32" spans="1:3" x14ac:dyDescent="0.2">
      <c r="A32" s="319" t="s">
        <v>1015</v>
      </c>
      <c r="B32" s="318">
        <f>AREAland.R*FRACothersoil.R/SYSTEMAREA.R</f>
        <v>9.9564403014331143E-2</v>
      </c>
      <c r="C32" s="317" t="s">
        <v>314</v>
      </c>
    </row>
    <row r="33" spans="1:3" x14ac:dyDescent="0.2">
      <c r="A33" s="319" t="s">
        <v>3019</v>
      </c>
      <c r="B33" s="318">
        <f>1-AREAFRAC.wA</f>
        <v>0.4</v>
      </c>
      <c r="C33" s="321" t="s">
        <v>314</v>
      </c>
    </row>
    <row r="34" spans="1:3" x14ac:dyDescent="0.2">
      <c r="A34" s="319" t="s">
        <v>2594</v>
      </c>
      <c r="B34" s="318">
        <f>1-AREAFRAC.wM</f>
        <v>0.5</v>
      </c>
      <c r="C34" s="321" t="s">
        <v>314</v>
      </c>
    </row>
    <row r="35" spans="1:3" x14ac:dyDescent="0.2">
      <c r="A35" s="319" t="s">
        <v>3339</v>
      </c>
      <c r="B35" s="318">
        <f>1-AREAFRAC.wT</f>
        <v>0.30000000000000004</v>
      </c>
      <c r="C35" s="317" t="s">
        <v>314</v>
      </c>
    </row>
    <row r="36" spans="1:3" x14ac:dyDescent="0.2">
      <c r="A36" s="319" t="s">
        <v>1987</v>
      </c>
      <c r="B36" s="318">
        <f>AREAland.C*FRAClake.C/SYSTEMAREA.C</f>
        <v>1.2104872035281454E-3</v>
      </c>
      <c r="C36" s="317" t="s">
        <v>314</v>
      </c>
    </row>
    <row r="37" spans="1:3" x14ac:dyDescent="0.2">
      <c r="A37" s="319" t="s">
        <v>1007</v>
      </c>
      <c r="B37" s="318">
        <f>AREAland.R*FRAClake.R/SYSTEMAREA.R</f>
        <v>2.4891100753582783E-3</v>
      </c>
      <c r="C37" s="317" t="s">
        <v>314</v>
      </c>
    </row>
    <row r="38" spans="1:3" x14ac:dyDescent="0.2">
      <c r="A38" s="319" t="s">
        <v>1988</v>
      </c>
      <c r="B38" s="318">
        <f>AREAland.C*FRACfresh.C/SYSTEMAREA.C</f>
        <v>1.3315359238809598E-2</v>
      </c>
      <c r="C38" s="321" t="s">
        <v>314</v>
      </c>
    </row>
    <row r="39" spans="1:3" x14ac:dyDescent="0.2">
      <c r="A39" s="319" t="s">
        <v>1009</v>
      </c>
      <c r="B39" s="318">
        <f>AREAland.R*FRACfresh.R/SYSTEMAREA.R</f>
        <v>2.7380210828941064E-2</v>
      </c>
      <c r="C39" s="317" t="s">
        <v>314</v>
      </c>
    </row>
    <row r="40" spans="1:3" x14ac:dyDescent="0.2">
      <c r="A40" s="319" t="s">
        <v>1992</v>
      </c>
      <c r="B40" s="318">
        <f>1-AREAFRAC.w0C-AREAFRAC.w1C-AREAFRAC.s1C-AREAFRAC.s2C-AREAFRAC.s3C</f>
        <v>0.5158051185887419</v>
      </c>
      <c r="C40" s="321" t="s">
        <v>314</v>
      </c>
    </row>
    <row r="41" spans="1:3" x14ac:dyDescent="0.2">
      <c r="A41" s="319" t="s">
        <v>1017</v>
      </c>
      <c r="B41" s="318">
        <f>1-AREAFRAC.w0R-AREAFRAC.w1R-AREAFRAC.s1R-AREAFRAC.s2R-AREAFRAC.s3R</f>
        <v>4.3559698566885963E-3</v>
      </c>
      <c r="C41" s="317" t="s">
        <v>314</v>
      </c>
    </row>
    <row r="42" spans="1:3" x14ac:dyDescent="0.2">
      <c r="A42" s="319" t="s">
        <v>3018</v>
      </c>
      <c r="B42" s="318">
        <v>0.6</v>
      </c>
      <c r="C42" s="321" t="s">
        <v>314</v>
      </c>
    </row>
    <row r="43" spans="1:3" x14ac:dyDescent="0.2">
      <c r="A43" s="319" t="s">
        <v>2592</v>
      </c>
      <c r="B43" s="318">
        <v>0.5</v>
      </c>
      <c r="C43" s="321" t="s">
        <v>314</v>
      </c>
    </row>
    <row r="44" spans="1:3" x14ac:dyDescent="0.2">
      <c r="A44" s="319" t="s">
        <v>3338</v>
      </c>
      <c r="B44" s="321">
        <v>0.7</v>
      </c>
      <c r="C44" s="317" t="s">
        <v>314</v>
      </c>
    </row>
    <row r="45" spans="1:3" ht="15" x14ac:dyDescent="0.2">
      <c r="A45" s="321" t="s">
        <v>757</v>
      </c>
      <c r="B45" s="321">
        <v>3714410</v>
      </c>
      <c r="C45" s="319" t="s">
        <v>697</v>
      </c>
    </row>
    <row r="46" spans="1:3" ht="15" x14ac:dyDescent="0.2">
      <c r="A46" s="321" t="s">
        <v>696</v>
      </c>
      <c r="B46" s="321">
        <v>228570</v>
      </c>
      <c r="C46" s="319" t="s">
        <v>697</v>
      </c>
    </row>
    <row r="47" spans="1:3" ht="15" x14ac:dyDescent="0.2">
      <c r="A47" s="321" t="s">
        <v>758</v>
      </c>
      <c r="B47" s="321">
        <v>3714410</v>
      </c>
      <c r="C47" s="319" t="s">
        <v>697</v>
      </c>
    </row>
    <row r="48" spans="1:3" ht="15" x14ac:dyDescent="0.2">
      <c r="A48" s="321" t="s">
        <v>700</v>
      </c>
      <c r="B48" s="321">
        <v>1000</v>
      </c>
      <c r="C48" s="319" t="s">
        <v>697</v>
      </c>
    </row>
    <row r="49" spans="1:3" ht="15" x14ac:dyDescent="0.2">
      <c r="A49" s="317" t="s">
        <v>661</v>
      </c>
      <c r="B49" s="321">
        <v>40000</v>
      </c>
      <c r="C49" s="317" t="s">
        <v>662</v>
      </c>
    </row>
    <row r="50" spans="1:3" x14ac:dyDescent="0.2">
      <c r="A50" s="319" t="s">
        <v>2233</v>
      </c>
      <c r="B50" s="318">
        <v>40000</v>
      </c>
      <c r="C50" s="317" t="s">
        <v>1389</v>
      </c>
    </row>
    <row r="51" spans="1:3" x14ac:dyDescent="0.2">
      <c r="A51" s="319" t="s">
        <v>1388</v>
      </c>
      <c r="B51" s="318">
        <v>40000</v>
      </c>
      <c r="C51" s="317" t="s">
        <v>1389</v>
      </c>
    </row>
    <row r="52" spans="1:3" x14ac:dyDescent="0.2">
      <c r="A52" s="319" t="s">
        <v>2234</v>
      </c>
      <c r="B52" s="318">
        <v>40000</v>
      </c>
      <c r="C52" s="317" t="s">
        <v>1389</v>
      </c>
    </row>
    <row r="53" spans="1:3" x14ac:dyDescent="0.2">
      <c r="A53" s="319" t="s">
        <v>1392</v>
      </c>
      <c r="B53" s="318">
        <v>40000</v>
      </c>
      <c r="C53" s="317" t="s">
        <v>1389</v>
      </c>
    </row>
    <row r="54" spans="1:3" x14ac:dyDescent="0.2">
      <c r="A54" s="319" t="s">
        <v>3139</v>
      </c>
      <c r="B54" s="318">
        <v>40000</v>
      </c>
      <c r="C54" s="317" t="s">
        <v>1389</v>
      </c>
    </row>
    <row r="55" spans="1:3" x14ac:dyDescent="0.2">
      <c r="A55" s="319" t="s">
        <v>2235</v>
      </c>
      <c r="B55" s="318">
        <v>40000</v>
      </c>
      <c r="C55" s="317" t="s">
        <v>1389</v>
      </c>
    </row>
    <row r="56" spans="1:3" x14ac:dyDescent="0.2">
      <c r="A56" s="319" t="s">
        <v>2784</v>
      </c>
      <c r="B56" s="318">
        <v>40000</v>
      </c>
      <c r="C56" s="317" t="s">
        <v>1389</v>
      </c>
    </row>
    <row r="57" spans="1:3" x14ac:dyDescent="0.2">
      <c r="A57" s="319" t="s">
        <v>1394</v>
      </c>
      <c r="B57" s="318">
        <v>40000</v>
      </c>
      <c r="C57" s="317" t="s">
        <v>1389</v>
      </c>
    </row>
    <row r="58" spans="1:3" x14ac:dyDescent="0.2">
      <c r="A58" s="319" t="s">
        <v>3449</v>
      </c>
      <c r="B58" s="321">
        <v>40000</v>
      </c>
      <c r="C58" s="317" t="s">
        <v>1389</v>
      </c>
    </row>
    <row r="59" spans="1:3" x14ac:dyDescent="0.2">
      <c r="A59" s="319" t="s">
        <v>3141</v>
      </c>
      <c r="B59" s="318">
        <v>40000</v>
      </c>
      <c r="C59" s="317" t="s">
        <v>1389</v>
      </c>
    </row>
    <row r="60" spans="1:3" x14ac:dyDescent="0.2">
      <c r="A60" s="319" t="s">
        <v>2786</v>
      </c>
      <c r="B60" s="318">
        <v>40000</v>
      </c>
      <c r="C60" s="317" t="s">
        <v>1389</v>
      </c>
    </row>
    <row r="61" spans="1:3" x14ac:dyDescent="0.2">
      <c r="A61" s="319" t="s">
        <v>3450</v>
      </c>
      <c r="B61" s="321">
        <v>40000</v>
      </c>
      <c r="C61" s="317" t="s">
        <v>1389</v>
      </c>
    </row>
    <row r="62" spans="1:3" x14ac:dyDescent="0.2">
      <c r="A62" s="317" t="s">
        <v>657</v>
      </c>
      <c r="B62" s="322" t="s">
        <v>659</v>
      </c>
      <c r="C62" s="317" t="s">
        <v>658</v>
      </c>
    </row>
    <row r="63" spans="1:3" ht="15" x14ac:dyDescent="0.2">
      <c r="A63" s="317" t="s">
        <v>4417</v>
      </c>
      <c r="B63" s="318">
        <f>NETsedrate.w1C*SYSTEMAREA.C*AREAFRAC.w1C</f>
        <v>8.265757754893718</v>
      </c>
      <c r="C63" s="317" t="s">
        <v>1089</v>
      </c>
    </row>
    <row r="64" spans="1:3" ht="15" x14ac:dyDescent="0.2">
      <c r="A64" s="317" t="s">
        <v>4418</v>
      </c>
      <c r="B64" s="318">
        <f>NETsedrate.w1R*SYSTEMAREA.R*AREAFRAC.w1R</f>
        <v>0.54598031594844021</v>
      </c>
      <c r="C64" s="317" t="s">
        <v>1089</v>
      </c>
    </row>
    <row r="65" spans="1:3" ht="15" x14ac:dyDescent="0.2">
      <c r="A65" s="317" t="s">
        <v>4419</v>
      </c>
      <c r="B65" s="318">
        <f>NETsedrate.w2C*SYSTEMAREA.C*AREAFRAC.w2C</f>
        <v>101.74743400000001</v>
      </c>
      <c r="C65" s="317" t="s">
        <v>1089</v>
      </c>
    </row>
    <row r="66" spans="1:3" ht="15" x14ac:dyDescent="0.2">
      <c r="A66" s="317" t="s">
        <v>4420</v>
      </c>
      <c r="B66" s="318">
        <f>NETsedrate.w2R*SYSTEMAREA.R*AREAFRAC.w2R</f>
        <v>2.7428797247595133E-2</v>
      </c>
      <c r="C66" s="317" t="s">
        <v>1089</v>
      </c>
    </row>
    <row r="67" spans="1:3" ht="15" x14ac:dyDescent="0.2">
      <c r="A67" s="317" t="s">
        <v>4421</v>
      </c>
      <c r="B67" s="318">
        <f>NETsedrate.wA*SYSTEMAREA.A*AREAFRAC.wA</f>
        <v>1.6171993911719766</v>
      </c>
      <c r="C67" s="317" t="s">
        <v>1089</v>
      </c>
    </row>
    <row r="68" spans="1:3" ht="15" x14ac:dyDescent="0.2">
      <c r="A68" s="317" t="s">
        <v>4422</v>
      </c>
      <c r="B68" s="318">
        <f>NETsedrate.wM*SYSTEMAREA.M*AREAFRAC.wM</f>
        <v>3.4720095874555419</v>
      </c>
      <c r="C68" s="317" t="s">
        <v>1089</v>
      </c>
    </row>
    <row r="69" spans="1:3" ht="15" x14ac:dyDescent="0.2">
      <c r="A69" s="317" t="s">
        <v>4423</v>
      </c>
      <c r="B69" s="318">
        <f>NETsedrate.wT*SYSTEMAREA.T*AREAFRAC.wT</f>
        <v>5.6601978691020065</v>
      </c>
      <c r="C69" s="317" t="s">
        <v>1089</v>
      </c>
    </row>
    <row r="70" spans="1:3" ht="15" x14ac:dyDescent="0.2">
      <c r="A70" s="317" t="s">
        <v>644</v>
      </c>
      <c r="B70" s="321">
        <v>500000</v>
      </c>
      <c r="C70" s="317" t="s">
        <v>645</v>
      </c>
    </row>
    <row r="71" spans="1:3" ht="15" x14ac:dyDescent="0.2">
      <c r="A71" s="317" t="s">
        <v>3135</v>
      </c>
      <c r="B71" s="318">
        <v>500000</v>
      </c>
      <c r="C71" s="317" t="s">
        <v>645</v>
      </c>
    </row>
    <row r="72" spans="1:3" ht="15" x14ac:dyDescent="0.2">
      <c r="A72" s="317" t="s">
        <v>2227</v>
      </c>
      <c r="B72" s="318">
        <v>500000</v>
      </c>
      <c r="C72" s="317" t="s">
        <v>645</v>
      </c>
    </row>
    <row r="73" spans="1:3" ht="15" x14ac:dyDescent="0.2">
      <c r="A73" s="317" t="s">
        <v>2777</v>
      </c>
      <c r="B73" s="318">
        <v>500000</v>
      </c>
      <c r="C73" s="317" t="s">
        <v>645</v>
      </c>
    </row>
    <row r="74" spans="1:3" ht="15" x14ac:dyDescent="0.2">
      <c r="A74" s="317" t="s">
        <v>1377</v>
      </c>
      <c r="B74" s="318">
        <v>500000</v>
      </c>
      <c r="C74" s="317" t="s">
        <v>645</v>
      </c>
    </row>
    <row r="75" spans="1:3" ht="15" x14ac:dyDescent="0.2">
      <c r="A75" s="317" t="s">
        <v>3445</v>
      </c>
      <c r="B75" s="318">
        <v>500000</v>
      </c>
      <c r="C75" s="317" t="s">
        <v>645</v>
      </c>
    </row>
    <row r="76" spans="1:3" x14ac:dyDescent="0.2">
      <c r="A76" s="319" t="s">
        <v>782</v>
      </c>
      <c r="B76" s="318">
        <v>1</v>
      </c>
      <c r="C76" s="317" t="s">
        <v>741</v>
      </c>
    </row>
    <row r="77" spans="1:3" x14ac:dyDescent="0.2">
      <c r="A77" s="319" t="s">
        <v>740</v>
      </c>
      <c r="B77" s="318">
        <v>1</v>
      </c>
      <c r="C77" s="317" t="s">
        <v>741</v>
      </c>
    </row>
    <row r="78" spans="1:3" x14ac:dyDescent="0.2">
      <c r="A78" s="319" t="s">
        <v>783</v>
      </c>
      <c r="B78" s="318">
        <v>1</v>
      </c>
      <c r="C78" s="317" t="s">
        <v>741</v>
      </c>
    </row>
    <row r="79" spans="1:3" x14ac:dyDescent="0.2">
      <c r="A79" s="319" t="s">
        <v>743</v>
      </c>
      <c r="B79" s="318">
        <v>1</v>
      </c>
      <c r="C79" s="317" t="s">
        <v>741</v>
      </c>
    </row>
    <row r="80" spans="1:3" x14ac:dyDescent="0.2">
      <c r="A80" s="319" t="s">
        <v>3070</v>
      </c>
      <c r="B80" s="318">
        <v>1</v>
      </c>
      <c r="C80" s="317" t="s">
        <v>741</v>
      </c>
    </row>
    <row r="81" spans="1:3" x14ac:dyDescent="0.2">
      <c r="A81" s="319" t="s">
        <v>784</v>
      </c>
      <c r="B81" s="318">
        <v>1</v>
      </c>
      <c r="C81" s="317" t="s">
        <v>741</v>
      </c>
    </row>
    <row r="82" spans="1:3" x14ac:dyDescent="0.2">
      <c r="A82" s="319" t="s">
        <v>2679</v>
      </c>
      <c r="B82" s="318">
        <v>1</v>
      </c>
      <c r="C82" s="317" t="s">
        <v>741</v>
      </c>
    </row>
    <row r="83" spans="1:3" x14ac:dyDescent="0.2">
      <c r="A83" s="319" t="s">
        <v>744</v>
      </c>
      <c r="B83" s="318">
        <v>1</v>
      </c>
      <c r="C83" s="317" t="s">
        <v>741</v>
      </c>
    </row>
    <row r="84" spans="1:3" x14ac:dyDescent="0.2">
      <c r="A84" s="319" t="s">
        <v>3385</v>
      </c>
      <c r="B84" s="318">
        <v>1</v>
      </c>
      <c r="C84" s="317" t="s">
        <v>741</v>
      </c>
    </row>
    <row r="85" spans="1:3" x14ac:dyDescent="0.2">
      <c r="A85" s="319" t="s">
        <v>3071</v>
      </c>
      <c r="B85" s="318">
        <v>1</v>
      </c>
      <c r="C85" s="317" t="s">
        <v>741</v>
      </c>
    </row>
    <row r="86" spans="1:3" x14ac:dyDescent="0.2">
      <c r="A86" s="319" t="s">
        <v>2681</v>
      </c>
      <c r="B86" s="318">
        <v>1</v>
      </c>
      <c r="C86" s="317" t="s">
        <v>741</v>
      </c>
    </row>
    <row r="87" spans="1:3" x14ac:dyDescent="0.2">
      <c r="A87" s="319" t="s">
        <v>3386</v>
      </c>
      <c r="B87" s="318">
        <v>1</v>
      </c>
      <c r="C87" s="317" t="s">
        <v>741</v>
      </c>
    </row>
    <row r="88" spans="1:3" x14ac:dyDescent="0.2">
      <c r="A88" s="319" t="s">
        <v>3098</v>
      </c>
      <c r="B88" s="318">
        <v>200000</v>
      </c>
      <c r="C88" s="317" t="s">
        <v>314</v>
      </c>
    </row>
    <row r="89" spans="1:3" x14ac:dyDescent="0.2">
      <c r="A89" s="319" t="s">
        <v>2151</v>
      </c>
      <c r="B89" s="318">
        <v>200000</v>
      </c>
      <c r="C89" s="317" t="s">
        <v>314</v>
      </c>
    </row>
    <row r="90" spans="1:3" x14ac:dyDescent="0.2">
      <c r="A90" s="319" t="s">
        <v>2723</v>
      </c>
      <c r="B90" s="318">
        <v>200000</v>
      </c>
      <c r="C90" s="317" t="s">
        <v>314</v>
      </c>
    </row>
    <row r="91" spans="1:3" x14ac:dyDescent="0.2">
      <c r="A91" s="319" t="s">
        <v>1234</v>
      </c>
      <c r="B91" s="318">
        <v>200000</v>
      </c>
      <c r="C91" s="317" t="s">
        <v>314</v>
      </c>
    </row>
    <row r="92" spans="1:3" x14ac:dyDescent="0.2">
      <c r="A92" s="319" t="s">
        <v>3410</v>
      </c>
      <c r="B92" s="321">
        <v>200000</v>
      </c>
      <c r="C92" s="317" t="s">
        <v>314</v>
      </c>
    </row>
    <row r="93" spans="1:3" x14ac:dyDescent="0.2">
      <c r="A93" s="319" t="s">
        <v>814</v>
      </c>
      <c r="B93" s="321">
        <v>0.02</v>
      </c>
      <c r="C93" s="317" t="s">
        <v>314</v>
      </c>
    </row>
    <row r="94" spans="1:3" x14ac:dyDescent="0.2">
      <c r="A94" s="319" t="s">
        <v>2098</v>
      </c>
      <c r="B94" s="318">
        <v>0.02</v>
      </c>
      <c r="C94" s="317" t="s">
        <v>314</v>
      </c>
    </row>
    <row r="95" spans="1:3" x14ac:dyDescent="0.2">
      <c r="A95" s="319" t="s">
        <v>1165</v>
      </c>
      <c r="B95" s="318">
        <v>0.02</v>
      </c>
      <c r="C95" s="317" t="s">
        <v>314</v>
      </c>
    </row>
    <row r="96" spans="1:3" x14ac:dyDescent="0.2">
      <c r="A96" s="319" t="s">
        <v>2105</v>
      </c>
      <c r="B96" s="318">
        <v>0.02</v>
      </c>
      <c r="C96" s="317" t="s">
        <v>314</v>
      </c>
    </row>
    <row r="97" spans="1:3" x14ac:dyDescent="0.2">
      <c r="A97" s="319" t="s">
        <v>1175</v>
      </c>
      <c r="B97" s="318">
        <v>0.02</v>
      </c>
      <c r="C97" s="317" t="s">
        <v>314</v>
      </c>
    </row>
    <row r="98" spans="1:3" x14ac:dyDescent="0.2">
      <c r="A98" s="319" t="s">
        <v>2112</v>
      </c>
      <c r="B98" s="318">
        <v>0.02</v>
      </c>
      <c r="C98" s="317" t="s">
        <v>314</v>
      </c>
    </row>
    <row r="99" spans="1:3" x14ac:dyDescent="0.2">
      <c r="A99" s="319" t="s">
        <v>1185</v>
      </c>
      <c r="B99" s="318">
        <v>0.02</v>
      </c>
      <c r="C99" s="317" t="s">
        <v>314</v>
      </c>
    </row>
    <row r="100" spans="1:3" x14ac:dyDescent="0.2">
      <c r="A100" s="319" t="s">
        <v>3079</v>
      </c>
      <c r="B100" s="318">
        <v>0.02</v>
      </c>
      <c r="C100" s="317" t="s">
        <v>314</v>
      </c>
    </row>
    <row r="101" spans="1:3" x14ac:dyDescent="0.2">
      <c r="A101" s="319" t="s">
        <v>2088</v>
      </c>
      <c r="B101" s="318">
        <v>0.05</v>
      </c>
      <c r="C101" s="317" t="s">
        <v>314</v>
      </c>
    </row>
    <row r="102" spans="1:3" x14ac:dyDescent="0.2">
      <c r="A102" s="319" t="s">
        <v>1149</v>
      </c>
      <c r="B102" s="318">
        <v>0.05</v>
      </c>
      <c r="C102" s="317" t="s">
        <v>314</v>
      </c>
    </row>
    <row r="103" spans="1:3" x14ac:dyDescent="0.2">
      <c r="A103" s="319" t="s">
        <v>2091</v>
      </c>
      <c r="B103" s="318">
        <v>0.05</v>
      </c>
      <c r="C103" s="317" t="s">
        <v>314</v>
      </c>
    </row>
    <row r="104" spans="1:3" x14ac:dyDescent="0.2">
      <c r="A104" s="319" t="s">
        <v>1155</v>
      </c>
      <c r="B104" s="318">
        <v>0.05</v>
      </c>
      <c r="C104" s="317" t="s">
        <v>314</v>
      </c>
    </row>
    <row r="105" spans="1:3" x14ac:dyDescent="0.2">
      <c r="A105" s="319" t="s">
        <v>3074</v>
      </c>
      <c r="B105" s="318">
        <v>0.05</v>
      </c>
      <c r="C105" s="317" t="s">
        <v>314</v>
      </c>
    </row>
    <row r="106" spans="1:3" x14ac:dyDescent="0.2">
      <c r="A106" s="319" t="s">
        <v>2687</v>
      </c>
      <c r="B106" s="318">
        <v>0.05</v>
      </c>
      <c r="C106" s="317" t="s">
        <v>314</v>
      </c>
    </row>
    <row r="107" spans="1:3" x14ac:dyDescent="0.2">
      <c r="A107" s="319" t="s">
        <v>3389</v>
      </c>
      <c r="B107" s="318">
        <v>0.05</v>
      </c>
      <c r="C107" s="317" t="s">
        <v>314</v>
      </c>
    </row>
    <row r="108" spans="1:3" x14ac:dyDescent="0.2">
      <c r="A108" s="319" t="s">
        <v>2697</v>
      </c>
      <c r="B108" s="318">
        <v>0.02</v>
      </c>
      <c r="C108" s="317" t="s">
        <v>314</v>
      </c>
    </row>
    <row r="109" spans="1:3" x14ac:dyDescent="0.2">
      <c r="A109" s="319" t="s">
        <v>3394</v>
      </c>
      <c r="B109" s="318">
        <v>0.02</v>
      </c>
      <c r="C109" s="317" t="s">
        <v>314</v>
      </c>
    </row>
    <row r="110" spans="1:3" x14ac:dyDescent="0.2">
      <c r="A110" s="319" t="s">
        <v>2071</v>
      </c>
      <c r="B110" s="318">
        <v>0.1</v>
      </c>
      <c r="C110" s="317" t="s">
        <v>314</v>
      </c>
    </row>
    <row r="111" spans="1:3" x14ac:dyDescent="0.2">
      <c r="A111" s="319" t="s">
        <v>1124</v>
      </c>
      <c r="B111" s="318">
        <v>0.1</v>
      </c>
      <c r="C111" s="317" t="s">
        <v>314</v>
      </c>
    </row>
    <row r="112" spans="1:3" x14ac:dyDescent="0.2">
      <c r="A112" s="319" t="s">
        <v>2076</v>
      </c>
      <c r="B112" s="318">
        <v>0.1</v>
      </c>
      <c r="C112" s="317" t="s">
        <v>314</v>
      </c>
    </row>
    <row r="113" spans="1:3" x14ac:dyDescent="0.2">
      <c r="A113" s="319" t="s">
        <v>1131</v>
      </c>
      <c r="B113" s="318">
        <v>0.1</v>
      </c>
      <c r="C113" s="317" t="s">
        <v>314</v>
      </c>
    </row>
    <row r="114" spans="1:3" x14ac:dyDescent="0.2">
      <c r="A114" s="319" t="s">
        <v>3064</v>
      </c>
      <c r="B114" s="318">
        <v>0.1</v>
      </c>
      <c r="C114" s="317" t="s">
        <v>314</v>
      </c>
    </row>
    <row r="115" spans="1:3" x14ac:dyDescent="0.2">
      <c r="A115" s="319" t="s">
        <v>2081</v>
      </c>
      <c r="B115" s="318">
        <v>0.1</v>
      </c>
      <c r="C115" s="317" t="s">
        <v>314</v>
      </c>
    </row>
    <row r="116" spans="1:3" x14ac:dyDescent="0.2">
      <c r="A116" s="319" t="s">
        <v>2667</v>
      </c>
      <c r="B116" s="318">
        <v>0.1</v>
      </c>
      <c r="C116" s="317" t="s">
        <v>314</v>
      </c>
    </row>
    <row r="117" spans="1:3" x14ac:dyDescent="0.2">
      <c r="A117" s="319" t="s">
        <v>1136</v>
      </c>
      <c r="B117" s="318">
        <v>0.1</v>
      </c>
      <c r="C117" s="317" t="s">
        <v>314</v>
      </c>
    </row>
    <row r="118" spans="1:3" x14ac:dyDescent="0.2">
      <c r="A118" s="319" t="s">
        <v>3379</v>
      </c>
      <c r="B118" s="323">
        <v>0.1</v>
      </c>
      <c r="C118" s="317" t="s">
        <v>314</v>
      </c>
    </row>
    <row r="119" spans="1:3" x14ac:dyDescent="0.2">
      <c r="A119" s="319" t="s">
        <v>3065</v>
      </c>
      <c r="B119" s="318">
        <v>0.1</v>
      </c>
      <c r="C119" s="317" t="s">
        <v>314</v>
      </c>
    </row>
    <row r="120" spans="1:3" x14ac:dyDescent="0.2">
      <c r="A120" s="319" t="s">
        <v>2669</v>
      </c>
      <c r="B120" s="318">
        <v>0.1</v>
      </c>
      <c r="C120" s="317" t="s">
        <v>314</v>
      </c>
    </row>
    <row r="121" spans="1:3" x14ac:dyDescent="0.2">
      <c r="A121" s="319" t="s">
        <v>3380</v>
      </c>
      <c r="B121" s="323">
        <v>0.1</v>
      </c>
      <c r="C121" s="317" t="s">
        <v>314</v>
      </c>
    </row>
    <row r="122" spans="1:3" x14ac:dyDescent="0.2">
      <c r="A122" s="321" t="s">
        <v>812</v>
      </c>
      <c r="B122" s="318">
        <v>0.1</v>
      </c>
      <c r="C122" s="321" t="s">
        <v>314</v>
      </c>
    </row>
    <row r="123" spans="1:3" x14ac:dyDescent="0.2">
      <c r="A123" s="317" t="s">
        <v>2247</v>
      </c>
      <c r="B123" s="318" t="e">
        <f>(EXP((-1/0.1)*DEPTHdrain.s1C)*(1/0.1)*DEPTH.s1C/(1-EXP((-1/0.1)*DEPTH.s1C)))</f>
        <v>#NAME?</v>
      </c>
      <c r="C123" s="321" t="s">
        <v>314</v>
      </c>
    </row>
    <row r="124" spans="1:3" x14ac:dyDescent="0.2">
      <c r="A124" s="317" t="s">
        <v>1415</v>
      </c>
      <c r="B124" s="318" t="e">
        <f>(EXP((-1/0.1)*DEPTHdrain.s1R)*(1/0.1)*DEPTH.s1R/(1-EXP((-1/0.1)*DEPTH.s1R)))</f>
        <v>#NAME?</v>
      </c>
      <c r="C124" s="321" t="s">
        <v>314</v>
      </c>
    </row>
    <row r="125" spans="1:3" x14ac:dyDescent="0.2">
      <c r="A125" s="317" t="s">
        <v>2248</v>
      </c>
      <c r="B125" s="318" t="e">
        <f>(EXP((-1/0.1)*DEPTHdrain.s2C)*(1/0.1)*DEPTH.s2C/(1-EXP((-1/0.1)*DEPTH.s2C)))</f>
        <v>#NAME?</v>
      </c>
      <c r="C125" s="321" t="s">
        <v>314</v>
      </c>
    </row>
    <row r="126" spans="1:3" x14ac:dyDescent="0.2">
      <c r="A126" s="317" t="s">
        <v>1416</v>
      </c>
      <c r="B126" s="318" t="e">
        <f>(EXP((-1/0.1)*DEPTHdrain.s2R)*(1/0.1)*DEPTH.s2R/(1-EXP((-1/0.1)*DEPTH.s2R)))</f>
        <v>#NAME?</v>
      </c>
      <c r="C126" s="321" t="s">
        <v>314</v>
      </c>
    </row>
    <row r="127" spans="1:3" x14ac:dyDescent="0.2">
      <c r="A127" s="317" t="s">
        <v>2249</v>
      </c>
      <c r="B127" s="318" t="e">
        <f>(EXP((-1/0.1)*DEPTHdrain.s3C)*(1/0.1)*DEPTH.s3C/(1-EXP((-1/0.1)*DEPTH.s3C)))</f>
        <v>#NAME?</v>
      </c>
      <c r="C127" s="321" t="s">
        <v>314</v>
      </c>
    </row>
    <row r="128" spans="1:3" x14ac:dyDescent="0.2">
      <c r="A128" s="317" t="s">
        <v>1417</v>
      </c>
      <c r="B128" s="318" t="e">
        <f>(EXP((-1/0.1)*DEPTHdrain.s3R)*(1/0.1)*DEPTH.s3R/(1-EXP((-1/0.1)*DEPTH.s3R)))</f>
        <v>#NAME?</v>
      </c>
      <c r="C128" s="321" t="s">
        <v>314</v>
      </c>
    </row>
    <row r="129" spans="1:3" x14ac:dyDescent="0.2">
      <c r="A129" s="317" t="s">
        <v>3146</v>
      </c>
      <c r="B129" s="318">
        <f>CORRvolat.sA*EXP((-1/0.1)*DEPTH.sA)</f>
        <v>0.77074704126839921</v>
      </c>
      <c r="C129" s="321" t="s">
        <v>314</v>
      </c>
    </row>
    <row r="130" spans="1:3" x14ac:dyDescent="0.2">
      <c r="A130" s="317" t="s">
        <v>2794</v>
      </c>
      <c r="B130" s="318">
        <f>CORRvolat.sM*EXP((-1/0.1)*DEPTH.sM)</f>
        <v>0.77074704126839921</v>
      </c>
      <c r="C130" s="321" t="s">
        <v>314</v>
      </c>
    </row>
    <row r="131" spans="1:3" x14ac:dyDescent="0.2">
      <c r="A131" s="317" t="s">
        <v>3455</v>
      </c>
      <c r="B131" s="318">
        <f>CORRvolat.sT*EXP((-1/0.1)*DEPTH.sT)</f>
        <v>0.77074704126839921</v>
      </c>
      <c r="C131" s="321" t="s">
        <v>314</v>
      </c>
    </row>
    <row r="132" spans="1:3" ht="63.75" x14ac:dyDescent="0.2">
      <c r="A132" s="317" t="s">
        <v>2211</v>
      </c>
      <c r="B132" s="324" t="s">
        <v>4424</v>
      </c>
      <c r="C132" s="321" t="s">
        <v>314</v>
      </c>
    </row>
    <row r="133" spans="1:3" ht="63.75" x14ac:dyDescent="0.2">
      <c r="A133" s="317" t="s">
        <v>1348</v>
      </c>
      <c r="B133" s="324" t="s">
        <v>4425</v>
      </c>
      <c r="C133" s="321" t="s">
        <v>314</v>
      </c>
    </row>
    <row r="134" spans="1:3" ht="63.75" x14ac:dyDescent="0.2">
      <c r="A134" s="317" t="s">
        <v>2212</v>
      </c>
      <c r="B134" s="324" t="s">
        <v>4426</v>
      </c>
      <c r="C134" s="321" t="s">
        <v>314</v>
      </c>
    </row>
    <row r="135" spans="1:3" ht="63.75" x14ac:dyDescent="0.2">
      <c r="A135" s="317" t="s">
        <v>1349</v>
      </c>
      <c r="B135" s="324" t="s">
        <v>4427</v>
      </c>
      <c r="C135" s="321" t="s">
        <v>314</v>
      </c>
    </row>
    <row r="136" spans="1:3" ht="63.75" x14ac:dyDescent="0.2">
      <c r="A136" s="317" t="s">
        <v>2213</v>
      </c>
      <c r="B136" s="324" t="s">
        <v>4428</v>
      </c>
      <c r="C136" s="321" t="s">
        <v>314</v>
      </c>
    </row>
    <row r="137" spans="1:3" ht="63.75" x14ac:dyDescent="0.2">
      <c r="A137" s="317" t="s">
        <v>1350</v>
      </c>
      <c r="B137" s="324" t="s">
        <v>4429</v>
      </c>
      <c r="C137" s="321" t="s">
        <v>314</v>
      </c>
    </row>
    <row r="138" spans="1:3" x14ac:dyDescent="0.2">
      <c r="A138" s="317" t="s">
        <v>3126</v>
      </c>
      <c r="B138" s="318" t="e">
        <f>SURFfrac.sA*CORRvolat.sA+SUBSURFfrac.sA*(EXP((-1/FRACs.sdA)*DEPTHsubsurf.sA*(1/FRACs.sdA)*DEPTH.sA)/(1-EXP((-1/0.1)*DEPTH.sA)))</f>
        <v>#NAME?</v>
      </c>
      <c r="C138" s="321" t="s">
        <v>314</v>
      </c>
    </row>
    <row r="139" spans="1:3" x14ac:dyDescent="0.2">
      <c r="A139" s="317" t="s">
        <v>2764</v>
      </c>
      <c r="B139" s="318" t="e">
        <f>SURFfrac.sM*CORRvolat.sM+SUBSURFfrac.sM*(EXP((-1/FRACs.sdM)*DEPTHsubsurf.sM*(1/FRACs.sdM)*DEPTH.sM)/(1-EXP((-1/0.1)*DEPTH.sM)))</f>
        <v>#NAME?</v>
      </c>
      <c r="C139" s="321" t="s">
        <v>314</v>
      </c>
    </row>
    <row r="140" spans="1:3" x14ac:dyDescent="0.2">
      <c r="A140" s="317" t="s">
        <v>3436</v>
      </c>
      <c r="B140" s="318" t="e">
        <f>SURFfrac.sT*CORRvolat.sT+SUBSURFfrac.sT*(EXP((-1/FRACs.sdT)*DEPTHsubsurf.sT*(1/FRACs.sdT)*DEPTH.sT)/(1-EXP((-1/0.1)*DEPTH.sT)))</f>
        <v>#NAME?</v>
      </c>
      <c r="C140" s="321" t="s">
        <v>314</v>
      </c>
    </row>
    <row r="141" spans="1:3" x14ac:dyDescent="0.2">
      <c r="A141" s="317" t="s">
        <v>2169</v>
      </c>
      <c r="B141" s="318">
        <f>(1/0.1)*DEPTH.s1C/(1-EXP((-1/0.1)*DEPTH.s1C))</f>
        <v>1.2707470412683992</v>
      </c>
      <c r="C141" s="321" t="s">
        <v>314</v>
      </c>
    </row>
    <row r="142" spans="1:3" x14ac:dyDescent="0.2">
      <c r="A142" s="317" t="s">
        <v>1261</v>
      </c>
      <c r="B142" s="318">
        <f>(1/0.1)*DEPTH.s1R/(1-EXP((-1/0.1)*DEPTH.s1R))</f>
        <v>1.2707470412683992</v>
      </c>
      <c r="C142" s="321" t="s">
        <v>314</v>
      </c>
    </row>
    <row r="143" spans="1:3" x14ac:dyDescent="0.2">
      <c r="A143" s="317" t="s">
        <v>2170</v>
      </c>
      <c r="B143" s="318">
        <f>(1/0.1)*DEPTH.s2C/(1-EXP((-1/0.1)*DEPTH.s2C))</f>
        <v>2.3130352854993315</v>
      </c>
      <c r="C143" s="321" t="s">
        <v>314</v>
      </c>
    </row>
    <row r="144" spans="1:3" x14ac:dyDescent="0.2">
      <c r="A144" s="317" t="s">
        <v>1263</v>
      </c>
      <c r="B144" s="318">
        <f>(1/0.1)*DEPTH.s2R/(1-EXP((-1/0.1)*DEPTH.s2R))</f>
        <v>2.3130352854993315</v>
      </c>
      <c r="C144" s="321" t="s">
        <v>314</v>
      </c>
    </row>
    <row r="145" spans="1:3" x14ac:dyDescent="0.2">
      <c r="A145" s="317" t="s">
        <v>2171</v>
      </c>
      <c r="B145" s="318">
        <f>(1/0.1)*DEPTH.s3C/(1-EXP((-1/0.1)*DEPTH.s3C))</f>
        <v>1.2707470412683992</v>
      </c>
      <c r="C145" s="321" t="s">
        <v>314</v>
      </c>
    </row>
    <row r="146" spans="1:3" x14ac:dyDescent="0.2">
      <c r="A146" s="317" t="s">
        <v>1264</v>
      </c>
      <c r="B146" s="318">
        <f>(1/0.1)*DEPTH.s3R/(1-EXP((-1/0.1)*DEPTH.s3R))</f>
        <v>1.2707470412683992</v>
      </c>
      <c r="C146" s="321" t="s">
        <v>314</v>
      </c>
    </row>
    <row r="147" spans="1:3" x14ac:dyDescent="0.2">
      <c r="A147" s="317" t="s">
        <v>3108</v>
      </c>
      <c r="B147" s="318">
        <f>(1/0.1)*DEPTH.sA/(1-EXP((-1/0.1)*DEPTH.sA))</f>
        <v>1.2707470412683992</v>
      </c>
      <c r="C147" s="321" t="s">
        <v>314</v>
      </c>
    </row>
    <row r="148" spans="1:3" x14ac:dyDescent="0.2">
      <c r="A148" s="317" t="s">
        <v>2736</v>
      </c>
      <c r="B148" s="318">
        <f>(1/0.1)*DEPTH.sM/(1-EXP((-1/0.1)*DEPTH.sM))</f>
        <v>1.2707470412683992</v>
      </c>
      <c r="C148" s="321" t="s">
        <v>314</v>
      </c>
    </row>
    <row r="149" spans="1:3" x14ac:dyDescent="0.2">
      <c r="A149" s="317" t="s">
        <v>3420</v>
      </c>
      <c r="B149" s="318">
        <f>(1/0.1)*DEPTH.sT/(1-EXP((-1/0.1)*DEPTH.sT))</f>
        <v>1.2707470412683992</v>
      </c>
      <c r="C149" s="321" t="s">
        <v>314</v>
      </c>
    </row>
    <row r="150" spans="1:3" ht="38.25" x14ac:dyDescent="0.2">
      <c r="A150" s="317" t="s">
        <v>568</v>
      </c>
      <c r="B150" s="324" t="s">
        <v>4430</v>
      </c>
      <c r="C150" s="317" t="s">
        <v>314</v>
      </c>
    </row>
    <row r="151" spans="1:3" ht="15" x14ac:dyDescent="0.2">
      <c r="A151" s="317" t="s">
        <v>4431</v>
      </c>
      <c r="B151" s="318">
        <f>(KDEPmean.A*HEIGHT.aA)*(SYSTEMAREA.A*AREAFRAC.sA)</f>
        <v>136287023657.60262</v>
      </c>
      <c r="C151" s="321" t="s">
        <v>1089</v>
      </c>
    </row>
    <row r="152" spans="1:3" ht="15" x14ac:dyDescent="0.2">
      <c r="A152" s="317" t="s">
        <v>4432</v>
      </c>
      <c r="B152" s="318">
        <f>(KDEPmean.A*HEIGHT.aA)*(SYSTEMAREA.A*AREAFRAC.wA)</f>
        <v>204430535486.40393</v>
      </c>
      <c r="C152" s="321" t="s">
        <v>1089</v>
      </c>
    </row>
    <row r="153" spans="1:3" ht="15" x14ac:dyDescent="0.2">
      <c r="A153" s="317" t="s">
        <v>4433</v>
      </c>
      <c r="B153" s="318" t="e">
        <f>(KDEPmean.C*HEIGHT.aC)*(SYSTEMAREA.C*AREAFRAC.s1C)</f>
        <v>#NAME?</v>
      </c>
      <c r="C153" s="317" t="s">
        <v>1089</v>
      </c>
    </row>
    <row r="154" spans="1:3" ht="15" x14ac:dyDescent="0.2">
      <c r="A154" s="317" t="s">
        <v>4434</v>
      </c>
      <c r="B154" s="318" t="e">
        <f>(KDEPmean.C*HEIGHT.aC)*(SYSTEMAREA.C*AREAFRAC.s2C)</f>
        <v>#NAME?</v>
      </c>
      <c r="C154" s="317" t="s">
        <v>1089</v>
      </c>
    </row>
    <row r="155" spans="1:3" ht="15" x14ac:dyDescent="0.2">
      <c r="A155" s="317" t="s">
        <v>4435</v>
      </c>
      <c r="B155" s="318" t="e">
        <f>(KDEPmean.C*HEIGHT.aC)*(SYSTEMAREA.C*AREAFRAC.s3C)</f>
        <v>#NAME?</v>
      </c>
      <c r="C155" s="317" t="s">
        <v>1089</v>
      </c>
    </row>
    <row r="156" spans="1:3" ht="15" x14ac:dyDescent="0.2">
      <c r="A156" s="317" t="s">
        <v>4436</v>
      </c>
      <c r="B156" s="318" t="e">
        <f>(KDEPmean.C*HEIGHT.aC)*(SYSTEMAREA.C*AREAFRAC.w0C)</f>
        <v>#NAME?</v>
      </c>
      <c r="C156" s="317" t="s">
        <v>1089</v>
      </c>
    </row>
    <row r="157" spans="1:3" ht="15" x14ac:dyDescent="0.2">
      <c r="A157" s="317" t="s">
        <v>4437</v>
      </c>
      <c r="B157" s="318" t="e">
        <f>(KDEPmean.C*HEIGHT.aC)*(SYSTEMAREA.C*AREAFRAC.w1C)</f>
        <v>#NAME?</v>
      </c>
      <c r="C157" s="317" t="s">
        <v>1089</v>
      </c>
    </row>
    <row r="158" spans="1:3" ht="15" x14ac:dyDescent="0.2">
      <c r="A158" s="317" t="s">
        <v>4438</v>
      </c>
      <c r="B158" s="318" t="e">
        <f>(KDEPmean.C*HEIGHT.aC)*(SYSTEMAREA.C*AREAFRAC.w2C)</f>
        <v>#NAME?</v>
      </c>
      <c r="C158" s="317" t="s">
        <v>1089</v>
      </c>
    </row>
    <row r="159" spans="1:3" ht="15" x14ac:dyDescent="0.2">
      <c r="A159" s="317" t="s">
        <v>4439</v>
      </c>
      <c r="B159" s="318">
        <f>(KDEPmean.M*HEIGHT.aM)*(SYSTEMAREA.M*AREAFRAC.sM)</f>
        <v>306734653218.52057</v>
      </c>
      <c r="C159" s="321" t="s">
        <v>1089</v>
      </c>
    </row>
    <row r="160" spans="1:3" ht="15" x14ac:dyDescent="0.2">
      <c r="A160" s="317" t="s">
        <v>4440</v>
      </c>
      <c r="B160" s="318">
        <f>(KDEPmean.M*HEIGHT.aM)*(SYSTEMAREA.M*AREAFRAC.wM)</f>
        <v>306734653218.52057</v>
      </c>
      <c r="C160" s="321" t="s">
        <v>1089</v>
      </c>
    </row>
    <row r="161" spans="1:3" ht="15" x14ac:dyDescent="0.2">
      <c r="A161" s="317" t="s">
        <v>4441</v>
      </c>
      <c r="B161" s="325" t="e">
        <f>(KDEPmean.R*HEIGHT.aR)*(SYSTEMAREA.R*AREAFRAC.s1R)</f>
        <v>#NAME?</v>
      </c>
      <c r="C161" s="317" t="s">
        <v>1089</v>
      </c>
    </row>
    <row r="162" spans="1:3" ht="15" x14ac:dyDescent="0.2">
      <c r="A162" s="317" t="s">
        <v>4442</v>
      </c>
      <c r="B162" s="325" t="e">
        <f>(KDEPmean.R*HEIGHT.aR)*(SYSTEMAREA.R*AREAFRAC.s2R)</f>
        <v>#NAME?</v>
      </c>
      <c r="C162" s="317" t="s">
        <v>1089</v>
      </c>
    </row>
    <row r="163" spans="1:3" ht="15" x14ac:dyDescent="0.2">
      <c r="A163" s="317" t="s">
        <v>4443</v>
      </c>
      <c r="B163" s="325" t="e">
        <f>(KDEPmean.R*HEIGHT.aR)*(SYSTEMAREA.R*AREAFRAC.s3R)</f>
        <v>#NAME?</v>
      </c>
      <c r="C163" s="317" t="s">
        <v>1089</v>
      </c>
    </row>
    <row r="164" spans="1:3" ht="15" x14ac:dyDescent="0.2">
      <c r="A164" s="317" t="s">
        <v>4444</v>
      </c>
      <c r="B164" s="325" t="e">
        <f>(KDEPmean.R*HEIGHT.aR)*(SYSTEMAREA.R*AREAFRAC.w0R)</f>
        <v>#NAME?</v>
      </c>
      <c r="C164" s="317" t="s">
        <v>1089</v>
      </c>
    </row>
    <row r="165" spans="1:3" ht="15" x14ac:dyDescent="0.2">
      <c r="A165" s="317" t="s">
        <v>4445</v>
      </c>
      <c r="B165" s="325" t="e">
        <f>(KDEPmean.R*HEIGHT.aR)*(SYSTEMAREA.R*AREAFRAC.w1R)</f>
        <v>#NAME?</v>
      </c>
      <c r="C165" s="317" t="s">
        <v>1089</v>
      </c>
    </row>
    <row r="166" spans="1:3" ht="15" x14ac:dyDescent="0.2">
      <c r="A166" s="317" t="s">
        <v>4446</v>
      </c>
      <c r="B166" s="325" t="e">
        <f>(KDEPmean.R*HEIGHT.aR)*(SYSTEMAREA.R*AREAFRAC.w2R)</f>
        <v>#NAME?</v>
      </c>
      <c r="C166" s="317" t="s">
        <v>1089</v>
      </c>
    </row>
    <row r="167" spans="1:3" ht="15" x14ac:dyDescent="0.2">
      <c r="A167" s="317" t="s">
        <v>4447</v>
      </c>
      <c r="B167" s="318">
        <f>(KDEPmean.T*HEIGHT.aT)*(SYSTEMAREA.T*AREAFRAC.sT)</f>
        <v>309305706614.83704</v>
      </c>
      <c r="C167" s="321" t="s">
        <v>1089</v>
      </c>
    </row>
    <row r="168" spans="1:3" ht="15" x14ac:dyDescent="0.2">
      <c r="A168" s="317" t="s">
        <v>4448</v>
      </c>
      <c r="B168" s="318">
        <f>(KDEPmean.T*HEIGHT.aT)*(SYSTEMAREA.T*AREAFRAC.wT)</f>
        <v>721713315434.61963</v>
      </c>
      <c r="C168" s="321" t="s">
        <v>1089</v>
      </c>
    </row>
    <row r="169" spans="1:3" x14ac:dyDescent="0.2">
      <c r="A169" s="319" t="s">
        <v>2001</v>
      </c>
      <c r="B169" s="318">
        <v>0.05</v>
      </c>
      <c r="C169" s="321" t="s">
        <v>843</v>
      </c>
    </row>
    <row r="170" spans="1:3" x14ac:dyDescent="0.2">
      <c r="A170" s="319" t="s">
        <v>1034</v>
      </c>
      <c r="B170" s="321">
        <v>0.05</v>
      </c>
      <c r="C170" s="317" t="s">
        <v>843</v>
      </c>
    </row>
    <row r="171" spans="1:3" x14ac:dyDescent="0.2">
      <c r="A171" s="319" t="s">
        <v>2003</v>
      </c>
      <c r="B171" s="318">
        <v>0.2</v>
      </c>
      <c r="C171" s="321" t="s">
        <v>843</v>
      </c>
    </row>
    <row r="172" spans="1:3" x14ac:dyDescent="0.2">
      <c r="A172" s="319" t="s">
        <v>1036</v>
      </c>
      <c r="B172" s="321">
        <v>0.2</v>
      </c>
      <c r="C172" s="317" t="s">
        <v>843</v>
      </c>
    </row>
    <row r="173" spans="1:3" x14ac:dyDescent="0.2">
      <c r="A173" s="319" t="s">
        <v>2004</v>
      </c>
      <c r="B173" s="318">
        <v>0.05</v>
      </c>
      <c r="C173" s="321" t="s">
        <v>843</v>
      </c>
    </row>
    <row r="174" spans="1:3" x14ac:dyDescent="0.2">
      <c r="A174" s="319" t="s">
        <v>1038</v>
      </c>
      <c r="B174" s="321">
        <v>0.05</v>
      </c>
      <c r="C174" s="317" t="s">
        <v>843</v>
      </c>
    </row>
    <row r="175" spans="1:3" x14ac:dyDescent="0.2">
      <c r="A175" s="319" t="s">
        <v>3026</v>
      </c>
      <c r="B175" s="318">
        <v>0.05</v>
      </c>
      <c r="C175" s="317" t="s">
        <v>843</v>
      </c>
    </row>
    <row r="176" spans="1:3" x14ac:dyDescent="0.2">
      <c r="A176" s="319" t="s">
        <v>1999</v>
      </c>
      <c r="B176" s="318">
        <v>3</v>
      </c>
      <c r="C176" s="321" t="s">
        <v>1028</v>
      </c>
    </row>
    <row r="177" spans="1:3" x14ac:dyDescent="0.2">
      <c r="A177" s="319" t="s">
        <v>1030</v>
      </c>
      <c r="B177" s="318">
        <v>3</v>
      </c>
      <c r="C177" s="317" t="s">
        <v>1028</v>
      </c>
    </row>
    <row r="178" spans="1:3" x14ac:dyDescent="0.2">
      <c r="A178" s="319" t="s">
        <v>2000</v>
      </c>
      <c r="B178" s="318">
        <v>3</v>
      </c>
      <c r="C178" s="321" t="s">
        <v>1028</v>
      </c>
    </row>
    <row r="179" spans="1:3" x14ac:dyDescent="0.2">
      <c r="A179" s="319" t="s">
        <v>1032</v>
      </c>
      <c r="B179" s="318">
        <v>3</v>
      </c>
      <c r="C179" s="317" t="s">
        <v>1028</v>
      </c>
    </row>
    <row r="180" spans="1:3" x14ac:dyDescent="0.2">
      <c r="A180" s="319" t="s">
        <v>3025</v>
      </c>
      <c r="B180" s="318">
        <v>3</v>
      </c>
      <c r="C180" s="317" t="s">
        <v>1028</v>
      </c>
    </row>
    <row r="181" spans="1:3" x14ac:dyDescent="0.2">
      <c r="A181" s="319" t="s">
        <v>2601</v>
      </c>
      <c r="B181" s="318">
        <v>3</v>
      </c>
      <c r="C181" s="317" t="s">
        <v>1028</v>
      </c>
    </row>
    <row r="182" spans="1:3" x14ac:dyDescent="0.2">
      <c r="A182" s="319" t="s">
        <v>3343</v>
      </c>
      <c r="B182" s="321">
        <v>3</v>
      </c>
      <c r="C182" s="317" t="s">
        <v>1028</v>
      </c>
    </row>
    <row r="183" spans="1:3" x14ac:dyDescent="0.2">
      <c r="A183" s="319" t="s">
        <v>2603</v>
      </c>
      <c r="B183" s="318">
        <v>0.05</v>
      </c>
      <c r="C183" s="317" t="s">
        <v>843</v>
      </c>
    </row>
    <row r="184" spans="1:3" x14ac:dyDescent="0.2">
      <c r="A184" s="319" t="s">
        <v>3344</v>
      </c>
      <c r="B184" s="318">
        <v>0.05</v>
      </c>
      <c r="C184" s="317" t="s">
        <v>843</v>
      </c>
    </row>
    <row r="185" spans="1:3" x14ac:dyDescent="0.2">
      <c r="A185" s="319" t="s">
        <v>1994</v>
      </c>
      <c r="B185" s="318">
        <f>DEPTHlake.C</f>
        <v>100</v>
      </c>
      <c r="C185" s="317" t="s">
        <v>843</v>
      </c>
    </row>
    <row r="186" spans="1:3" x14ac:dyDescent="0.2">
      <c r="A186" s="319" t="s">
        <v>1021</v>
      </c>
      <c r="B186" s="318">
        <f>DEPTHlake.R</f>
        <v>100</v>
      </c>
      <c r="C186" s="317" t="s">
        <v>843</v>
      </c>
    </row>
    <row r="187" spans="1:3" x14ac:dyDescent="0.2">
      <c r="A187" s="319" t="s">
        <v>1995</v>
      </c>
      <c r="B187" s="318">
        <f>DEPTHfreshwater.C</f>
        <v>3</v>
      </c>
      <c r="C187" s="321" t="s">
        <v>843</v>
      </c>
    </row>
    <row r="188" spans="1:3" x14ac:dyDescent="0.2">
      <c r="A188" s="319" t="s">
        <v>1023</v>
      </c>
      <c r="B188" s="318">
        <f>DEPTHfreshwater.R</f>
        <v>3</v>
      </c>
      <c r="C188" s="317" t="s">
        <v>843</v>
      </c>
    </row>
    <row r="189" spans="1:3" x14ac:dyDescent="0.2">
      <c r="A189" s="319" t="s">
        <v>3022</v>
      </c>
      <c r="B189" s="318">
        <v>100</v>
      </c>
      <c r="C189" s="317" t="s">
        <v>843</v>
      </c>
    </row>
    <row r="190" spans="1:3" x14ac:dyDescent="0.2">
      <c r="A190" s="319" t="s">
        <v>1996</v>
      </c>
      <c r="B190" s="318">
        <v>100</v>
      </c>
      <c r="C190" s="321" t="s">
        <v>843</v>
      </c>
    </row>
    <row r="191" spans="1:3" x14ac:dyDescent="0.2">
      <c r="A191" s="319" t="s">
        <v>2597</v>
      </c>
      <c r="B191" s="318">
        <v>100</v>
      </c>
      <c r="C191" s="317" t="s">
        <v>843</v>
      </c>
    </row>
    <row r="192" spans="1:3" x14ac:dyDescent="0.2">
      <c r="A192" s="319" t="s">
        <v>1025</v>
      </c>
      <c r="B192" s="318">
        <v>10</v>
      </c>
      <c r="C192" s="317" t="s">
        <v>843</v>
      </c>
    </row>
    <row r="193" spans="1:3" x14ac:dyDescent="0.2">
      <c r="A193" s="319" t="s">
        <v>3341</v>
      </c>
      <c r="B193" s="321">
        <v>100</v>
      </c>
      <c r="C193" s="317" t="s">
        <v>843</v>
      </c>
    </row>
    <row r="194" spans="1:3" x14ac:dyDescent="0.2">
      <c r="A194" s="319" t="s">
        <v>3024</v>
      </c>
      <c r="B194" s="318">
        <v>3000</v>
      </c>
      <c r="C194" s="317" t="s">
        <v>843</v>
      </c>
    </row>
    <row r="195" spans="1:3" x14ac:dyDescent="0.2">
      <c r="A195" s="319" t="s">
        <v>2599</v>
      </c>
      <c r="B195" s="318">
        <v>3000</v>
      </c>
      <c r="C195" s="317" t="s">
        <v>843</v>
      </c>
    </row>
    <row r="196" spans="1:3" x14ac:dyDescent="0.2">
      <c r="A196" s="319" t="s">
        <v>3342</v>
      </c>
      <c r="B196" s="318">
        <v>3000</v>
      </c>
      <c r="C196" s="317" t="s">
        <v>843</v>
      </c>
    </row>
    <row r="197" spans="1:3" x14ac:dyDescent="0.2">
      <c r="A197" s="317" t="s">
        <v>4449</v>
      </c>
      <c r="B197" s="318">
        <v>0.5</v>
      </c>
      <c r="C197" s="319" t="s">
        <v>843</v>
      </c>
    </row>
    <row r="198" spans="1:3" x14ac:dyDescent="0.2">
      <c r="A198" s="317" t="s">
        <v>4450</v>
      </c>
      <c r="B198" s="318">
        <v>0.5</v>
      </c>
      <c r="C198" s="319" t="s">
        <v>843</v>
      </c>
    </row>
    <row r="199" spans="1:3" x14ac:dyDescent="0.2">
      <c r="A199" s="317" t="s">
        <v>4451</v>
      </c>
      <c r="B199" s="318">
        <v>0.5</v>
      </c>
      <c r="C199" s="319" t="s">
        <v>843</v>
      </c>
    </row>
    <row r="200" spans="1:3" x14ac:dyDescent="0.2">
      <c r="A200" s="317" t="s">
        <v>4452</v>
      </c>
      <c r="B200" s="318">
        <v>0.5</v>
      </c>
      <c r="C200" s="319" t="s">
        <v>843</v>
      </c>
    </row>
    <row r="201" spans="1:3" x14ac:dyDescent="0.2">
      <c r="A201" s="317" t="s">
        <v>4453</v>
      </c>
      <c r="B201" s="318">
        <v>0.5</v>
      </c>
      <c r="C201" s="319" t="s">
        <v>843</v>
      </c>
    </row>
    <row r="202" spans="1:3" x14ac:dyDescent="0.2">
      <c r="A202" s="317" t="s">
        <v>4454</v>
      </c>
      <c r="B202" s="318">
        <v>0.5</v>
      </c>
      <c r="C202" s="319" t="s">
        <v>843</v>
      </c>
    </row>
    <row r="203" spans="1:3" x14ac:dyDescent="0.2">
      <c r="A203" s="321" t="s">
        <v>773</v>
      </c>
      <c r="B203" s="321">
        <v>3</v>
      </c>
      <c r="C203" s="321" t="s">
        <v>302</v>
      </c>
    </row>
    <row r="204" spans="1:3" x14ac:dyDescent="0.2">
      <c r="A204" s="321" t="s">
        <v>722</v>
      </c>
      <c r="B204" s="321">
        <v>3</v>
      </c>
      <c r="C204" s="321" t="s">
        <v>302</v>
      </c>
    </row>
    <row r="205" spans="1:3" x14ac:dyDescent="0.2">
      <c r="A205" s="321" t="s">
        <v>772</v>
      </c>
      <c r="B205" s="321">
        <v>100</v>
      </c>
      <c r="C205" s="321" t="s">
        <v>302</v>
      </c>
    </row>
    <row r="206" spans="1:3" x14ac:dyDescent="0.2">
      <c r="A206" s="321" t="s">
        <v>720</v>
      </c>
      <c r="B206" s="321">
        <v>100</v>
      </c>
      <c r="C206" s="321" t="s">
        <v>302</v>
      </c>
    </row>
    <row r="207" spans="1:3" x14ac:dyDescent="0.2">
      <c r="A207" s="317" t="s">
        <v>4455</v>
      </c>
      <c r="B207" s="318">
        <v>0.1</v>
      </c>
      <c r="C207" s="319" t="s">
        <v>843</v>
      </c>
    </row>
    <row r="208" spans="1:3" x14ac:dyDescent="0.2">
      <c r="A208" s="317" t="s">
        <v>4456</v>
      </c>
      <c r="B208" s="318">
        <v>0.1</v>
      </c>
      <c r="C208" s="319" t="s">
        <v>843</v>
      </c>
    </row>
    <row r="209" spans="1:3" x14ac:dyDescent="0.2">
      <c r="A209" s="317" t="s">
        <v>4457</v>
      </c>
      <c r="B209" s="318">
        <v>0.1</v>
      </c>
      <c r="C209" s="319" t="s">
        <v>843</v>
      </c>
    </row>
    <row r="210" spans="1:3" x14ac:dyDescent="0.2">
      <c r="A210" s="317" t="s">
        <v>4458</v>
      </c>
      <c r="B210" s="318">
        <v>0.1</v>
      </c>
      <c r="C210" s="319" t="s">
        <v>843</v>
      </c>
    </row>
    <row r="211" spans="1:3" x14ac:dyDescent="0.2">
      <c r="A211" s="317" t="s">
        <v>4459</v>
      </c>
      <c r="B211" s="318">
        <v>0.1</v>
      </c>
      <c r="C211" s="319" t="s">
        <v>843</v>
      </c>
    </row>
    <row r="212" spans="1:3" x14ac:dyDescent="0.2">
      <c r="A212" s="317" t="s">
        <v>4460</v>
      </c>
      <c r="B212" s="318">
        <v>0.1</v>
      </c>
      <c r="C212" s="319" t="s">
        <v>843</v>
      </c>
    </row>
    <row r="213" spans="1:3" x14ac:dyDescent="0.2">
      <c r="A213" s="317" t="s">
        <v>4461</v>
      </c>
      <c r="B213" s="318">
        <v>0.1</v>
      </c>
      <c r="C213" s="317" t="s">
        <v>314</v>
      </c>
    </row>
    <row r="214" spans="1:3" x14ac:dyDescent="0.2">
      <c r="A214" s="317" t="s">
        <v>4462</v>
      </c>
      <c r="B214" s="318">
        <v>0.1</v>
      </c>
      <c r="C214" s="317" t="s">
        <v>314</v>
      </c>
    </row>
    <row r="215" spans="1:3" x14ac:dyDescent="0.2">
      <c r="A215" s="317" t="s">
        <v>4463</v>
      </c>
      <c r="B215" s="318">
        <v>0.1</v>
      </c>
      <c r="C215" s="317" t="s">
        <v>314</v>
      </c>
    </row>
    <row r="216" spans="1:3" ht="15" x14ac:dyDescent="0.2">
      <c r="A216" s="317" t="s">
        <v>4464</v>
      </c>
      <c r="B216" s="318">
        <f>((kwsd.water.wC*kwsd.sed.sdC)/(kwsd.water.wC+kwsd.sed.sdC))/Ksdw1.C*(SYSTEMAREA.C*AREAFRAC.w1C)</f>
        <v>0.11101272619978034</v>
      </c>
      <c r="C216" s="317" t="s">
        <v>1089</v>
      </c>
    </row>
    <row r="217" spans="1:3" ht="15" x14ac:dyDescent="0.2">
      <c r="A217" s="317" t="s">
        <v>4465</v>
      </c>
      <c r="B217" s="318">
        <f>((kwsd.water.wR*kwsd.sed.sdR)/(kwsd.water.wR+kwsd.sed.sdR))/Ksdw1.R*(SYSTEMAREA.R*AREAFRAC.w1R)</f>
        <v>7.279215003409163E-3</v>
      </c>
      <c r="C217" s="317" t="s">
        <v>1089</v>
      </c>
    </row>
    <row r="218" spans="1:3" ht="15" x14ac:dyDescent="0.2">
      <c r="A218" s="317" t="s">
        <v>4466</v>
      </c>
      <c r="B218" s="318">
        <f>((kwsd.water.wC*kwsd.sed.sdC)/(kwsd.water.wC+kwsd.sed.sdC))/Ksdw2.C*(SYSTEMAREA.C*AREAFRAC.w2C)</f>
        <v>4.3003670704911752</v>
      </c>
      <c r="C218" s="317" t="s">
        <v>1089</v>
      </c>
    </row>
    <row r="219" spans="1:3" ht="15" x14ac:dyDescent="0.2">
      <c r="A219" s="317" t="s">
        <v>4467</v>
      </c>
      <c r="B219" s="318">
        <f>((kwsd.water.wR*kwsd.sed.sdR)/(kwsd.water.wR+kwsd.sed.sdR))/Ksdw2.R*(SYSTEMAREA.R*AREAFRAC.w2R)</f>
        <v>1.1580641702616139E-3</v>
      </c>
      <c r="C219" s="317" t="s">
        <v>1089</v>
      </c>
    </row>
    <row r="220" spans="1:3" ht="15" x14ac:dyDescent="0.2">
      <c r="A220" s="317" t="s">
        <v>4468</v>
      </c>
      <c r="B220" s="318">
        <f>((kwsd.water.wA*kwsd.sed.sdA)/(kwsd.water.wA+kwsd.sed.sdA))/Ksdw.A*(SYSTEMAREA.A*AREAFRAC.wA)</f>
        <v>29.530636341671119</v>
      </c>
      <c r="C220" s="321" t="s">
        <v>1089</v>
      </c>
    </row>
    <row r="221" spans="1:3" ht="15" x14ac:dyDescent="0.2">
      <c r="A221" s="317" t="s">
        <v>4469</v>
      </c>
      <c r="B221" s="318">
        <f>((kwsd.water.wM*kwsd.sed.sdM)/(kwsd.water.wM+kwsd.sed.sdM))/Ksdw.M*(SYSTEMAREA.M*AREAFRAC.wM)</f>
        <v>44.916202101457095</v>
      </c>
      <c r="C221" s="321" t="s">
        <v>1089</v>
      </c>
    </row>
    <row r="222" spans="1:3" ht="15" x14ac:dyDescent="0.2">
      <c r="A222" s="317" t="s">
        <v>4470</v>
      </c>
      <c r="B222" s="318">
        <f>((kwsd.water.wT*kwsd.sed.sdT)/(kwsd.water.wT+kwsd.sed.sdT))/Ksdw.T*(SYSTEMAREA.T*AREAFRAC.wT)</f>
        <v>103.35722719584892</v>
      </c>
      <c r="C222" s="321" t="s">
        <v>1089</v>
      </c>
    </row>
    <row r="223" spans="1:3" ht="15" x14ac:dyDescent="0.2">
      <c r="A223" s="317" t="s">
        <v>806</v>
      </c>
      <c r="B223" s="321">
        <f>0.0000257*SQRT(18)/SQRT(Molweight*1000)</f>
        <v>1.0498301389576135E-5</v>
      </c>
      <c r="C223" s="319" t="s">
        <v>807</v>
      </c>
    </row>
    <row r="224" spans="1:3" ht="15" x14ac:dyDescent="0.2">
      <c r="A224" s="317" t="s">
        <v>810</v>
      </c>
      <c r="B224" s="321">
        <f>0.000000002*SQRT(32)/SQRT(Molweight*1000)</f>
        <v>1.0893179133152929E-9</v>
      </c>
      <c r="C224" s="319" t="s">
        <v>807</v>
      </c>
    </row>
    <row r="225" spans="1:3" x14ac:dyDescent="0.2">
      <c r="A225" s="317" t="s">
        <v>4471</v>
      </c>
      <c r="B225" s="318">
        <v>0.25</v>
      </c>
      <c r="C225" s="317" t="s">
        <v>314</v>
      </c>
    </row>
    <row r="226" spans="1:3" x14ac:dyDescent="0.2">
      <c r="A226" s="317" t="s">
        <v>4472</v>
      </c>
      <c r="B226" s="318">
        <v>0.25</v>
      </c>
      <c r="C226" s="317" t="s">
        <v>314</v>
      </c>
    </row>
    <row r="227" spans="1:3" x14ac:dyDescent="0.2">
      <c r="A227" s="317" t="s">
        <v>4473</v>
      </c>
      <c r="B227" s="318">
        <v>0.25</v>
      </c>
      <c r="C227" s="317" t="s">
        <v>314</v>
      </c>
    </row>
    <row r="228" spans="1:3" x14ac:dyDescent="0.2">
      <c r="A228" s="317" t="s">
        <v>4474</v>
      </c>
      <c r="B228" s="318">
        <v>0.25</v>
      </c>
      <c r="C228" s="317" t="s">
        <v>314</v>
      </c>
    </row>
    <row r="229" spans="1:3" x14ac:dyDescent="0.2">
      <c r="A229" s="317" t="s">
        <v>4475</v>
      </c>
      <c r="B229" s="318">
        <v>0.25</v>
      </c>
      <c r="C229" s="317" t="s">
        <v>314</v>
      </c>
    </row>
    <row r="230" spans="1:3" x14ac:dyDescent="0.2">
      <c r="A230" s="317" t="s">
        <v>4476</v>
      </c>
      <c r="B230" s="318">
        <v>0.25</v>
      </c>
      <c r="C230" s="317" t="s">
        <v>314</v>
      </c>
    </row>
    <row r="231" spans="1:3" ht="15" x14ac:dyDescent="0.2">
      <c r="A231" s="319" t="s">
        <v>3093</v>
      </c>
      <c r="B231" s="318">
        <f>AEROSOLdeprate.A*(FRaerw.aA+FRaers.aA)</f>
        <v>1E-3</v>
      </c>
      <c r="C231" s="320" t="s">
        <v>1226</v>
      </c>
    </row>
    <row r="232" spans="1:3" ht="15" x14ac:dyDescent="0.2">
      <c r="A232" s="319" t="s">
        <v>2146</v>
      </c>
      <c r="B232" s="318">
        <f>AEROSOLdeprate.C*(FRaerw.aC+FRaers.aC)</f>
        <v>9.9999999999957675E-4</v>
      </c>
      <c r="C232" s="319" t="s">
        <v>1226</v>
      </c>
    </row>
    <row r="233" spans="1:3" ht="15" x14ac:dyDescent="0.2">
      <c r="A233" s="319" t="s">
        <v>2716</v>
      </c>
      <c r="B233" s="318">
        <f>AEROSOLdeprate.M*(FRaerw.aM+FRaers.aM)</f>
        <v>9.9999999999957675E-4</v>
      </c>
      <c r="C233" s="320" t="s">
        <v>1226</v>
      </c>
    </row>
    <row r="234" spans="1:3" ht="15" x14ac:dyDescent="0.2">
      <c r="A234" s="319" t="s">
        <v>1225</v>
      </c>
      <c r="B234" s="318">
        <f>AEROSOLdeprate.R*(FRaerw.aR+FRaers.aR)</f>
        <v>9.9999999999957675E-4</v>
      </c>
      <c r="C234" s="319" t="s">
        <v>1226</v>
      </c>
    </row>
    <row r="235" spans="1:3" ht="15" x14ac:dyDescent="0.2">
      <c r="A235" s="319" t="s">
        <v>3405</v>
      </c>
      <c r="B235" s="318">
        <f>AEROSOLdeprate.T*(FRaerw.aT+FRaers.aT)</f>
        <v>9.9999999999832211E-4</v>
      </c>
      <c r="C235" s="320" t="s">
        <v>1226</v>
      </c>
    </row>
    <row r="236" spans="1:3" ht="15" x14ac:dyDescent="0.2">
      <c r="A236" s="317" t="s">
        <v>4477</v>
      </c>
      <c r="B236" s="321">
        <v>0</v>
      </c>
      <c r="C236" s="317" t="s">
        <v>512</v>
      </c>
    </row>
    <row r="237" spans="1:3" ht="15" x14ac:dyDescent="0.2">
      <c r="A237" s="317" t="s">
        <v>4478</v>
      </c>
      <c r="B237" s="321">
        <v>0</v>
      </c>
      <c r="C237" s="317" t="s">
        <v>512</v>
      </c>
    </row>
    <row r="238" spans="1:3" ht="15" x14ac:dyDescent="0.2">
      <c r="A238" s="317" t="s">
        <v>4479</v>
      </c>
      <c r="B238" s="321">
        <v>0</v>
      </c>
      <c r="C238" s="317" t="s">
        <v>512</v>
      </c>
    </row>
    <row r="239" spans="1:3" ht="15" x14ac:dyDescent="0.2">
      <c r="A239" s="317" t="s">
        <v>4480</v>
      </c>
      <c r="B239" s="321">
        <v>10000</v>
      </c>
      <c r="C239" s="317" t="s">
        <v>512</v>
      </c>
    </row>
    <row r="240" spans="1:3" ht="15" x14ac:dyDescent="0.2">
      <c r="A240" s="317" t="s">
        <v>4481</v>
      </c>
      <c r="B240" s="321">
        <v>0</v>
      </c>
      <c r="C240" s="317" t="s">
        <v>512</v>
      </c>
    </row>
    <row r="241" spans="1:3" ht="15" x14ac:dyDescent="0.2">
      <c r="A241" s="317" t="s">
        <v>4482</v>
      </c>
      <c r="B241" s="321">
        <v>0</v>
      </c>
      <c r="C241" s="317" t="s">
        <v>512</v>
      </c>
    </row>
    <row r="242" spans="1:3" ht="15" x14ac:dyDescent="0.2">
      <c r="A242" s="317" t="s">
        <v>4483</v>
      </c>
      <c r="B242" s="321">
        <v>0</v>
      </c>
      <c r="C242" s="317" t="s">
        <v>512</v>
      </c>
    </row>
    <row r="243" spans="1:3" ht="15" x14ac:dyDescent="0.2">
      <c r="A243" s="317" t="s">
        <v>4484</v>
      </c>
      <c r="B243" s="321">
        <v>0</v>
      </c>
      <c r="C243" s="317" t="s">
        <v>512</v>
      </c>
    </row>
    <row r="244" spans="1:3" ht="15" x14ac:dyDescent="0.2">
      <c r="A244" s="317" t="s">
        <v>4485</v>
      </c>
      <c r="B244" s="321">
        <v>10000</v>
      </c>
      <c r="C244" s="317" t="s">
        <v>512</v>
      </c>
    </row>
    <row r="245" spans="1:3" ht="15" x14ac:dyDescent="0.2">
      <c r="A245" s="317" t="s">
        <v>4486</v>
      </c>
      <c r="B245" s="321">
        <v>0</v>
      </c>
      <c r="C245" s="317" t="s">
        <v>512</v>
      </c>
    </row>
    <row r="246" spans="1:3" ht="15" x14ac:dyDescent="0.2">
      <c r="A246" s="317" t="s">
        <v>4487</v>
      </c>
      <c r="B246" s="321">
        <v>0</v>
      </c>
      <c r="C246" s="317" t="s">
        <v>512</v>
      </c>
    </row>
    <row r="247" spans="1:3" ht="15" x14ac:dyDescent="0.2">
      <c r="A247" s="317" t="s">
        <v>4488</v>
      </c>
      <c r="B247" s="321">
        <v>0</v>
      </c>
      <c r="C247" s="317" t="s">
        <v>512</v>
      </c>
    </row>
    <row r="248" spans="1:3" ht="15" x14ac:dyDescent="0.2">
      <c r="A248" s="317" t="s">
        <v>4489</v>
      </c>
      <c r="B248" s="321">
        <v>0</v>
      </c>
      <c r="C248" s="317" t="s">
        <v>512</v>
      </c>
    </row>
    <row r="249" spans="1:3" ht="15" x14ac:dyDescent="0.2">
      <c r="A249" s="317" t="s">
        <v>4490</v>
      </c>
      <c r="B249" s="321">
        <v>0</v>
      </c>
      <c r="C249" s="317" t="s">
        <v>512</v>
      </c>
    </row>
    <row r="250" spans="1:3" ht="15" x14ac:dyDescent="0.2">
      <c r="A250" s="317" t="s">
        <v>4491</v>
      </c>
      <c r="B250" s="321">
        <v>0</v>
      </c>
      <c r="C250" s="317" t="s">
        <v>512</v>
      </c>
    </row>
    <row r="251" spans="1:3" ht="15" x14ac:dyDescent="0.2">
      <c r="A251" s="317" t="s">
        <v>4492</v>
      </c>
      <c r="B251" s="321">
        <v>10000</v>
      </c>
      <c r="C251" s="317" t="s">
        <v>512</v>
      </c>
    </row>
    <row r="252" spans="1:3" ht="15" x14ac:dyDescent="0.2">
      <c r="A252" s="317" t="s">
        <v>4493</v>
      </c>
      <c r="B252" s="321">
        <v>0</v>
      </c>
      <c r="C252" s="317" t="s">
        <v>512</v>
      </c>
    </row>
    <row r="253" spans="1:3" ht="15" x14ac:dyDescent="0.2">
      <c r="A253" s="317" t="s">
        <v>4494</v>
      </c>
      <c r="B253" s="321">
        <v>0</v>
      </c>
      <c r="C253" s="317" t="s">
        <v>512</v>
      </c>
    </row>
    <row r="254" spans="1:3" ht="15" x14ac:dyDescent="0.2">
      <c r="A254" s="317" t="s">
        <v>4495</v>
      </c>
      <c r="B254" s="321">
        <v>0</v>
      </c>
      <c r="C254" s="317" t="s">
        <v>512</v>
      </c>
    </row>
    <row r="255" spans="1:3" ht="15" x14ac:dyDescent="0.2">
      <c r="A255" s="317" t="s">
        <v>4496</v>
      </c>
      <c r="B255" s="321">
        <v>0</v>
      </c>
      <c r="C255" s="317" t="s">
        <v>512</v>
      </c>
    </row>
    <row r="256" spans="1:3" ht="15" x14ac:dyDescent="0.2">
      <c r="A256" s="317" t="s">
        <v>4497</v>
      </c>
      <c r="B256" s="321">
        <v>0</v>
      </c>
      <c r="C256" s="317" t="s">
        <v>512</v>
      </c>
    </row>
    <row r="257" spans="1:3" x14ac:dyDescent="0.2">
      <c r="A257" s="317" t="s">
        <v>652</v>
      </c>
      <c r="B257" s="321">
        <v>6</v>
      </c>
      <c r="C257" s="317" t="s">
        <v>653</v>
      </c>
    </row>
    <row r="258" spans="1:3" ht="15" x14ac:dyDescent="0.2">
      <c r="A258" s="321" t="s">
        <v>778</v>
      </c>
      <c r="B258" s="321">
        <v>0.03</v>
      </c>
      <c r="C258" s="321" t="s">
        <v>718</v>
      </c>
    </row>
    <row r="259" spans="1:3" ht="15" x14ac:dyDescent="0.2">
      <c r="A259" s="321" t="s">
        <v>730</v>
      </c>
      <c r="B259" s="321">
        <v>0.03</v>
      </c>
      <c r="C259" s="321" t="s">
        <v>718</v>
      </c>
    </row>
    <row r="260" spans="1:3" ht="15" x14ac:dyDescent="0.2">
      <c r="A260" s="319" t="s">
        <v>2205</v>
      </c>
      <c r="B260" s="318">
        <v>0.03</v>
      </c>
      <c r="C260" s="319" t="s">
        <v>2722</v>
      </c>
    </row>
    <row r="261" spans="1:3" ht="15" x14ac:dyDescent="0.2">
      <c r="A261" s="319" t="s">
        <v>1337</v>
      </c>
      <c r="B261" s="318">
        <v>0.03</v>
      </c>
      <c r="C261" s="319" t="s">
        <v>2722</v>
      </c>
    </row>
    <row r="262" spans="1:3" ht="15" x14ac:dyDescent="0.2">
      <c r="A262" s="319" t="s">
        <v>2206</v>
      </c>
      <c r="B262" s="318">
        <v>0.03</v>
      </c>
      <c r="C262" s="319" t="s">
        <v>2722</v>
      </c>
    </row>
    <row r="263" spans="1:3" ht="15" x14ac:dyDescent="0.2">
      <c r="A263" s="319" t="s">
        <v>1339</v>
      </c>
      <c r="B263" s="318">
        <v>0.03</v>
      </c>
      <c r="C263" s="319" t="s">
        <v>2722</v>
      </c>
    </row>
    <row r="264" spans="1:3" ht="15" x14ac:dyDescent="0.2">
      <c r="A264" s="319" t="s">
        <v>2207</v>
      </c>
      <c r="B264" s="318">
        <v>0.03</v>
      </c>
      <c r="C264" s="319" t="s">
        <v>2722</v>
      </c>
    </row>
    <row r="265" spans="1:3" ht="15" x14ac:dyDescent="0.2">
      <c r="A265" s="319" t="s">
        <v>1341</v>
      </c>
      <c r="B265" s="318">
        <v>0.03</v>
      </c>
      <c r="C265" s="319" t="s">
        <v>2722</v>
      </c>
    </row>
    <row r="266" spans="1:3" ht="15" x14ac:dyDescent="0.2">
      <c r="A266" s="319" t="s">
        <v>3124</v>
      </c>
      <c r="B266" s="318">
        <v>0.03</v>
      </c>
      <c r="C266" s="319" t="s">
        <v>2722</v>
      </c>
    </row>
    <row r="267" spans="1:3" ht="15" x14ac:dyDescent="0.2">
      <c r="A267" s="319" t="s">
        <v>2761</v>
      </c>
      <c r="B267" s="318">
        <v>0.03</v>
      </c>
      <c r="C267" s="319" t="s">
        <v>2722</v>
      </c>
    </row>
    <row r="268" spans="1:3" ht="15" x14ac:dyDescent="0.2">
      <c r="A268" s="319" t="s">
        <v>3434</v>
      </c>
      <c r="B268" s="321">
        <v>0.03</v>
      </c>
      <c r="C268" s="319" t="s">
        <v>2722</v>
      </c>
    </row>
    <row r="269" spans="1:3" x14ac:dyDescent="0.2">
      <c r="A269" s="321" t="s">
        <v>775</v>
      </c>
      <c r="B269" s="321">
        <v>0</v>
      </c>
      <c r="C269" s="321" t="s">
        <v>315</v>
      </c>
    </row>
    <row r="270" spans="1:3" x14ac:dyDescent="0.2">
      <c r="A270" s="321" t="s">
        <v>724</v>
      </c>
      <c r="B270" s="321">
        <v>0</v>
      </c>
      <c r="C270" s="321" t="s">
        <v>315</v>
      </c>
    </row>
    <row r="271" spans="1:3" x14ac:dyDescent="0.2">
      <c r="A271" s="319" t="s">
        <v>2008</v>
      </c>
      <c r="B271" s="318">
        <v>0.2</v>
      </c>
      <c r="C271" s="321" t="s">
        <v>1041</v>
      </c>
    </row>
    <row r="272" spans="1:3" x14ac:dyDescent="0.2">
      <c r="A272" s="319" t="s">
        <v>1049</v>
      </c>
      <c r="B272" s="318">
        <v>0.2</v>
      </c>
      <c r="C272" s="317" t="s">
        <v>1041</v>
      </c>
    </row>
    <row r="273" spans="1:3" x14ac:dyDescent="0.2">
      <c r="A273" s="319" t="s">
        <v>2011</v>
      </c>
      <c r="B273" s="318">
        <v>0.2</v>
      </c>
      <c r="C273" s="321" t="s">
        <v>1041</v>
      </c>
    </row>
    <row r="274" spans="1:3" x14ac:dyDescent="0.2">
      <c r="A274" s="319" t="s">
        <v>1055</v>
      </c>
      <c r="B274" s="318">
        <v>0.2</v>
      </c>
      <c r="C274" s="317" t="s">
        <v>1041</v>
      </c>
    </row>
    <row r="275" spans="1:3" x14ac:dyDescent="0.2">
      <c r="A275" s="319" t="s">
        <v>2014</v>
      </c>
      <c r="B275" s="318">
        <v>0.2</v>
      </c>
      <c r="C275" s="321" t="s">
        <v>1041</v>
      </c>
    </row>
    <row r="276" spans="1:3" x14ac:dyDescent="0.2">
      <c r="A276" s="319" t="s">
        <v>1061</v>
      </c>
      <c r="B276" s="318">
        <v>0.2</v>
      </c>
      <c r="C276" s="317" t="s">
        <v>1041</v>
      </c>
    </row>
    <row r="277" spans="1:3" x14ac:dyDescent="0.2">
      <c r="A277" s="319" t="s">
        <v>3030</v>
      </c>
      <c r="B277" s="318">
        <v>0.2</v>
      </c>
      <c r="C277" s="317" t="s">
        <v>1041</v>
      </c>
    </row>
    <row r="278" spans="1:3" x14ac:dyDescent="0.2">
      <c r="A278" s="319" t="s">
        <v>2608</v>
      </c>
      <c r="B278" s="318">
        <v>0.2</v>
      </c>
      <c r="C278" s="317" t="s">
        <v>1041</v>
      </c>
    </row>
    <row r="279" spans="1:3" x14ac:dyDescent="0.2">
      <c r="A279" s="319" t="s">
        <v>3348</v>
      </c>
      <c r="B279" s="321">
        <v>0.2</v>
      </c>
      <c r="C279" s="317" t="s">
        <v>1041</v>
      </c>
    </row>
    <row r="280" spans="1:3" x14ac:dyDescent="0.2">
      <c r="A280" s="317" t="s">
        <v>3028</v>
      </c>
      <c r="B280" s="318">
        <v>1.9999999999999999E-11</v>
      </c>
      <c r="C280" s="317" t="s">
        <v>1041</v>
      </c>
    </row>
    <row r="281" spans="1:3" x14ac:dyDescent="0.2">
      <c r="A281" s="317" t="s">
        <v>2006</v>
      </c>
      <c r="B281" s="318">
        <v>1.9999999999999999E-11</v>
      </c>
      <c r="C281" s="317" t="s">
        <v>1041</v>
      </c>
    </row>
    <row r="282" spans="1:3" x14ac:dyDescent="0.2">
      <c r="A282" s="317" t="s">
        <v>2605</v>
      </c>
      <c r="B282" s="318">
        <v>1.9999999999999999E-11</v>
      </c>
      <c r="C282" s="317" t="s">
        <v>1041</v>
      </c>
    </row>
    <row r="283" spans="1:3" x14ac:dyDescent="0.2">
      <c r="A283" s="317" t="s">
        <v>4498</v>
      </c>
      <c r="B283" s="318">
        <v>1.9999999999999999E-11</v>
      </c>
      <c r="C283" s="317" t="s">
        <v>1041</v>
      </c>
    </row>
    <row r="284" spans="1:3" x14ac:dyDescent="0.2">
      <c r="A284" s="317" t="s">
        <v>3346</v>
      </c>
      <c r="B284" s="318">
        <v>1.9999999999999999E-11</v>
      </c>
      <c r="C284" s="317" t="s">
        <v>1041</v>
      </c>
    </row>
    <row r="285" spans="1:3" x14ac:dyDescent="0.2">
      <c r="A285" s="317" t="s">
        <v>3029</v>
      </c>
      <c r="B285" s="318">
        <v>1.9999999999999999E-11</v>
      </c>
      <c r="C285" s="317" t="s">
        <v>1041</v>
      </c>
    </row>
    <row r="286" spans="1:3" x14ac:dyDescent="0.2">
      <c r="A286" s="317" t="s">
        <v>2007</v>
      </c>
      <c r="B286" s="318">
        <v>1.9999999999999999E-11</v>
      </c>
      <c r="C286" s="317" t="s">
        <v>1041</v>
      </c>
    </row>
    <row r="287" spans="1:3" x14ac:dyDescent="0.2">
      <c r="A287" s="317" t="s">
        <v>2606</v>
      </c>
      <c r="B287" s="318">
        <v>1.9999999999999999E-11</v>
      </c>
      <c r="C287" s="317" t="s">
        <v>1041</v>
      </c>
    </row>
    <row r="288" spans="1:3" x14ac:dyDescent="0.2">
      <c r="A288" s="317" t="s">
        <v>1047</v>
      </c>
      <c r="B288" s="318">
        <v>1.9999999999999999E-11</v>
      </c>
      <c r="C288" s="317" t="s">
        <v>1041</v>
      </c>
    </row>
    <row r="289" spans="1:3" x14ac:dyDescent="0.2">
      <c r="A289" s="317" t="s">
        <v>3347</v>
      </c>
      <c r="B289" s="318">
        <v>1.9999999999999999E-11</v>
      </c>
      <c r="C289" s="317" t="s">
        <v>1041</v>
      </c>
    </row>
    <row r="290" spans="1:3" x14ac:dyDescent="0.2">
      <c r="A290" s="321" t="s">
        <v>767</v>
      </c>
      <c r="B290" s="321">
        <v>0.6</v>
      </c>
      <c r="C290" s="321" t="s">
        <v>315</v>
      </c>
    </row>
    <row r="291" spans="1:3" x14ac:dyDescent="0.2">
      <c r="A291" s="321" t="s">
        <v>708</v>
      </c>
      <c r="B291" s="321">
        <v>0.6</v>
      </c>
      <c r="C291" s="321" t="s">
        <v>315</v>
      </c>
    </row>
    <row r="292" spans="1:3" x14ac:dyDescent="0.2">
      <c r="A292" s="317" t="s">
        <v>3027</v>
      </c>
      <c r="B292" s="318">
        <v>2.9999999999999999E-7</v>
      </c>
      <c r="C292" s="317" t="s">
        <v>1041</v>
      </c>
    </row>
    <row r="293" spans="1:3" x14ac:dyDescent="0.2">
      <c r="A293" s="317" t="s">
        <v>2005</v>
      </c>
      <c r="B293" s="318">
        <v>2.9999999999999999E-7</v>
      </c>
      <c r="C293" s="317" t="s">
        <v>1041</v>
      </c>
    </row>
    <row r="294" spans="1:3" x14ac:dyDescent="0.2">
      <c r="A294" s="317" t="s">
        <v>2604</v>
      </c>
      <c r="B294" s="318">
        <v>2.9999999999999999E-7</v>
      </c>
      <c r="C294" s="317" t="s">
        <v>1041</v>
      </c>
    </row>
    <row r="295" spans="1:3" x14ac:dyDescent="0.2">
      <c r="A295" s="317" t="s">
        <v>1040</v>
      </c>
      <c r="B295" s="318">
        <v>2.9999999999999999E-7</v>
      </c>
      <c r="C295" s="317" t="s">
        <v>1041</v>
      </c>
    </row>
    <row r="296" spans="1:3" x14ac:dyDescent="0.2">
      <c r="A296" s="317" t="s">
        <v>3345</v>
      </c>
      <c r="B296" s="318">
        <v>2.9999999999999999E-7</v>
      </c>
      <c r="C296" s="317" t="s">
        <v>1041</v>
      </c>
    </row>
    <row r="297" spans="1:3" x14ac:dyDescent="0.2">
      <c r="A297" s="321" t="s">
        <v>765</v>
      </c>
      <c r="B297" s="321">
        <v>2.75E-2</v>
      </c>
      <c r="C297" s="321" t="s">
        <v>315</v>
      </c>
    </row>
    <row r="298" spans="1:3" x14ac:dyDescent="0.2">
      <c r="A298" s="321" t="s">
        <v>704</v>
      </c>
      <c r="B298" s="321">
        <v>2.75E-2</v>
      </c>
      <c r="C298" s="321" t="s">
        <v>315</v>
      </c>
    </row>
    <row r="299" spans="1:3" x14ac:dyDescent="0.2">
      <c r="A299" s="321" t="s">
        <v>776</v>
      </c>
      <c r="B299" s="321">
        <v>0.25</v>
      </c>
      <c r="C299" s="321" t="s">
        <v>315</v>
      </c>
    </row>
    <row r="300" spans="1:3" x14ac:dyDescent="0.2">
      <c r="A300" s="321" t="s">
        <v>728</v>
      </c>
      <c r="B300" s="321">
        <v>0.25</v>
      </c>
      <c r="C300" s="321" t="s">
        <v>315</v>
      </c>
    </row>
    <row r="301" spans="1:3" x14ac:dyDescent="0.2">
      <c r="A301" s="319" t="s">
        <v>2244</v>
      </c>
      <c r="B301" s="318">
        <f>FRACinf.C</f>
        <v>0.25</v>
      </c>
      <c r="C301" s="317" t="s">
        <v>314</v>
      </c>
    </row>
    <row r="302" spans="1:3" x14ac:dyDescent="0.2">
      <c r="A302" s="319" t="s">
        <v>1410</v>
      </c>
      <c r="B302" s="318">
        <f>FRACinf.R</f>
        <v>0.25</v>
      </c>
      <c r="C302" s="317" t="s">
        <v>314</v>
      </c>
    </row>
    <row r="303" spans="1:3" x14ac:dyDescent="0.2">
      <c r="A303" s="319" t="s">
        <v>2245</v>
      </c>
      <c r="B303" s="318">
        <f>FRACinf.C</f>
        <v>0.25</v>
      </c>
      <c r="C303" s="317" t="s">
        <v>314</v>
      </c>
    </row>
    <row r="304" spans="1:3" x14ac:dyDescent="0.2">
      <c r="A304" s="319" t="s">
        <v>1412</v>
      </c>
      <c r="B304" s="318">
        <f>FRACinf.R</f>
        <v>0.25</v>
      </c>
      <c r="C304" s="317" t="s">
        <v>314</v>
      </c>
    </row>
    <row r="305" spans="1:3" x14ac:dyDescent="0.2">
      <c r="A305" s="319" t="s">
        <v>2246</v>
      </c>
      <c r="B305" s="318">
        <f>FRACinf.C</f>
        <v>0.25</v>
      </c>
      <c r="C305" s="317" t="s">
        <v>314</v>
      </c>
    </row>
    <row r="306" spans="1:3" x14ac:dyDescent="0.2">
      <c r="A306" s="319" t="s">
        <v>1414</v>
      </c>
      <c r="B306" s="318">
        <f>FRACinf.R</f>
        <v>0.25</v>
      </c>
      <c r="C306" s="317" t="s">
        <v>314</v>
      </c>
    </row>
    <row r="307" spans="1:3" x14ac:dyDescent="0.2">
      <c r="A307" s="319" t="s">
        <v>3145</v>
      </c>
      <c r="B307" s="318">
        <v>0.25</v>
      </c>
      <c r="C307" s="317" t="s">
        <v>314</v>
      </c>
    </row>
    <row r="308" spans="1:3" x14ac:dyDescent="0.2">
      <c r="A308" s="319" t="s">
        <v>2793</v>
      </c>
      <c r="B308" s="318">
        <v>0.25</v>
      </c>
      <c r="C308" s="317" t="s">
        <v>314</v>
      </c>
    </row>
    <row r="309" spans="1:3" x14ac:dyDescent="0.2">
      <c r="A309" s="319" t="s">
        <v>3454</v>
      </c>
      <c r="B309" s="321">
        <v>0.25</v>
      </c>
      <c r="C309" s="317" t="s">
        <v>314</v>
      </c>
    </row>
    <row r="310" spans="1:3" x14ac:dyDescent="0.2">
      <c r="A310" s="321" t="s">
        <v>764</v>
      </c>
      <c r="B310" s="321">
        <v>2.5000000000000001E-3</v>
      </c>
      <c r="C310" s="321" t="s">
        <v>315</v>
      </c>
    </row>
    <row r="311" spans="1:3" x14ac:dyDescent="0.2">
      <c r="A311" s="321" t="s">
        <v>702</v>
      </c>
      <c r="B311" s="321">
        <v>2.5000000000000001E-3</v>
      </c>
      <c r="C311" s="321" t="s">
        <v>315</v>
      </c>
    </row>
    <row r="312" spans="1:3" x14ac:dyDescent="0.2">
      <c r="A312" s="321" t="s">
        <v>766</v>
      </c>
      <c r="B312" s="321">
        <v>0.27</v>
      </c>
      <c r="C312" s="321" t="s">
        <v>315</v>
      </c>
    </row>
    <row r="313" spans="1:3" x14ac:dyDescent="0.2">
      <c r="A313" s="321" t="s">
        <v>706</v>
      </c>
      <c r="B313" s="321">
        <v>0.27</v>
      </c>
      <c r="C313" s="321" t="s">
        <v>315</v>
      </c>
    </row>
    <row r="314" spans="1:3" x14ac:dyDescent="0.2">
      <c r="A314" s="321" t="s">
        <v>768</v>
      </c>
      <c r="B314" s="321">
        <v>0.1</v>
      </c>
      <c r="C314" s="321" t="s">
        <v>315</v>
      </c>
    </row>
    <row r="315" spans="1:3" x14ac:dyDescent="0.2">
      <c r="A315" s="321" t="s">
        <v>710</v>
      </c>
      <c r="B315" s="321">
        <v>0.1</v>
      </c>
      <c r="C315" s="321" t="s">
        <v>315</v>
      </c>
    </row>
    <row r="316" spans="1:3" x14ac:dyDescent="0.2">
      <c r="A316" s="321" t="s">
        <v>777</v>
      </c>
      <c r="B316" s="321">
        <v>0.25</v>
      </c>
      <c r="C316" s="321" t="s">
        <v>315</v>
      </c>
    </row>
    <row r="317" spans="1:3" x14ac:dyDescent="0.2">
      <c r="A317" s="321" t="s">
        <v>726</v>
      </c>
      <c r="B317" s="321">
        <v>0.25</v>
      </c>
      <c r="C317" s="321" t="s">
        <v>315</v>
      </c>
    </row>
    <row r="318" spans="1:3" x14ac:dyDescent="0.2">
      <c r="A318" s="319" t="s">
        <v>2208</v>
      </c>
      <c r="B318" s="318">
        <f>FRACrun.C</f>
        <v>0.25</v>
      </c>
      <c r="C318" s="317" t="s">
        <v>314</v>
      </c>
    </row>
    <row r="319" spans="1:3" x14ac:dyDescent="0.2">
      <c r="A319" s="319" t="s">
        <v>1343</v>
      </c>
      <c r="B319" s="318">
        <f>FRACrun.R</f>
        <v>0.25</v>
      </c>
      <c r="C319" s="317" t="s">
        <v>314</v>
      </c>
    </row>
    <row r="320" spans="1:3" x14ac:dyDescent="0.2">
      <c r="A320" s="319" t="s">
        <v>2209</v>
      </c>
      <c r="B320" s="318">
        <f>FRACrun.C</f>
        <v>0.25</v>
      </c>
      <c r="C320" s="317" t="s">
        <v>314</v>
      </c>
    </row>
    <row r="321" spans="1:3" x14ac:dyDescent="0.2">
      <c r="A321" s="319" t="s">
        <v>1345</v>
      </c>
      <c r="B321" s="318">
        <f>FRACrun.R</f>
        <v>0.25</v>
      </c>
      <c r="C321" s="317" t="s">
        <v>314</v>
      </c>
    </row>
    <row r="322" spans="1:3" x14ac:dyDescent="0.2">
      <c r="A322" s="319" t="s">
        <v>2210</v>
      </c>
      <c r="B322" s="318">
        <f>FRACrun.C</f>
        <v>0.25</v>
      </c>
      <c r="C322" s="317" t="s">
        <v>314</v>
      </c>
    </row>
    <row r="323" spans="1:3" x14ac:dyDescent="0.2">
      <c r="A323" s="319" t="s">
        <v>1347</v>
      </c>
      <c r="B323" s="318">
        <f>FRACrun.R</f>
        <v>0.25</v>
      </c>
      <c r="C323" s="317" t="s">
        <v>314</v>
      </c>
    </row>
    <row r="324" spans="1:3" x14ac:dyDescent="0.2">
      <c r="A324" s="319" t="s">
        <v>3125</v>
      </c>
      <c r="B324" s="318">
        <v>0.25</v>
      </c>
      <c r="C324" s="317" t="s">
        <v>314</v>
      </c>
    </row>
    <row r="325" spans="1:3" x14ac:dyDescent="0.2">
      <c r="A325" s="319" t="s">
        <v>2763</v>
      </c>
      <c r="B325" s="318">
        <v>0.25</v>
      </c>
      <c r="C325" s="317" t="s">
        <v>314</v>
      </c>
    </row>
    <row r="326" spans="1:3" x14ac:dyDescent="0.2">
      <c r="A326" s="319" t="s">
        <v>3435</v>
      </c>
      <c r="B326" s="321">
        <v>0.25</v>
      </c>
      <c r="C326" s="317" t="s">
        <v>314</v>
      </c>
    </row>
    <row r="327" spans="1:3" x14ac:dyDescent="0.2">
      <c r="A327" s="319" t="s">
        <v>2010</v>
      </c>
      <c r="B327" s="318">
        <f>1-FRACa.s1C-FRACw.s1C</f>
        <v>0.60000000000000009</v>
      </c>
      <c r="C327" s="321" t="s">
        <v>1041</v>
      </c>
    </row>
    <row r="328" spans="1:3" x14ac:dyDescent="0.2">
      <c r="A328" s="319" t="s">
        <v>1053</v>
      </c>
      <c r="B328" s="318">
        <f>1-FRACa.s1R-FRACw.s1R</f>
        <v>0.60000000000000009</v>
      </c>
      <c r="C328" s="317" t="s">
        <v>1041</v>
      </c>
    </row>
    <row r="329" spans="1:3" x14ac:dyDescent="0.2">
      <c r="A329" s="319" t="s">
        <v>2013</v>
      </c>
      <c r="B329" s="318">
        <f>1-FRACa.s2C-FRACw.s2C</f>
        <v>0.60000000000000009</v>
      </c>
      <c r="C329" s="321" t="s">
        <v>1041</v>
      </c>
    </row>
    <row r="330" spans="1:3" x14ac:dyDescent="0.2">
      <c r="A330" s="319" t="s">
        <v>1059</v>
      </c>
      <c r="B330" s="318">
        <f>1-FRACa.s2R-FRACw.s2R</f>
        <v>0.60000000000000009</v>
      </c>
      <c r="C330" s="317" t="s">
        <v>1041</v>
      </c>
    </row>
    <row r="331" spans="1:3" x14ac:dyDescent="0.2">
      <c r="A331" s="319" t="s">
        <v>2016</v>
      </c>
      <c r="B331" s="318">
        <f>1-FRACa.s3C-FRACw.s3C</f>
        <v>0.60000000000000009</v>
      </c>
      <c r="C331" s="321" t="s">
        <v>1041</v>
      </c>
    </row>
    <row r="332" spans="1:3" x14ac:dyDescent="0.2">
      <c r="A332" s="319" t="s">
        <v>1065</v>
      </c>
      <c r="B332" s="318">
        <f>1-FRACa.s3R-FRACw.s3R</f>
        <v>0.60000000000000009</v>
      </c>
      <c r="C332" s="317" t="s">
        <v>1041</v>
      </c>
    </row>
    <row r="333" spans="1:3" x14ac:dyDescent="0.2">
      <c r="A333" s="319" t="s">
        <v>3032</v>
      </c>
      <c r="B333" s="318">
        <f>1-FRACa.sA-FRACw.sA</f>
        <v>0.60000000000000009</v>
      </c>
      <c r="C333" s="317" t="s">
        <v>1041</v>
      </c>
    </row>
    <row r="334" spans="1:3" x14ac:dyDescent="0.2">
      <c r="A334" s="319" t="s">
        <v>3035</v>
      </c>
      <c r="B334" s="318">
        <f>1-FRACw.sdA</f>
        <v>0.19999999999999996</v>
      </c>
      <c r="C334" s="317" t="s">
        <v>1041</v>
      </c>
    </row>
    <row r="335" spans="1:3" x14ac:dyDescent="0.2">
      <c r="A335" s="319" t="s">
        <v>2018</v>
      </c>
      <c r="B335" s="318">
        <f>1-FRACw.sdC</f>
        <v>0.19999999999999996</v>
      </c>
      <c r="C335" s="321" t="s">
        <v>1041</v>
      </c>
    </row>
    <row r="336" spans="1:3" x14ac:dyDescent="0.2">
      <c r="A336" s="319" t="s">
        <v>2614</v>
      </c>
      <c r="B336" s="321">
        <f>1-FRACw.sdM</f>
        <v>0.19999999999999996</v>
      </c>
      <c r="C336" s="317" t="s">
        <v>1041</v>
      </c>
    </row>
    <row r="337" spans="1:3" x14ac:dyDescent="0.2">
      <c r="A337" s="319" t="s">
        <v>1069</v>
      </c>
      <c r="B337" s="318">
        <f>1-FRACw.sdR</f>
        <v>0.19999999999999996</v>
      </c>
      <c r="C337" s="317" t="s">
        <v>1041</v>
      </c>
    </row>
    <row r="338" spans="1:3" x14ac:dyDescent="0.2">
      <c r="A338" s="319" t="s">
        <v>3352</v>
      </c>
      <c r="B338" s="318">
        <f>1-FRACw.sdT</f>
        <v>0.19999999999999996</v>
      </c>
      <c r="C338" s="317" t="s">
        <v>1041</v>
      </c>
    </row>
    <row r="339" spans="1:3" x14ac:dyDescent="0.2">
      <c r="A339" s="319" t="s">
        <v>2612</v>
      </c>
      <c r="B339" s="318">
        <f>1-FRACa.sM-FRACw.sM</f>
        <v>0.60000000000000009</v>
      </c>
      <c r="C339" s="317" t="s">
        <v>1041</v>
      </c>
    </row>
    <row r="340" spans="1:3" x14ac:dyDescent="0.2">
      <c r="A340" s="319" t="s">
        <v>3350</v>
      </c>
      <c r="B340" s="318">
        <f>1-FRACa.sT-FRACw.sT</f>
        <v>0.60000000000000009</v>
      </c>
      <c r="C340" s="317" t="s">
        <v>1041</v>
      </c>
    </row>
    <row r="341" spans="1:3" x14ac:dyDescent="0.2">
      <c r="A341" s="319" t="s">
        <v>2009</v>
      </c>
      <c r="B341" s="318">
        <v>0.2</v>
      </c>
      <c r="C341" s="321" t="s">
        <v>1041</v>
      </c>
    </row>
    <row r="342" spans="1:3" x14ac:dyDescent="0.2">
      <c r="A342" s="319" t="s">
        <v>1051</v>
      </c>
      <c r="B342" s="318">
        <v>0.2</v>
      </c>
      <c r="C342" s="317" t="s">
        <v>1041</v>
      </c>
    </row>
    <row r="343" spans="1:3" x14ac:dyDescent="0.2">
      <c r="A343" s="319" t="s">
        <v>2012</v>
      </c>
      <c r="B343" s="318">
        <v>0.2</v>
      </c>
      <c r="C343" s="321" t="s">
        <v>1041</v>
      </c>
    </row>
    <row r="344" spans="1:3" x14ac:dyDescent="0.2">
      <c r="A344" s="319" t="s">
        <v>1057</v>
      </c>
      <c r="B344" s="318">
        <v>0.2</v>
      </c>
      <c r="C344" s="317" t="s">
        <v>1041</v>
      </c>
    </row>
    <row r="345" spans="1:3" x14ac:dyDescent="0.2">
      <c r="A345" s="319" t="s">
        <v>2015</v>
      </c>
      <c r="B345" s="318">
        <v>0.2</v>
      </c>
      <c r="C345" s="321" t="s">
        <v>1041</v>
      </c>
    </row>
    <row r="346" spans="1:3" x14ac:dyDescent="0.2">
      <c r="A346" s="319" t="s">
        <v>1063</v>
      </c>
      <c r="B346" s="318">
        <v>0.2</v>
      </c>
      <c r="C346" s="317" t="s">
        <v>1041</v>
      </c>
    </row>
    <row r="347" spans="1:3" x14ac:dyDescent="0.2">
      <c r="A347" s="319" t="s">
        <v>3031</v>
      </c>
      <c r="B347" s="318">
        <v>0.2</v>
      </c>
      <c r="C347" s="317" t="s">
        <v>1041</v>
      </c>
    </row>
    <row r="348" spans="1:3" x14ac:dyDescent="0.2">
      <c r="A348" s="319" t="s">
        <v>3033</v>
      </c>
      <c r="B348" s="318">
        <v>0.8</v>
      </c>
      <c r="C348" s="317" t="s">
        <v>1041</v>
      </c>
    </row>
    <row r="349" spans="1:3" x14ac:dyDescent="0.2">
      <c r="A349" s="319" t="s">
        <v>2017</v>
      </c>
      <c r="B349" s="318">
        <v>0.8</v>
      </c>
      <c r="C349" s="321" t="s">
        <v>1041</v>
      </c>
    </row>
    <row r="350" spans="1:3" x14ac:dyDescent="0.2">
      <c r="A350" s="319" t="s">
        <v>2613</v>
      </c>
      <c r="B350" s="318">
        <v>0.8</v>
      </c>
      <c r="C350" s="317" t="s">
        <v>1041</v>
      </c>
    </row>
    <row r="351" spans="1:3" x14ac:dyDescent="0.2">
      <c r="A351" s="319" t="s">
        <v>1067</v>
      </c>
      <c r="B351" s="318">
        <v>0.8</v>
      </c>
      <c r="C351" s="317" t="s">
        <v>1041</v>
      </c>
    </row>
    <row r="352" spans="1:3" x14ac:dyDescent="0.2">
      <c r="A352" s="319" t="s">
        <v>3351</v>
      </c>
      <c r="B352" s="321">
        <v>0.8</v>
      </c>
      <c r="C352" s="317" t="s">
        <v>1041</v>
      </c>
    </row>
    <row r="353" spans="1:3" x14ac:dyDescent="0.2">
      <c r="A353" s="319" t="s">
        <v>2610</v>
      </c>
      <c r="B353" s="318">
        <v>0.2</v>
      </c>
      <c r="C353" s="317" t="s">
        <v>1041</v>
      </c>
    </row>
    <row r="354" spans="1:3" x14ac:dyDescent="0.2">
      <c r="A354" s="319" t="s">
        <v>3349</v>
      </c>
      <c r="B354" s="321">
        <v>0.2</v>
      </c>
      <c r="C354" s="317" t="s">
        <v>1041</v>
      </c>
    </row>
    <row r="355" spans="1:3" ht="51" x14ac:dyDescent="0.2">
      <c r="A355" s="321" t="s">
        <v>3054</v>
      </c>
      <c r="B355" s="329" t="s">
        <v>4499</v>
      </c>
      <c r="C355" s="321" t="s">
        <v>314</v>
      </c>
    </row>
    <row r="356" spans="1:3" ht="51" x14ac:dyDescent="0.2">
      <c r="A356" s="321" t="s">
        <v>2061</v>
      </c>
      <c r="B356" s="329" t="s">
        <v>4500</v>
      </c>
      <c r="C356" s="321" t="s">
        <v>314</v>
      </c>
    </row>
    <row r="357" spans="1:3" ht="63.75" x14ac:dyDescent="0.2">
      <c r="A357" s="321" t="s">
        <v>2650</v>
      </c>
      <c r="B357" s="329" t="s">
        <v>4501</v>
      </c>
      <c r="C357" s="321" t="s">
        <v>314</v>
      </c>
    </row>
    <row r="358" spans="1:3" ht="51" x14ac:dyDescent="0.2">
      <c r="A358" s="321" t="s">
        <v>1106</v>
      </c>
      <c r="B358" s="329" t="s">
        <v>4502</v>
      </c>
      <c r="C358" s="321" t="s">
        <v>314</v>
      </c>
    </row>
    <row r="359" spans="1:3" ht="51" x14ac:dyDescent="0.2">
      <c r="A359" s="321" t="s">
        <v>3369</v>
      </c>
      <c r="B359" s="329" t="s">
        <v>4503</v>
      </c>
      <c r="C359" s="321" t="s">
        <v>314</v>
      </c>
    </row>
    <row r="360" spans="1:3" x14ac:dyDescent="0.2">
      <c r="A360" s="321" t="s">
        <v>3053</v>
      </c>
      <c r="B360" s="323" t="e">
        <f>IF(ChemClass="neutral", 0, FRACaerw.aA*Kaerw.aA/(1+FRACaerw.aA*Kaerw.aA+FRACaers.aA*Kaers.aA+FRACcldw.aA*Kcldw.aA))</f>
        <v>#NAME?</v>
      </c>
      <c r="C360" s="321" t="s">
        <v>314</v>
      </c>
    </row>
    <row r="361" spans="1:3" x14ac:dyDescent="0.2">
      <c r="A361" s="321" t="s">
        <v>2059</v>
      </c>
      <c r="B361" s="323" t="e">
        <f>IF(ChemClass="neutral", 0, FRACaerw.aC*Kaerw.aC/(1+FRACaerw.aC*Kaerw.aC+FRACaers.aC*Kaers.aC+FRACcldw.aC*Kcldw.aC))</f>
        <v>#NAME?</v>
      </c>
      <c r="C361" s="321" t="s">
        <v>314</v>
      </c>
    </row>
    <row r="362" spans="1:3" x14ac:dyDescent="0.2">
      <c r="A362" s="321" t="s">
        <v>2649</v>
      </c>
      <c r="B362" s="323" t="e">
        <f>IF(ChemClass="neutral", 0, FRACaerw.aM*Kaerw.aM/(1+FRACaerw.aM*Kaerw.aM+FRACaers.aM*Kaers.aM+FRACcldw.aM*Kcldw.aM))</f>
        <v>#NAME?</v>
      </c>
      <c r="C362" s="321" t="s">
        <v>314</v>
      </c>
    </row>
    <row r="363" spans="1:3" x14ac:dyDescent="0.2">
      <c r="A363" s="321" t="s">
        <v>1103</v>
      </c>
      <c r="B363" s="323" t="e">
        <f>IF(ChemClass="neutral", 0, FRACaerw.aR*Kaerw.aR/(1+FRACaerw.aR*Kaerw.aR+FRACaers.aR*Kaers.aR+FRACcldw.aR*Kcldw.aR))</f>
        <v>#NAME?</v>
      </c>
      <c r="C363" s="321" t="s">
        <v>314</v>
      </c>
    </row>
    <row r="364" spans="1:3" x14ac:dyDescent="0.2">
      <c r="A364" s="321" t="s">
        <v>3368</v>
      </c>
      <c r="B364" s="323" t="e">
        <f>IF(ChemClass="neutral", 0, FRACaerw.aT*Kaerw.aT/(1+FRACaerw.aT*Kaerw.aT+FRACaers.aT*Kaers.aT+FRACcldw.aT*Kcldw.aT))</f>
        <v>#NAME?</v>
      </c>
      <c r="C364" s="321" t="s">
        <v>314</v>
      </c>
    </row>
    <row r="365" spans="1:3" x14ac:dyDescent="0.2">
      <c r="A365" s="321" t="s">
        <v>4504</v>
      </c>
      <c r="B365" s="323" t="e">
        <f>IF(ChemClass="neutral", 0, FRACcldw.aA *Kcldw.aA/(1+FRACaerw.aA*Kaerw.aA+FRACaers.aA*Kaers.aA+FRACcldw.aA*Kcldw.aA))</f>
        <v>#NAME?</v>
      </c>
      <c r="C365" s="321" t="s">
        <v>314</v>
      </c>
    </row>
    <row r="366" spans="1:3" x14ac:dyDescent="0.2">
      <c r="A366" s="321" t="s">
        <v>4505</v>
      </c>
      <c r="B366" s="323" t="e">
        <f>IF(ChemClass="neutral", 0, FRACcldw.aC *Kcldw.aC/(1+FRACaerw.aC*Kaerw.aC+FRACaers.aC*Kaers.aC+FRACcldw.aC*Kcldw.aC))</f>
        <v>#NAME?</v>
      </c>
      <c r="C366" s="321" t="s">
        <v>314</v>
      </c>
    </row>
    <row r="367" spans="1:3" x14ac:dyDescent="0.2">
      <c r="A367" s="321" t="s">
        <v>4506</v>
      </c>
      <c r="B367" s="323" t="e">
        <f>IF(ChemClass="neutral", 0, FRACcldw.aM *Kcldw.aM/(1+FRACaerw.aM*Kaerw.aM+FRACaers.aM*Kaers.aM+FRACcldw.aM*Kcldw.aM))</f>
        <v>#NAME?</v>
      </c>
      <c r="C367" s="321" t="s">
        <v>314</v>
      </c>
    </row>
    <row r="368" spans="1:3" x14ac:dyDescent="0.2">
      <c r="A368" s="321" t="s">
        <v>4507</v>
      </c>
      <c r="B368" s="323" t="e">
        <f>IF(ChemClass="neutral", 0, FRACcldw.aR*Kcldw.aR/(1+FRACaerw.aR*Kaerw.aR+FRACaers.aR*Kaers.aR+FRACcldw.aR*Kcldw.aR))</f>
        <v>#NAME?</v>
      </c>
      <c r="C368" s="321" t="s">
        <v>314</v>
      </c>
    </row>
    <row r="369" spans="1:3" x14ac:dyDescent="0.2">
      <c r="A369" s="321" t="s">
        <v>4508</v>
      </c>
      <c r="B369" s="323" t="e">
        <f>IF(ChemClass="neutral", 0, FRACcldw.aT *Kcldw.aT/(1+FRACaerw.aT*Kaerw.aT+FRACaers.aT*Kaers.aT+FRACcldw.aT*Kcldw.aT))</f>
        <v>#NAME?</v>
      </c>
      <c r="C369" s="321" t="s">
        <v>314</v>
      </c>
    </row>
    <row r="370" spans="1:3" x14ac:dyDescent="0.2">
      <c r="A370" s="317" t="s">
        <v>3052</v>
      </c>
      <c r="B370" s="323" t="e">
        <f>1-FRaerw.aA-FRaers.aA-FRcldw.aA</f>
        <v>#NAME?</v>
      </c>
      <c r="C370" s="317" t="s">
        <v>314</v>
      </c>
    </row>
    <row r="371" spans="1:3" x14ac:dyDescent="0.2">
      <c r="A371" s="317" t="s">
        <v>2057</v>
      </c>
      <c r="B371" s="323" t="e">
        <f>1-FRaerw.aC-FRaers.aC-FRcldw.aC</f>
        <v>#NAME?</v>
      </c>
      <c r="C371" s="317" t="s">
        <v>314</v>
      </c>
    </row>
    <row r="372" spans="1:3" x14ac:dyDescent="0.2">
      <c r="A372" s="317" t="s">
        <v>2648</v>
      </c>
      <c r="B372" s="323" t="e">
        <f>1-FRaerw.aM-FRaers.aM-FRcldw.aM</f>
        <v>#NAME?</v>
      </c>
      <c r="C372" s="317" t="s">
        <v>314</v>
      </c>
    </row>
    <row r="373" spans="1:3" x14ac:dyDescent="0.2">
      <c r="A373" s="321" t="s">
        <v>1101</v>
      </c>
      <c r="B373" s="323" t="e">
        <f>1-FRaerw.aR-FRaers.aR-FRcldw.aR</f>
        <v>#NAME?</v>
      </c>
      <c r="C373" s="321" t="s">
        <v>314</v>
      </c>
    </row>
    <row r="374" spans="1:3" x14ac:dyDescent="0.2">
      <c r="A374" s="317" t="s">
        <v>3367</v>
      </c>
      <c r="B374" s="323" t="e">
        <f>1-FRaerw.aT-FRaers.aT-FRcldw.aT</f>
        <v>#NAME?</v>
      </c>
      <c r="C374" s="317" t="s">
        <v>314</v>
      </c>
    </row>
    <row r="375" spans="1:3" x14ac:dyDescent="0.2">
      <c r="A375" s="317" t="s">
        <v>573</v>
      </c>
      <c r="B375" s="318">
        <f>IF(ChemClass="Acid",1/(1+10^(pH.aerw-pKa)),IF(ChemClass="Base",1/(1+10^(pKa-pH.aerw)),1))</f>
        <v>1</v>
      </c>
      <c r="C375" s="317" t="s">
        <v>314</v>
      </c>
    </row>
    <row r="376" spans="1:3" x14ac:dyDescent="0.2">
      <c r="A376" s="317" t="s">
        <v>571</v>
      </c>
      <c r="B376" s="318">
        <f>IF(ChemClass="Acid",1/(1+10^(pH.cldw-pKa)),IF(ChemClass="Base",1/(1+10^(pKa-pH.cldw)),1))</f>
        <v>1</v>
      </c>
      <c r="C376" s="317" t="s">
        <v>314</v>
      </c>
    </row>
    <row r="377" spans="1:3" x14ac:dyDescent="0.2">
      <c r="A377" s="317" t="s">
        <v>583</v>
      </c>
      <c r="B377" s="318">
        <f>IF(ChemClass="Acid",1/(1+10^(pH.s1-0.6-pKa)),IF(ChemClass="Base",1/(1+10^(pKa-4.5)),1))</f>
        <v>1</v>
      </c>
      <c r="C377" s="317" t="s">
        <v>314</v>
      </c>
    </row>
    <row r="378" spans="1:3" x14ac:dyDescent="0.2">
      <c r="A378" s="317" t="s">
        <v>585</v>
      </c>
      <c r="B378" s="318">
        <f>IF(ChemClass="Acid",1/(1+10^(pH.s1-pKa)),IF(ChemClass="Base",1/(1+10^(pKa-pH.s1)),1))</f>
        <v>1</v>
      </c>
      <c r="C378" s="317" t="s">
        <v>314</v>
      </c>
    </row>
    <row r="379" spans="1:3" x14ac:dyDescent="0.2">
      <c r="A379" s="317" t="s">
        <v>587</v>
      </c>
      <c r="B379" s="318">
        <f>IF(ChemClass="Acid",1/(1+10^(pH.s2-0.6-pKa)),IF(ChemClass="Base",1/(1+10^(pKa-4.5)),1))</f>
        <v>1</v>
      </c>
      <c r="C379" s="317" t="s">
        <v>314</v>
      </c>
    </row>
    <row r="380" spans="1:3" x14ac:dyDescent="0.2">
      <c r="A380" s="317" t="s">
        <v>589</v>
      </c>
      <c r="B380" s="318">
        <f>IF(ChemClass="Acid",1/(1+10^(pH.s2-pKa)),IF(ChemClass="Base",1/(1+10^(pKa-pH.s2)),1))</f>
        <v>1</v>
      </c>
      <c r="C380" s="317" t="s">
        <v>314</v>
      </c>
    </row>
    <row r="381" spans="1:3" x14ac:dyDescent="0.2">
      <c r="A381" s="317" t="s">
        <v>591</v>
      </c>
      <c r="B381" s="318">
        <f>IF(ChemClass="Acid",1/(1+10^(pH.s3-0.6-pKa)),IF(ChemClass="Base",1/(1+10^(pKa-4.5)),1))</f>
        <v>1</v>
      </c>
      <c r="C381" s="317" t="s">
        <v>314</v>
      </c>
    </row>
    <row r="382" spans="1:3" x14ac:dyDescent="0.2">
      <c r="A382" s="317" t="s">
        <v>593</v>
      </c>
      <c r="B382" s="318">
        <f>IF(ChemClass="Acid",1/(1+10^(pH.s3-pKa)),IF(ChemClass="Base",1/(1+10^(pKa-pH.s3)),1))</f>
        <v>1</v>
      </c>
      <c r="C382" s="317" t="s">
        <v>314</v>
      </c>
    </row>
    <row r="383" spans="1:3" x14ac:dyDescent="0.2">
      <c r="A383" s="317" t="s">
        <v>577</v>
      </c>
      <c r="B383" s="318">
        <f>IF(ChemClass="Acid",1/(1+10^(pH.w1-0.6-pKa)),IF(ChemClass="Base",1/(1+10^(pKa-4.5)),1))</f>
        <v>1</v>
      </c>
      <c r="C383" s="317" t="s">
        <v>314</v>
      </c>
    </row>
    <row r="384" spans="1:3" x14ac:dyDescent="0.2">
      <c r="A384" s="317" t="s">
        <v>581</v>
      </c>
      <c r="B384" s="318">
        <f>IF(ChemClass="Acid",1/(1+10^(pH.w2-0.6-pKa)),IF(ChemClass="Base",1/(1+10^(pKa-4.5)),1))</f>
        <v>1</v>
      </c>
      <c r="C384" s="317"/>
    </row>
    <row r="385" spans="1:3" x14ac:dyDescent="0.2">
      <c r="A385" s="317" t="s">
        <v>575</v>
      </c>
      <c r="B385" s="318">
        <f>IF(ChemClass="Acid",1/(1+10^(pH.w1-pKa)),IF(ChemClass="Base",1/(1+10^(pKa-pH.w1)),1))</f>
        <v>1</v>
      </c>
      <c r="C385" s="317" t="s">
        <v>314</v>
      </c>
    </row>
    <row r="386" spans="1:3" x14ac:dyDescent="0.2">
      <c r="A386" s="317" t="s">
        <v>579</v>
      </c>
      <c r="B386" s="318">
        <f>IF(ChemClass="Acid",1/(1+10^(pH.w2-pKa)),IF(ChemClass="Base",1/(1+10^(pKa-pH.w2)),1))</f>
        <v>1</v>
      </c>
      <c r="C386" s="317" t="s">
        <v>314</v>
      </c>
    </row>
    <row r="387" spans="1:3" x14ac:dyDescent="0.2">
      <c r="A387" s="319" t="s">
        <v>2096</v>
      </c>
      <c r="B387" s="318">
        <f>FRACs.s1C / (FRACa.s1C*Kaw.C*FRorig.s1w/(Kp.s1C*RHOsolid/1000)+FRACw.s1C /(Kp.s1C*RHOsolid/1000)+FRACs.s1C )</f>
        <v>0.99999298250538582</v>
      </c>
      <c r="C387" s="317" t="s">
        <v>314</v>
      </c>
    </row>
    <row r="388" spans="1:3" x14ac:dyDescent="0.2">
      <c r="A388" s="319" t="s">
        <v>1161</v>
      </c>
      <c r="B388" s="323">
        <v>0.99999298250538582</v>
      </c>
      <c r="C388" s="317" t="s">
        <v>314</v>
      </c>
    </row>
    <row r="389" spans="1:3" x14ac:dyDescent="0.2">
      <c r="A389" s="319" t="s">
        <v>2103</v>
      </c>
      <c r="B389" s="318">
        <f>FRACs.s2C / (FRACa.s2C*Kaw.C*FRorig.s2w/(Kp.s2C*RHOsolid/1000)+FRACw.s2C /(Kp.s2C*RHOsolid/1000)+FRACs.s2C )</f>
        <v>0.99999298250538582</v>
      </c>
      <c r="C389" s="317" t="s">
        <v>314</v>
      </c>
    </row>
    <row r="390" spans="1:3" x14ac:dyDescent="0.2">
      <c r="A390" s="319" t="s">
        <v>1171</v>
      </c>
      <c r="B390" s="323">
        <v>0.99999298250538582</v>
      </c>
      <c r="C390" s="317" t="s">
        <v>314</v>
      </c>
    </row>
    <row r="391" spans="1:3" x14ac:dyDescent="0.2">
      <c r="A391" s="319" t="s">
        <v>2110</v>
      </c>
      <c r="B391" s="318">
        <f>FRACs.s3C / (FRACa.s3C*Kaw.C*FRorig.s3w/(Kp.s3C*RHOsolid/1000)+FRACw.s3C /(Kp.s3C*RHOsolid/1000)+FRACs.s3C )</f>
        <v>0.99999298250538582</v>
      </c>
      <c r="C391" s="317" t="s">
        <v>314</v>
      </c>
    </row>
    <row r="392" spans="1:3" x14ac:dyDescent="0.2">
      <c r="A392" s="319" t="s">
        <v>1181</v>
      </c>
      <c r="B392" s="323">
        <v>0.99999298250538582</v>
      </c>
      <c r="C392" s="317" t="s">
        <v>314</v>
      </c>
    </row>
    <row r="393" spans="1:3" x14ac:dyDescent="0.2">
      <c r="A393" s="319" t="s">
        <v>3077</v>
      </c>
      <c r="B393" s="318">
        <f>FRACs.sA/ (FRACa.sA*Kaw.A*FRorig.s1w/(Kp.sA*RHOsolid/1000)+FRACw.sA/(Kp.sA*RHOsolid/1000)+FRACs.sA )</f>
        <v>0.99999298250538582</v>
      </c>
      <c r="C393" s="317" t="s">
        <v>314</v>
      </c>
    </row>
    <row r="394" spans="1:3" x14ac:dyDescent="0.2">
      <c r="A394" s="319" t="s">
        <v>2693</v>
      </c>
      <c r="B394" s="318">
        <f>FRACs.sM / (FRACa.sM*Kaw.M*FRorig.s1w/(Kp.sM*RHOsolid/1000)+FRACw.sM/(Kp.sM*RHOsolid/1000)+FRACs.sM )</f>
        <v>0.99999298250538582</v>
      </c>
      <c r="C394" s="317" t="s">
        <v>314</v>
      </c>
    </row>
    <row r="395" spans="1:3" x14ac:dyDescent="0.2">
      <c r="A395" s="319" t="s">
        <v>3392</v>
      </c>
      <c r="B395" s="318">
        <f>FRACs.sT/ (FRACa.sT*Kaw.T*FRorig.s1w/(Kp.sT*RHOsolid/1000)+FRACw.sT/(Kp.sT*RHOsolid/1000)+FRACs.sT )</f>
        <v>0.99999298250538582</v>
      </c>
      <c r="C395" s="317" t="s">
        <v>314</v>
      </c>
    </row>
    <row r="396" spans="1:3" x14ac:dyDescent="0.2">
      <c r="A396" s="319" t="s">
        <v>2094</v>
      </c>
      <c r="B396" s="318">
        <f>FRACw.s1C/(FRACa.s1C*(Kaw.C*FRorig.s1w)+FRACw.s1C+FRACs.s1C*Kp.s1C*RHOsolid/1000)</f>
        <v>7.0174946140728833E-6</v>
      </c>
      <c r="C396" s="317" t="s">
        <v>314</v>
      </c>
    </row>
    <row r="397" spans="1:3" x14ac:dyDescent="0.2">
      <c r="A397" s="319" t="s">
        <v>4509</v>
      </c>
      <c r="B397" s="323">
        <v>7.0174946140728833E-6</v>
      </c>
      <c r="C397" s="317" t="s">
        <v>314</v>
      </c>
    </row>
    <row r="398" spans="1:3" x14ac:dyDescent="0.2">
      <c r="A398" s="319" t="s">
        <v>2101</v>
      </c>
      <c r="B398" s="318">
        <f>FRACw.s2C/(FRACa.s2C*(Kaw.C*FRorig.s2w)+FRACw.s2C+FRACs.s2C*Kp.s2C*RHOsolid/1000)</f>
        <v>7.0174946140728833E-6</v>
      </c>
      <c r="C398" s="317" t="s">
        <v>314</v>
      </c>
    </row>
    <row r="399" spans="1:3" x14ac:dyDescent="0.2">
      <c r="A399" s="319" t="s">
        <v>4510</v>
      </c>
      <c r="B399" s="323">
        <v>7.0174946140728833E-6</v>
      </c>
      <c r="C399" s="317" t="s">
        <v>314</v>
      </c>
    </row>
    <row r="400" spans="1:3" x14ac:dyDescent="0.2">
      <c r="A400" s="319" t="s">
        <v>2108</v>
      </c>
      <c r="B400" s="318">
        <f>FRACw.s3C/(FRACa.s3C*(Kaw.C*FRorig.s3w)+FRACw.s3C+FRACs.s3C*Kp.s3C*RHOsolid/1000)</f>
        <v>7.0174946140728833E-6</v>
      </c>
      <c r="C400" s="317" t="s">
        <v>314</v>
      </c>
    </row>
    <row r="401" spans="1:3" x14ac:dyDescent="0.2">
      <c r="A401" s="319" t="s">
        <v>4511</v>
      </c>
      <c r="B401" s="323">
        <v>7.0174946140728833E-6</v>
      </c>
      <c r="C401" s="317" t="s">
        <v>314</v>
      </c>
    </row>
    <row r="402" spans="1:3" x14ac:dyDescent="0.2">
      <c r="A402" s="319" t="s">
        <v>3076</v>
      </c>
      <c r="B402" s="318">
        <f>FRACw.sA/(FRACa.sA*(Kaw.A*FRorig.s1w)+FRACw.sA+FRACs.sA*Kp.sA*RHOsolid/1000)</f>
        <v>7.0174946140728833E-6</v>
      </c>
      <c r="C402" s="317" t="s">
        <v>314</v>
      </c>
    </row>
    <row r="403" spans="1:3" x14ac:dyDescent="0.2">
      <c r="A403" s="319" t="s">
        <v>2691</v>
      </c>
      <c r="B403" s="318">
        <f>FRACw.sM/(FRACa.sM*(Kaw.M*FRorig.s1w)+FRACw.sM+FRACs.sM*Kp.sM*RHOsolid/1000)</f>
        <v>7.0174946140728833E-6</v>
      </c>
      <c r="C403" s="317" t="s">
        <v>314</v>
      </c>
    </row>
    <row r="404" spans="1:3" x14ac:dyDescent="0.2">
      <c r="A404" s="319" t="s">
        <v>3391</v>
      </c>
      <c r="B404" s="318">
        <f>FRACw.sT/(FRACa.sT*(Kaw.T*FRorig.s1w)+FRACw.sT+FRACs.sT*Kp.sT*RHOsolid/1000)</f>
        <v>7.0174946140728833E-6</v>
      </c>
      <c r="C404" s="317" t="s">
        <v>314</v>
      </c>
    </row>
    <row r="405" spans="1:3" x14ac:dyDescent="0.2">
      <c r="A405" s="319" t="s">
        <v>2069</v>
      </c>
      <c r="B405" s="323">
        <f>1/(1+Kp.susp0C*SUSP.w0C/1000+Kp.col0C*COL.w0C/1000)</f>
        <v>0.95445347993738772</v>
      </c>
      <c r="C405" s="317" t="s">
        <v>314</v>
      </c>
    </row>
    <row r="406" spans="1:3" x14ac:dyDescent="0.2">
      <c r="A406" s="319" t="s">
        <v>4512</v>
      </c>
      <c r="B406" s="323">
        <f>1/(1+Kp.susp0R*SUSP.w0R/1000+Kp.col0R*COL.w0R/1000)</f>
        <v>0.95445347993738772</v>
      </c>
      <c r="C406" s="317" t="s">
        <v>314</v>
      </c>
    </row>
    <row r="407" spans="1:3" x14ac:dyDescent="0.2">
      <c r="A407" s="319" t="s">
        <v>2074</v>
      </c>
      <c r="B407" s="323">
        <f>1/(1+Kp.susp1C*SUSP.w1C/1000+Kp.col1C*COL.w1C/1000)</f>
        <v>0.41233372642481919</v>
      </c>
      <c r="C407" s="317" t="s">
        <v>314</v>
      </c>
    </row>
    <row r="408" spans="1:3" x14ac:dyDescent="0.2">
      <c r="A408" s="319" t="s">
        <v>4513</v>
      </c>
      <c r="B408" s="323">
        <f>1/(1+Kp.susp1R*SUSP.w1R/1000+Kp.col1R*COL.w1R/1000)</f>
        <v>0.41233372642481919</v>
      </c>
      <c r="C408" s="317" t="s">
        <v>314</v>
      </c>
    </row>
    <row r="409" spans="1:3" x14ac:dyDescent="0.2">
      <c r="A409" s="317" t="s">
        <v>3060</v>
      </c>
      <c r="B409" s="318">
        <f>1/(1+Kp.susp2A*SUSP.w2A/1000+Kp.col2A*COL.w2A/1000)</f>
        <v>0.67786499640731546</v>
      </c>
      <c r="C409" s="317" t="s">
        <v>314</v>
      </c>
    </row>
    <row r="410" spans="1:3" x14ac:dyDescent="0.2">
      <c r="A410" s="319" t="s">
        <v>2079</v>
      </c>
      <c r="B410" s="323">
        <f>1/(1+Kp.susp2C*SUSP.w2C/1000+Kp.col2C*COL.w2C/1000)</f>
        <v>0.67786499640731546</v>
      </c>
      <c r="C410" s="317" t="s">
        <v>314</v>
      </c>
    </row>
    <row r="411" spans="1:3" x14ac:dyDescent="0.2">
      <c r="A411" s="317" t="s">
        <v>2659</v>
      </c>
      <c r="B411" s="318">
        <f>1/(1+Kp.susp2M*SUSP.w2M/1000+Kp.col2M*COL.w2M/1000)</f>
        <v>0.67786499640731546</v>
      </c>
      <c r="C411" s="317" t="s">
        <v>314</v>
      </c>
    </row>
    <row r="412" spans="1:3" x14ac:dyDescent="0.2">
      <c r="A412" s="319" t="s">
        <v>4514</v>
      </c>
      <c r="B412" s="318">
        <f>1/(1+Kp.susp2R*SUSP.w2R/1000+Kp.col2R*COL.w2R/1000)</f>
        <v>0.67786499640731546</v>
      </c>
      <c r="C412" s="317" t="s">
        <v>314</v>
      </c>
    </row>
    <row r="413" spans="1:3" x14ac:dyDescent="0.2">
      <c r="A413" s="317" t="s">
        <v>3375</v>
      </c>
      <c r="B413" s="323">
        <f>1/(1+Kp.susp2T*SUSP.w2T/1000+Kp.col2T*COL.w2T/1000)</f>
        <v>0.67786499640731546</v>
      </c>
      <c r="C413" s="317" t="s">
        <v>314</v>
      </c>
    </row>
    <row r="414" spans="1:3" x14ac:dyDescent="0.2">
      <c r="A414" s="317" t="s">
        <v>3061</v>
      </c>
      <c r="B414" s="318">
        <f>1/(1+Kp.susp3A*SUSP.w3A/1000+Kp.col3A*COL.w3A/1000)</f>
        <v>0.67786499640731546</v>
      </c>
      <c r="C414" s="317" t="s">
        <v>314</v>
      </c>
    </row>
    <row r="415" spans="1:3" x14ac:dyDescent="0.2">
      <c r="A415" s="317" t="s">
        <v>2661</v>
      </c>
      <c r="B415" s="318">
        <f>1/(1+Kp.susp3M*SUSP.w3M/1000+Kp.col3M*COL.w3M/1000)</f>
        <v>0.67786499640731546</v>
      </c>
      <c r="C415" s="317" t="s">
        <v>314</v>
      </c>
    </row>
    <row r="416" spans="1:3" x14ac:dyDescent="0.2">
      <c r="A416" s="317" t="s">
        <v>3376</v>
      </c>
      <c r="B416" s="323">
        <f>1/(1+Kp.susp3T*SUSP.w3T/1000+Kp.col3T*COL.w3T/1000)</f>
        <v>0.67786499640731546</v>
      </c>
      <c r="C416" s="317" t="s">
        <v>314</v>
      </c>
    </row>
    <row r="417" spans="1:3" ht="15" x14ac:dyDescent="0.2">
      <c r="A417" s="317" t="s">
        <v>4515</v>
      </c>
      <c r="B417" s="318">
        <f>FRgas.aA*(MTCas.air.aA*MTCas.soil.sA/(FRorig.s1*MTCas.air.aA*Kaw.A+MTCas.soil.sA))*SYSTEMAREA.A*AREAFRAC.sA</f>
        <v>3.91878335286377E-7</v>
      </c>
      <c r="C417" s="321" t="s">
        <v>1089</v>
      </c>
    </row>
    <row r="418" spans="1:3" ht="15" x14ac:dyDescent="0.2">
      <c r="A418" s="317" t="s">
        <v>4516</v>
      </c>
      <c r="B418" s="318">
        <f>FRgas.aA*(MTCaw.air.aA*MTCaw.water.wA/(FRorig.w1*MTCaw.air.aA*Kaw.A+MTCaw.water.wA))*SYSTEMAREA.A*AREAFRAC.wA</f>
        <v>2.7715229645670876E-6</v>
      </c>
      <c r="C418" s="321" t="s">
        <v>1089</v>
      </c>
    </row>
    <row r="419" spans="1:3" ht="15" x14ac:dyDescent="0.2">
      <c r="A419" s="317" t="s">
        <v>4517</v>
      </c>
      <c r="B419" s="318">
        <f>FRgas.aC*(MTCas.air.aC*MTCas.soil.sC)/(MTCas.air.aC*((Kaw.C*FRorig.s1w)/Ks1w.C)+MTCas.soil.sC)*(SYSTEMAREA.C*AREAFRAC.s1C)</f>
        <v>4.1739995554558726E-4</v>
      </c>
      <c r="C419" s="317" t="s">
        <v>1089</v>
      </c>
    </row>
    <row r="420" spans="1:3" ht="15" x14ac:dyDescent="0.2">
      <c r="A420" s="317" t="s">
        <v>4518</v>
      </c>
      <c r="B420" s="318">
        <f>FRgas.aC*(MTCas.air.aC*MTCas.soil.sC)/(MTCas.air.aC*((Kaw.C*FRorig.s2w)/Ks2w.C)+MTCas.soil.sC)*(SYSTEMAREA.C*AREAFRAC.s2C)</f>
        <v>9.2755545676797158E-4</v>
      </c>
      <c r="C420" s="317" t="s">
        <v>1089</v>
      </c>
    </row>
    <row r="421" spans="1:3" ht="15" x14ac:dyDescent="0.2">
      <c r="A421" s="317" t="s">
        <v>4519</v>
      </c>
      <c r="B421" s="318">
        <f>FRgas.aC*(MTCas.air.aC*MTCas.soil.sC)/(MTCas.air.aC*((Kaw.C*FRorig.s3w)/Ks3w.C)+MTCas.soil.sC)*(SYSTEMAREA.C*AREAFRAC.s3C)</f>
        <v>1.5459257612799525E-4</v>
      </c>
      <c r="C421" s="317" t="s">
        <v>1089</v>
      </c>
    </row>
    <row r="422" spans="1:3" ht="15" x14ac:dyDescent="0.2">
      <c r="A422" s="317" t="s">
        <v>4520</v>
      </c>
      <c r="B422" s="318">
        <f>FRgas.aC*(MTCaw.air.aC*MTCaw.water.wC/(FRorig.w1*MTCaw.air.aC*Kaw.C+MTCaw.water.wC))*SYSTEMAREA.C*AREAFRAC.w0C</f>
        <v>1.8222359536153602E-5</v>
      </c>
      <c r="C422" s="317" t="s">
        <v>1089</v>
      </c>
    </row>
    <row r="423" spans="1:3" ht="15" x14ac:dyDescent="0.2">
      <c r="A423" s="317" t="s">
        <v>4521</v>
      </c>
      <c r="B423" s="318">
        <f>FRgas.aC*(MTCaw.air.aC*MTCaw.water.wC/(FRorig.w1*MTCaw.air.aC*Kaw.C+MTCaw.water.wC))*SYSTEMAREA.C*AREAFRAC.w1C</f>
        <v>2.0044595489768962E-4</v>
      </c>
      <c r="C423" s="317" t="s">
        <v>1089</v>
      </c>
    </row>
    <row r="424" spans="1:3" ht="15" x14ac:dyDescent="0.2">
      <c r="A424" s="317" t="s">
        <v>4522</v>
      </c>
      <c r="B424" s="318">
        <f>FRgas.aC*(MTCaw.air.aC*MTCaw.water.wC/(FRorig.w2*MTCaw.air.aC*Kaw.C+MTCaw.water.wC))*SYSTEMAREA.C*AREAFRAC.w2C</f>
        <v>7.7647961036821141E-3</v>
      </c>
      <c r="C424" s="317" t="s">
        <v>1089</v>
      </c>
    </row>
    <row r="425" spans="1:3" ht="15" x14ac:dyDescent="0.2">
      <c r="A425" s="317" t="s">
        <v>4523</v>
      </c>
      <c r="B425" s="318">
        <f>FRgas.aM*(MTCas.air.aM*MTCas.soil.sM/(FRorig.s1*MTCas.air.aM*Kaw.M+MTCas.soil.sM))*SYSTEMAREA.M*AREAFRAC.sM</f>
        <v>1.7200414601785306E-2</v>
      </c>
      <c r="C425" s="321" t="s">
        <v>1089</v>
      </c>
    </row>
    <row r="426" spans="1:3" ht="15" x14ac:dyDescent="0.2">
      <c r="A426" s="317" t="s">
        <v>4524</v>
      </c>
      <c r="B426" s="318">
        <f>FRgas.aM*(MTCaw.air.aM*MTCaw.water.wM/(FRorig.w1*MTCaw.air.aM*Kaw.M+MTCaw.water.wM))*SYSTEMAREA.M*AREAFRAC.wM</f>
        <v>8.1101251440323568E-2</v>
      </c>
      <c r="C426" s="321" t="s">
        <v>1089</v>
      </c>
    </row>
    <row r="427" spans="1:3" ht="15" x14ac:dyDescent="0.2">
      <c r="A427" s="317" t="s">
        <v>4525</v>
      </c>
      <c r="B427" s="318">
        <v>7.8792811842481737E-5</v>
      </c>
      <c r="C427" s="317" t="s">
        <v>1089</v>
      </c>
    </row>
    <row r="428" spans="1:3" ht="15" x14ac:dyDescent="0.2">
      <c r="A428" s="317" t="s">
        <v>4526</v>
      </c>
      <c r="B428" s="318">
        <v>1.7509513742773714E-4</v>
      </c>
      <c r="C428" s="317" t="s">
        <v>1089</v>
      </c>
    </row>
    <row r="429" spans="1:3" ht="15" x14ac:dyDescent="0.2">
      <c r="A429" s="317" t="s">
        <v>4527</v>
      </c>
      <c r="B429" s="318">
        <v>2.918252290462286E-5</v>
      </c>
      <c r="C429" s="317" t="s">
        <v>1089</v>
      </c>
    </row>
    <row r="430" spans="1:3" ht="15" x14ac:dyDescent="0.2">
      <c r="A430" s="317" t="s">
        <v>4528</v>
      </c>
      <c r="B430" s="318">
        <v>3.4399598469625707E-6</v>
      </c>
      <c r="C430" s="317" t="s">
        <v>1089</v>
      </c>
    </row>
    <row r="431" spans="1:3" ht="15" x14ac:dyDescent="0.2">
      <c r="A431" s="317" t="s">
        <v>4529</v>
      </c>
      <c r="B431" s="318">
        <v>3.7839558316588276E-5</v>
      </c>
      <c r="C431" s="317" t="s">
        <v>1089</v>
      </c>
    </row>
    <row r="432" spans="1:3" ht="15" x14ac:dyDescent="0.2">
      <c r="A432" s="317" t="s">
        <v>4530</v>
      </c>
      <c r="B432" s="318">
        <v>6.0199673569804861E-6</v>
      </c>
      <c r="C432" s="317" t="s">
        <v>1089</v>
      </c>
    </row>
    <row r="433" spans="1:3" ht="15" x14ac:dyDescent="0.2">
      <c r="A433" s="317" t="s">
        <v>4531</v>
      </c>
      <c r="B433" s="318">
        <f>FRgas.aT*(MTCas.air.aT*MTCas.soil.sT/(FRorig.s1*MTCas.air.aT*Kaw.T+MTCas.soil.sT))*SYSTEMAREA.T*AREAFRAC.sT</f>
        <v>6.6546737977852433E-2</v>
      </c>
      <c r="C433" s="321" t="s">
        <v>1089</v>
      </c>
    </row>
    <row r="434" spans="1:3" ht="15" x14ac:dyDescent="0.2">
      <c r="A434" s="317" t="s">
        <v>4532</v>
      </c>
      <c r="B434" s="318">
        <f>FRgas.aT*(MTCaw.air.aT*MTCaw.water.wT/(FRorig.w1*MTCaw.air.aT*Kaw.T+MTCaw.water.wT))*SYSTEMAREA.T*AREAFRAC.wT</f>
        <v>0.73978617020053028</v>
      </c>
      <c r="C434" s="321" t="s">
        <v>1089</v>
      </c>
    </row>
    <row r="435" spans="1:3" ht="15" x14ac:dyDescent="0.2">
      <c r="A435" s="317" t="s">
        <v>3095</v>
      </c>
      <c r="B435" s="318">
        <f>FRgas.aA*(tdry.A+twet.A)/twet.A*RAINrate.A/((Kaw.A*FRorig.cldw)+0.0000000555)</f>
        <v>5.2375767251035293E-17</v>
      </c>
      <c r="C435" s="319" t="s">
        <v>1226</v>
      </c>
    </row>
    <row r="436" spans="1:3" ht="15" x14ac:dyDescent="0.2">
      <c r="A436" s="317" t="s">
        <v>2149</v>
      </c>
      <c r="B436" s="318">
        <f>FRgas.aC*(tdry.C+twet.C)/twet.C*RAINrate.C/((Kaw.C*FRorig.cldw)+0.0000000555)</f>
        <v>2.8214170191580335E-12</v>
      </c>
      <c r="C436" s="319" t="s">
        <v>1226</v>
      </c>
    </row>
    <row r="437" spans="1:3" ht="15" x14ac:dyDescent="0.2">
      <c r="A437" s="317" t="s">
        <v>2718</v>
      </c>
      <c r="B437" s="318">
        <f>FRgas.aM*(tdry.M+twet.M)/twet.M*RAINrate.M/((Kaw.M*FRorig.cldw)+0.0000000555)</f>
        <v>2.8214170191580335E-12</v>
      </c>
      <c r="C437" s="319" t="s">
        <v>1226</v>
      </c>
    </row>
    <row r="438" spans="1:3" ht="15" x14ac:dyDescent="0.2">
      <c r="A438" s="317" t="s">
        <v>4533</v>
      </c>
      <c r="B438" s="318">
        <v>7.928709494231241E-12</v>
      </c>
      <c r="C438" s="319" t="s">
        <v>1226</v>
      </c>
    </row>
    <row r="439" spans="1:3" ht="15" x14ac:dyDescent="0.2">
      <c r="A439" s="317" t="s">
        <v>3407</v>
      </c>
      <c r="B439" s="318">
        <f>FRgas.aT*(tdry.T+twet.T)/twet.T*RAINrate.T/((Kaw.T*FRorig.cldw)+0.0000000555)</f>
        <v>2.0770809567657515E-11</v>
      </c>
      <c r="C439" s="319" t="s">
        <v>1226</v>
      </c>
    </row>
    <row r="440" spans="1:3" ht="15" x14ac:dyDescent="0.2">
      <c r="A440" s="319" t="s">
        <v>2185</v>
      </c>
      <c r="B440" s="318">
        <f>IF(SETTLvelocity.C*SUSP.w1C/(FRACs.sdC*RHOsolid)&gt;NETsedrate.w1C,SETTLvelocity.C*SUSP.w1C/(FRACs.sdC*RHOsolid),NETsedrate.w1C)</f>
        <v>8.8231257485029977E-10</v>
      </c>
      <c r="C440" s="319" t="s">
        <v>1226</v>
      </c>
    </row>
    <row r="441" spans="1:3" ht="15" x14ac:dyDescent="0.2">
      <c r="A441" s="319" t="s">
        <v>1293</v>
      </c>
      <c r="B441" s="318">
        <f>IF(SETTLvelocity.R*SUSP.w1R/(FRACs.sdR*RHOsolid)&gt;NETsedrate.w1R,SETTLvelocity.R*SUSP.w1R/(FRACs.sdR*RHOsolid),NETsedrate.w1R)</f>
        <v>8.8231257485029977E-10</v>
      </c>
      <c r="C441" s="319" t="s">
        <v>1226</v>
      </c>
    </row>
    <row r="442" spans="1:3" ht="15" x14ac:dyDescent="0.2">
      <c r="A442" s="319" t="s">
        <v>2186</v>
      </c>
      <c r="B442" s="318">
        <f>IF(SETTLvelocity.C*SUSP.w2C/(FRACs.sdC*RHOsolid)&gt;NETsedrate.w2C,SETTLvelocity.C*SUSP.w2C/(FRACs.sdC*RHOsolid),NETsedrate.w2C)</f>
        <v>2.9410419161676659E-10</v>
      </c>
      <c r="C442" s="319" t="s">
        <v>1226</v>
      </c>
    </row>
    <row r="443" spans="1:3" ht="15" x14ac:dyDescent="0.2">
      <c r="A443" s="319" t="s">
        <v>1295</v>
      </c>
      <c r="B443" s="318">
        <f>IF(SETTLvelocity.R*SUSP.w2R/(FRACs.sdR*RHOsolid)&gt;NETsedrate.w2R,SETTLvelocity.R*SUSP.w2R/(FRACs.sdR*RHOsolid),NETsedrate.w2R)</f>
        <v>2.9410419161676659E-10</v>
      </c>
      <c r="C443" s="319" t="s">
        <v>1226</v>
      </c>
    </row>
    <row r="444" spans="1:3" ht="15" x14ac:dyDescent="0.2">
      <c r="A444" s="319" t="s">
        <v>3113</v>
      </c>
      <c r="B444" s="318">
        <f>IF(SETTLvelocity.A*SUSP.w3A/(FRACs.sdA*RHOsolid)&gt;NETsedrate.wA,SETTLvelocity.A*SUSP.w3A/(FRACs.sdA*RHOsolid),NETsedrate.wA)</f>
        <v>2.9410419161676659E-10</v>
      </c>
      <c r="C444" s="320" t="s">
        <v>1226</v>
      </c>
    </row>
    <row r="445" spans="1:3" ht="15" x14ac:dyDescent="0.2">
      <c r="A445" s="319" t="s">
        <v>2745</v>
      </c>
      <c r="B445" s="318">
        <f>IF(SETTLvelocity.M*SUSP.w3M/(FRACs.sdM*RHOsolid)&gt;NETsedrate.wM,SETTLvelocity.M*SUSP.w3M/(FRACs.sdM*RHOsolid),NETsedrate.wM)</f>
        <v>2.9410419161676659E-10</v>
      </c>
      <c r="C445" s="320" t="s">
        <v>1226</v>
      </c>
    </row>
    <row r="446" spans="1:3" ht="15" x14ac:dyDescent="0.2">
      <c r="A446" s="319" t="s">
        <v>3425</v>
      </c>
      <c r="B446" s="318">
        <f>IF(SETTLvelocity.T*SUSP.w3T/(FRACs.sdT*RHOsolid)&gt;NETsedrate.wT,SETTLvelocity.T*SUSP.w3T/(FRACs.sdT*RHOsolid),NETsedrate.wT)</f>
        <v>2.9410419161676659E-10</v>
      </c>
      <c r="C446" s="320" t="s">
        <v>1226</v>
      </c>
    </row>
    <row r="447" spans="1:3" ht="15" x14ac:dyDescent="0.2">
      <c r="A447" s="317" t="s">
        <v>607</v>
      </c>
      <c r="B447" s="321">
        <v>10</v>
      </c>
      <c r="C447" s="317" t="s">
        <v>600</v>
      </c>
    </row>
    <row r="448" spans="1:3" ht="15" x14ac:dyDescent="0.2">
      <c r="A448" s="317" t="s">
        <v>599</v>
      </c>
      <c r="B448" s="321">
        <f>-3.82*LN(IF(Tm&gt;298,Pvap25*EXP(-6.79*(1-Tm/298)),Pvap25))+70</f>
        <v>380.93506746535149</v>
      </c>
      <c r="C448" s="317" t="s">
        <v>600</v>
      </c>
    </row>
    <row r="449" spans="1:3" x14ac:dyDescent="0.2">
      <c r="A449" s="319" t="s">
        <v>3020</v>
      </c>
      <c r="B449" s="318">
        <v>1000</v>
      </c>
      <c r="C449" s="317" t="s">
        <v>843</v>
      </c>
    </row>
    <row r="450" spans="1:3" x14ac:dyDescent="0.2">
      <c r="A450" s="319" t="s">
        <v>1993</v>
      </c>
      <c r="B450" s="318">
        <v>1000</v>
      </c>
      <c r="C450" s="321" t="s">
        <v>843</v>
      </c>
    </row>
    <row r="451" spans="1:3" x14ac:dyDescent="0.2">
      <c r="A451" s="319" t="s">
        <v>2595</v>
      </c>
      <c r="B451" s="318">
        <v>1000</v>
      </c>
      <c r="C451" s="317" t="s">
        <v>843</v>
      </c>
    </row>
    <row r="452" spans="1:3" x14ac:dyDescent="0.2">
      <c r="A452" s="319" t="s">
        <v>1019</v>
      </c>
      <c r="B452" s="318">
        <v>1000</v>
      </c>
      <c r="C452" s="317" t="s">
        <v>843</v>
      </c>
    </row>
    <row r="453" spans="1:3" x14ac:dyDescent="0.2">
      <c r="A453" s="319" t="s">
        <v>3340</v>
      </c>
      <c r="B453" s="321">
        <v>1000</v>
      </c>
      <c r="C453" s="317" t="s">
        <v>843</v>
      </c>
    </row>
    <row r="454" spans="1:3" x14ac:dyDescent="0.2">
      <c r="A454" s="321" t="s">
        <v>4534</v>
      </c>
      <c r="B454" s="321">
        <v>0.17199999999999999</v>
      </c>
      <c r="C454" s="317" t="s">
        <v>4535</v>
      </c>
    </row>
    <row r="455" spans="1:3" ht="15" x14ac:dyDescent="0.2">
      <c r="A455" s="317" t="s">
        <v>4536</v>
      </c>
      <c r="B455" s="318">
        <f>kesc.aA+FRgas.aA*kdegG.air*(C.OHrad.aA/C.OHrad)*Tempfactor.aA</f>
        <v>3.663258818281463E-10</v>
      </c>
      <c r="C455" s="317" t="s">
        <v>642</v>
      </c>
    </row>
    <row r="456" spans="1:3" ht="15" x14ac:dyDescent="0.2">
      <c r="A456" s="317" t="s">
        <v>3037</v>
      </c>
      <c r="B456" s="318">
        <f>1/TAU.aA</f>
        <v>6.9234185224561193E-7</v>
      </c>
      <c r="C456" s="317" t="s">
        <v>642</v>
      </c>
    </row>
    <row r="457" spans="1:3" ht="15" x14ac:dyDescent="0.2">
      <c r="A457" s="317" t="s">
        <v>4537</v>
      </c>
      <c r="B457" s="318" t="e">
        <f>(DEPflow.aA.sA+GASABSflow.aA.sA)/VOLUME.aA</f>
        <v>#NAME?</v>
      </c>
      <c r="C457" s="317" t="s">
        <v>642</v>
      </c>
    </row>
    <row r="458" spans="1:3" ht="15" x14ac:dyDescent="0.2">
      <c r="A458" s="317" t="s">
        <v>4538</v>
      </c>
      <c r="B458" s="318" t="e">
        <f>(DEPflow.aA.w2A+GASABSflow.aA.w2A)/VOLUME.aA</f>
        <v>#NAME?</v>
      </c>
      <c r="C458" s="317" t="s">
        <v>642</v>
      </c>
    </row>
    <row r="459" spans="1:3" ht="15" x14ac:dyDescent="0.2">
      <c r="A459" s="317" t="s">
        <v>2214</v>
      </c>
      <c r="B459" s="318">
        <f>kesc.aC+FRgas.aC*kdegG.air*(C.OHrad.aC/C.OHrad)*Tempfactor.aC</f>
        <v>3.663258818281463E-10</v>
      </c>
      <c r="C459" s="317" t="s">
        <v>642</v>
      </c>
    </row>
    <row r="460" spans="1:3" ht="15" x14ac:dyDescent="0.2">
      <c r="A460" s="317" t="s">
        <v>2022</v>
      </c>
      <c r="B460" s="318" t="e">
        <f>1/TAU.aC-AIRflow.aC.aR /VOLUME.aC</f>
        <v>#NAME?</v>
      </c>
      <c r="C460" s="317" t="s">
        <v>642</v>
      </c>
    </row>
    <row r="461" spans="1:3" ht="15" x14ac:dyDescent="0.2">
      <c r="A461" s="317" t="s">
        <v>2020</v>
      </c>
      <c r="B461" s="318" t="e">
        <f>AIRflow.aR.aC/VOLUME.aC</f>
        <v>#NAME?</v>
      </c>
      <c r="C461" s="317" t="s">
        <v>642</v>
      </c>
    </row>
    <row r="462" spans="1:3" ht="15" x14ac:dyDescent="0.2">
      <c r="A462" s="317" t="s">
        <v>4539</v>
      </c>
      <c r="B462" s="318" t="e">
        <f>(DEPflow.aC.s1C+GASABSflow.aC.s1C)/VOLUME.aC</f>
        <v>#NAME?</v>
      </c>
      <c r="C462" s="317" t="s">
        <v>642</v>
      </c>
    </row>
    <row r="463" spans="1:3" ht="15" x14ac:dyDescent="0.2">
      <c r="A463" s="317" t="s">
        <v>4540</v>
      </c>
      <c r="B463" s="318" t="e">
        <f>(DEPflow.aC.s2C+GASABSflow.aC.s2C)/VOLUME.aC</f>
        <v>#NAME?</v>
      </c>
      <c r="C463" s="317" t="s">
        <v>642</v>
      </c>
    </row>
    <row r="464" spans="1:3" ht="15" x14ac:dyDescent="0.2">
      <c r="A464" s="317" t="s">
        <v>4541</v>
      </c>
      <c r="B464" s="318" t="e">
        <f>(DEPflow.aC.s3C+GASABSflow.aC.s3C)/VOLUME.aC</f>
        <v>#NAME?</v>
      </c>
      <c r="C464" s="317" t="s">
        <v>642</v>
      </c>
    </row>
    <row r="465" spans="1:3" ht="15" x14ac:dyDescent="0.2">
      <c r="A465" s="317" t="s">
        <v>4542</v>
      </c>
      <c r="B465" s="318" t="e">
        <f>(DEPflow.aC.w0C+GASABSflow.aC.w0C)/VOLUME.aC</f>
        <v>#NAME?</v>
      </c>
      <c r="C465" s="317" t="s">
        <v>642</v>
      </c>
    </row>
    <row r="466" spans="1:3" ht="15" x14ac:dyDescent="0.2">
      <c r="A466" s="317" t="s">
        <v>4543</v>
      </c>
      <c r="B466" s="318" t="e">
        <f>(DEPflow.aC.w1C+GASABSflow.aC.w1C)/VOLUME.aC</f>
        <v>#NAME?</v>
      </c>
      <c r="C466" s="317" t="s">
        <v>642</v>
      </c>
    </row>
    <row r="467" spans="1:3" ht="15" x14ac:dyDescent="0.2">
      <c r="A467" s="317" t="s">
        <v>4544</v>
      </c>
      <c r="B467" s="318" t="e">
        <f>(DEPflow.aC.w2C+GASABSflow.aC.w2C)/VOLUME.aC</f>
        <v>#NAME?</v>
      </c>
      <c r="C467" s="317" t="s">
        <v>642</v>
      </c>
    </row>
    <row r="468" spans="1:3" ht="15" x14ac:dyDescent="0.2">
      <c r="A468" s="317" t="s">
        <v>4545</v>
      </c>
      <c r="B468" s="318">
        <f>kesc.aM+FRgas.aM*kdegG.air*(C.OHrad.aM/C.OHrad)*Tempfactor.aM</f>
        <v>3.663258818281463E-10</v>
      </c>
      <c r="C468" s="317" t="s">
        <v>642</v>
      </c>
    </row>
    <row r="469" spans="1:3" ht="15" x14ac:dyDescent="0.2">
      <c r="A469" s="317" t="s">
        <v>2618</v>
      </c>
      <c r="B469" s="318" t="e">
        <f>AIRflow.aA.aM/VOLUME.aM</f>
        <v>#NAME?</v>
      </c>
      <c r="C469" s="317" t="s">
        <v>642</v>
      </c>
    </row>
    <row r="470" spans="1:3" ht="15" x14ac:dyDescent="0.2">
      <c r="A470" s="317" t="s">
        <v>2616</v>
      </c>
      <c r="B470" s="318" t="e">
        <f>AIRflow.aC.aM/VOLUME.aM</f>
        <v>#NAME?</v>
      </c>
      <c r="C470" s="317" t="s">
        <v>642</v>
      </c>
    </row>
    <row r="471" spans="1:3" ht="15" x14ac:dyDescent="0.2">
      <c r="A471" s="317" t="s">
        <v>2620</v>
      </c>
      <c r="B471" s="318" t="e">
        <f>AIRflow.aT.aM/VOLUME.aM</f>
        <v>#NAME?</v>
      </c>
      <c r="C471" s="317" t="s">
        <v>642</v>
      </c>
    </row>
    <row r="472" spans="1:3" ht="15" x14ac:dyDescent="0.2">
      <c r="A472" s="317" t="s">
        <v>4546</v>
      </c>
      <c r="B472" s="318" t="e">
        <f>(DEPflow.aM.sM+GASABSflow.aM.sM)/VOLUME.aM</f>
        <v>#NAME?</v>
      </c>
      <c r="C472" s="317" t="s">
        <v>642</v>
      </c>
    </row>
    <row r="473" spans="1:3" ht="15" x14ac:dyDescent="0.2">
      <c r="A473" s="317" t="s">
        <v>4547</v>
      </c>
      <c r="B473" s="318" t="e">
        <f>(DEPflow.aM.w2M+GASABSflow.aM.w2M)/VOLUME.aM</f>
        <v>#NAME?</v>
      </c>
      <c r="C473" s="317" t="s">
        <v>642</v>
      </c>
    </row>
    <row r="474" spans="1:3" ht="15" x14ac:dyDescent="0.2">
      <c r="A474" s="317" t="s">
        <v>4548</v>
      </c>
      <c r="B474" s="318">
        <f>kesc.aR+FRgas.aR*kdegG.air*(C.OHrad.aR/C.OHrad)*Tempfactor.aR</f>
        <v>3.663258818281463E-10</v>
      </c>
      <c r="C474" s="317" t="s">
        <v>642</v>
      </c>
    </row>
    <row r="475" spans="1:3" ht="15" x14ac:dyDescent="0.2">
      <c r="A475" s="317" t="s">
        <v>1071</v>
      </c>
      <c r="B475" s="318">
        <f>1/TAU.aR</f>
        <v>9.4201427396491372E-6</v>
      </c>
      <c r="C475" s="317" t="s">
        <v>642</v>
      </c>
    </row>
    <row r="476" spans="1:3" ht="15" x14ac:dyDescent="0.2">
      <c r="A476" s="317" t="s">
        <v>4549</v>
      </c>
      <c r="B476" s="325" t="e">
        <f>(DEPflow.aR.s1R+GASABSflow.aR.s1R)/VOLUME.aR</f>
        <v>#NAME?</v>
      </c>
      <c r="C476" s="317" t="s">
        <v>642</v>
      </c>
    </row>
    <row r="477" spans="1:3" ht="15" x14ac:dyDescent="0.2">
      <c r="A477" s="317" t="s">
        <v>4550</v>
      </c>
      <c r="B477" s="325" t="e">
        <f>(DEPflow.aR.s2R+GASABSflow.aR.s2R)/VOLUME.aR</f>
        <v>#NAME?</v>
      </c>
      <c r="C477" s="317" t="s">
        <v>642</v>
      </c>
    </row>
    <row r="478" spans="1:3" ht="15" x14ac:dyDescent="0.2">
      <c r="A478" s="317" t="s">
        <v>4551</v>
      </c>
      <c r="B478" s="325" t="e">
        <f>(DEPflow.aR.s3R+GASABSflow.aR.s3R)/VOLUME.aR</f>
        <v>#NAME?</v>
      </c>
      <c r="C478" s="317" t="s">
        <v>642</v>
      </c>
    </row>
    <row r="479" spans="1:3" ht="15" x14ac:dyDescent="0.2">
      <c r="A479" s="317" t="s">
        <v>4552</v>
      </c>
      <c r="B479" s="325" t="e">
        <f>(DEPflow.aR.w0R+GASABSflow.aR.w0R)/VOLUME.aR</f>
        <v>#NAME?</v>
      </c>
      <c r="C479" s="317" t="s">
        <v>642</v>
      </c>
    </row>
    <row r="480" spans="1:3" ht="15" x14ac:dyDescent="0.2">
      <c r="A480" s="317" t="s">
        <v>4553</v>
      </c>
      <c r="B480" s="325" t="e">
        <f>(DEPflow.aR.w1R+GASABSflow.aR.w1R)/VOLUME.aR</f>
        <v>#NAME?</v>
      </c>
      <c r="C480" s="317" t="s">
        <v>642</v>
      </c>
    </row>
    <row r="481" spans="1:3" ht="15" x14ac:dyDescent="0.2">
      <c r="A481" s="317" t="s">
        <v>4554</v>
      </c>
      <c r="B481" s="325" t="e">
        <f>(DEPflow.aR.w2R+GASABSflow.aR.w2R)/VOLUME.aR</f>
        <v>#NAME?</v>
      </c>
      <c r="C481" s="317" t="s">
        <v>642</v>
      </c>
    </row>
    <row r="482" spans="1:3" ht="15" x14ac:dyDescent="0.2">
      <c r="A482" s="317" t="s">
        <v>4555</v>
      </c>
      <c r="B482" s="325">
        <f>kesc.aT+FRgas.aT*kdegG.air*(C.OHrad.aT/C.OHrad)*Tempfactor.aT</f>
        <v>3.663258818281463E-10</v>
      </c>
      <c r="C482" s="317" t="s">
        <v>642</v>
      </c>
    </row>
    <row r="483" spans="1:3" ht="15" x14ac:dyDescent="0.2">
      <c r="A483" s="317" t="s">
        <v>3354</v>
      </c>
      <c r="B483" s="318">
        <f>1/TAU.aT</f>
        <v>3.9972375476524815E-7</v>
      </c>
      <c r="C483" s="317" t="s">
        <v>642</v>
      </c>
    </row>
    <row r="484" spans="1:3" ht="15" x14ac:dyDescent="0.2">
      <c r="A484" s="317" t="s">
        <v>4556</v>
      </c>
      <c r="B484" s="318" t="e">
        <f>(DEPflow.aT.sT+GASABSflow.aT.sT)/VOLUME.aT</f>
        <v>#NAME?</v>
      </c>
      <c r="C484" s="317" t="s">
        <v>642</v>
      </c>
    </row>
    <row r="485" spans="1:3" ht="15" x14ac:dyDescent="0.2">
      <c r="A485" s="317" t="s">
        <v>4557</v>
      </c>
      <c r="B485" s="318" t="e">
        <f>(DEPflow.aT.w2T+GASABSflow.aT.w2T)/VOLUME.aT</f>
        <v>#NAME?</v>
      </c>
      <c r="C485" s="317" t="s">
        <v>642</v>
      </c>
    </row>
    <row r="486" spans="1:3" ht="15" x14ac:dyDescent="0.2">
      <c r="A486" s="317" t="s">
        <v>2221</v>
      </c>
      <c r="B486" s="318">
        <f>Tempfactor.wsdsC*kdeg.soil+FRACinf.s1C*RAINrate.C/Ks1w.C*CORRleach.s1C*SYSTEMAREA.C*AREAFRAC.s1C/VOLUME.s1C</f>
        <v>3.3342662796888909E-14</v>
      </c>
      <c r="C486" s="317" t="s">
        <v>642</v>
      </c>
    </row>
    <row r="487" spans="1:3" ht="15" x14ac:dyDescent="0.2">
      <c r="A487" s="317" t="s">
        <v>4558</v>
      </c>
      <c r="B487" s="318" t="e">
        <f>VOLATflow.s1C.aC/VOLUME.s1C</f>
        <v>#NAME?</v>
      </c>
      <c r="C487" s="317" t="s">
        <v>642</v>
      </c>
    </row>
    <row r="488" spans="1:3" ht="15" x14ac:dyDescent="0.2">
      <c r="A488" s="317" t="s">
        <v>4559</v>
      </c>
      <c r="B488" s="318">
        <f>(RAINrate.C*FRACrun.s1C/Ks1w.C+EROSION.s1C)*CORRrunoff.s1C * (SYSTEMAREA.C*AREAFRAC.s1C/VOLUME.s1C)</f>
        <v>2.912556392139667E-11</v>
      </c>
      <c r="C488" s="317" t="s">
        <v>642</v>
      </c>
    </row>
    <row r="489" spans="1:3" ht="15" x14ac:dyDescent="0.2">
      <c r="A489" s="317" t="s">
        <v>4560</v>
      </c>
      <c r="B489" s="318">
        <f>Tempfactor.wsdsR*kdeg.soil+FRACinf.s1R*RAINrate.R/Ks1w.R*CORRleach.s1R*SYSTEMAREA.R*AREAFRAC.s1R/VOLUME.s1R</f>
        <v>3.3342662796888916E-14</v>
      </c>
      <c r="C489" s="317" t="s">
        <v>642</v>
      </c>
    </row>
    <row r="490" spans="1:3" ht="15" x14ac:dyDescent="0.2">
      <c r="A490" s="317" t="s">
        <v>4561</v>
      </c>
      <c r="B490" s="318" t="e">
        <f>VOLATflow.s1R.aR/VOLUME.s1R</f>
        <v>#NAME?</v>
      </c>
      <c r="C490" s="317" t="s">
        <v>642</v>
      </c>
    </row>
    <row r="491" spans="1:3" ht="15" x14ac:dyDescent="0.2">
      <c r="A491" s="317" t="s">
        <v>4562</v>
      </c>
      <c r="B491" s="318">
        <f>(RAINrate.R*FRACrun.s1R/Ks1w.R+EROSION.s1R)*CORRrunoff.s1R * (SYSTEMAREA.R*AREAFRAC.s1R/VOLUME.s1R)</f>
        <v>2.912556392139667E-11</v>
      </c>
      <c r="C491" s="317" t="s">
        <v>642</v>
      </c>
    </row>
    <row r="492" spans="1:3" ht="15" x14ac:dyDescent="0.2">
      <c r="A492" s="317" t="s">
        <v>2222</v>
      </c>
      <c r="B492" s="318">
        <f>Tempfactor.wsdsC*kdeg.soil+FRACinf.s2C*RAINrate.C/Ks2w.C*CORRleach.s2C*SYSTEMAREA.C*AREAFRAC.s2C/VOLUME.s2C</f>
        <v>1.5172722089172429E-14</v>
      </c>
      <c r="C492" s="317" t="s">
        <v>642</v>
      </c>
    </row>
    <row r="493" spans="1:3" ht="15" x14ac:dyDescent="0.2">
      <c r="A493" s="317" t="s">
        <v>4563</v>
      </c>
      <c r="B493" s="318" t="e">
        <f>VOLATflow.s2C.aC/VOLUME.s2C</f>
        <v>#NAME?</v>
      </c>
      <c r="C493" s="317" t="s">
        <v>642</v>
      </c>
    </row>
    <row r="494" spans="1:3" ht="15" x14ac:dyDescent="0.2">
      <c r="A494" s="317" t="s">
        <v>4564</v>
      </c>
      <c r="B494" s="318">
        <f>(RAINrate.C*FRACrun.s2C/Ks2w.C+EROSION.s2C)*CORRrunoff.s2C * (SYSTEMAREA.C*AREAFRAC.s2C/VOLUME.s2C)</f>
        <v>1.3253711177838506E-11</v>
      </c>
      <c r="C494" s="317" t="s">
        <v>642</v>
      </c>
    </row>
    <row r="495" spans="1:3" ht="15" x14ac:dyDescent="0.2">
      <c r="A495" s="317" t="s">
        <v>4565</v>
      </c>
      <c r="B495" s="318">
        <f>Tempfactor.wsdsR*kdeg.soil+FRACinf.s2R*RAINrate.R/Ks2w.R*CORRleach.s2R*SYSTEMAREA.R*AREAFRAC.s2R/VOLUME.s2R</f>
        <v>1.5172722089172432E-14</v>
      </c>
      <c r="C495" s="317" t="s">
        <v>642</v>
      </c>
    </row>
    <row r="496" spans="1:3" ht="15" x14ac:dyDescent="0.2">
      <c r="A496" s="317" t="s">
        <v>4566</v>
      </c>
      <c r="B496" s="318" t="e">
        <f>VOLATflow.s2R.aR/VOLUME.s2R</f>
        <v>#NAME?</v>
      </c>
      <c r="C496" s="317" t="s">
        <v>642</v>
      </c>
    </row>
    <row r="497" spans="1:3" ht="15" x14ac:dyDescent="0.2">
      <c r="A497" s="317" t="s">
        <v>4567</v>
      </c>
      <c r="B497" s="318">
        <f>(RAINrate.R*FRACrun.s2R/Ks2w.R+EROSION.s2R)*CORRrunoff.s2R * (SYSTEMAREA.R*AREAFRAC.s2R/VOLUME.s2R)</f>
        <v>1.3253711177838505E-11</v>
      </c>
      <c r="C497" s="317" t="s">
        <v>642</v>
      </c>
    </row>
    <row r="498" spans="1:3" ht="15" x14ac:dyDescent="0.2">
      <c r="A498" s="317" t="s">
        <v>2223</v>
      </c>
      <c r="B498" s="318">
        <f>Tempfactor.wsdsC*kdeg.soil+FRACinf.s3C*RAINrate.C/Ks3w.C*CORRleach.s3C*SYSTEMAREA.C*AREAFRAC.s3C/VOLUME.s3C</f>
        <v>3.3342662796888916E-14</v>
      </c>
      <c r="C498" s="317" t="s">
        <v>642</v>
      </c>
    </row>
    <row r="499" spans="1:3" ht="15" x14ac:dyDescent="0.2">
      <c r="A499" s="317" t="s">
        <v>4568</v>
      </c>
      <c r="B499" s="318" t="e">
        <f>VOLATflow.s3C.aC/VOLUME.s3C</f>
        <v>#NAME?</v>
      </c>
      <c r="C499" s="317" t="s">
        <v>642</v>
      </c>
    </row>
    <row r="500" spans="1:3" ht="15" x14ac:dyDescent="0.2">
      <c r="A500" s="317" t="s">
        <v>4569</v>
      </c>
      <c r="B500" s="318">
        <f>(RAINrate.C*FRACrun.s3C/Ks3w.C+EROSION.s3C)*CORRrunoff.s3C * (SYSTEMAREA.C*AREAFRAC.s3C/VOLUME.s3C)</f>
        <v>2.912556392139667E-11</v>
      </c>
      <c r="C500" s="317" t="s">
        <v>642</v>
      </c>
    </row>
    <row r="501" spans="1:3" ht="15" x14ac:dyDescent="0.2">
      <c r="A501" s="317" t="s">
        <v>4570</v>
      </c>
      <c r="B501" s="318">
        <f>Tempfactor.wsdsR*kdeg.soil+FRACinf.s3R*RAINrate.R/Ks3w.R*CORRleach.s3R*SYSTEMAREA.R*AREAFRAC.s3R/VOLUME.s3R</f>
        <v>3.3342662796888922E-14</v>
      </c>
      <c r="C501" s="317" t="s">
        <v>642</v>
      </c>
    </row>
    <row r="502" spans="1:3" ht="15" x14ac:dyDescent="0.2">
      <c r="A502" s="317" t="s">
        <v>4571</v>
      </c>
      <c r="B502" s="318" t="e">
        <f>VOLATflow.s3R.aR/VOLUME.s3R</f>
        <v>#NAME?</v>
      </c>
      <c r="C502" s="317" t="s">
        <v>642</v>
      </c>
    </row>
    <row r="503" spans="1:3" ht="15" x14ac:dyDescent="0.2">
      <c r="A503" s="317" t="s">
        <v>4572</v>
      </c>
      <c r="B503" s="318">
        <f>(RAINrate.R*FRACrun.s3R/Ks3w.R+EROSION.s3R)*CORRrunoff.s3R * (SYSTEMAREA.R*AREAFRAC.s3R/VOLUME.s3R)</f>
        <v>2.912556392139667E-11</v>
      </c>
      <c r="C503" s="317" t="s">
        <v>642</v>
      </c>
    </row>
    <row r="504" spans="1:3" ht="15" x14ac:dyDescent="0.2">
      <c r="A504" s="317" t="s">
        <v>4573</v>
      </c>
      <c r="B504" s="318">
        <f>Tempfactor.wsdsA*kdeg.soil+FRACinf.sA*RAINrate.A/Kslw.A*CORRleach.sA*SYSTEMAREA.A*AREAFRAC.sA/VOLUME.sA</f>
        <v>1.1908093289464524E-14</v>
      </c>
      <c r="C504" s="317" t="s">
        <v>642</v>
      </c>
    </row>
    <row r="505" spans="1:3" ht="15" x14ac:dyDescent="0.2">
      <c r="A505" s="317" t="s">
        <v>4574</v>
      </c>
      <c r="B505" s="318" t="e">
        <f>VOLATflow.sA.aA/VOLUME.sA</f>
        <v>#NAME?</v>
      </c>
      <c r="C505" s="317" t="s">
        <v>642</v>
      </c>
    </row>
    <row r="506" spans="1:3" ht="15" x14ac:dyDescent="0.2">
      <c r="A506" s="317" t="s">
        <v>4575</v>
      </c>
      <c r="B506" s="318">
        <f>(RAINrate.A*FRACrun.sA/Kslw.A+EROSION.sA)*CORRrunoff.sA * (SYSTEMAREA.A*AREAFRAC.sA/VOLUME.sA)</f>
        <v>2.594439221836083E-11</v>
      </c>
      <c r="C506" s="317" t="s">
        <v>642</v>
      </c>
    </row>
    <row r="507" spans="1:3" ht="15" x14ac:dyDescent="0.2">
      <c r="A507" s="317" t="s">
        <v>2219</v>
      </c>
      <c r="B507" s="318">
        <f>Tempfactor.wsdsC*kdeg.sed+NETsedrate.w1C*SYSTEMAREA.C*AREAFRAC.w1C/VOLUME.sd1C</f>
        <v>2.8742283951576204E-9</v>
      </c>
      <c r="C507" s="317" t="s">
        <v>642</v>
      </c>
    </row>
    <row r="508" spans="1:3" ht="15" x14ac:dyDescent="0.2">
      <c r="A508" s="317" t="s">
        <v>4576</v>
      </c>
      <c r="B508" s="318" t="e">
        <f>(RESUSPflow.sd1C.w1C+DESORBflow.sd1C.w1C)/VOLUME.sd1C</f>
        <v>#NAME?</v>
      </c>
      <c r="C508" s="317" t="s">
        <v>642</v>
      </c>
    </row>
    <row r="509" spans="1:3" ht="15" x14ac:dyDescent="0.2">
      <c r="A509" s="317" t="s">
        <v>4577</v>
      </c>
      <c r="B509" s="318">
        <f>Tempfactor.wsdsR*kdeg.sed+NETsedrate.w1R*(SYSTEMAREA.R*AREAFRAC.w1R/VOLUME.sd1R)</f>
        <v>2.8953682563883014E-9</v>
      </c>
      <c r="C509" s="317" t="s">
        <v>642</v>
      </c>
    </row>
    <row r="510" spans="1:3" ht="15" x14ac:dyDescent="0.2">
      <c r="A510" s="317" t="s">
        <v>4578</v>
      </c>
      <c r="B510" s="318">
        <f>(RESUSPflow.sd1R.w1R+DESORBflow.sd1R.w1R)/VOLUME.sd1R</f>
        <v>4.2244712054474879E-18</v>
      </c>
      <c r="C510" s="317" t="s">
        <v>642</v>
      </c>
    </row>
    <row r="511" spans="1:3" ht="15" x14ac:dyDescent="0.2">
      <c r="A511" s="317" t="s">
        <v>2220</v>
      </c>
      <c r="B511" s="318">
        <f>Tempfactor.wsdsC*kdeg.sed+NETsedrate.w2C*SYSTEMAREA.C*AREAFRAC.w2C/VOLUME.sd2C</f>
        <v>9.1333333333739474E-10</v>
      </c>
      <c r="C511" s="317" t="s">
        <v>642</v>
      </c>
    </row>
    <row r="512" spans="1:3" ht="15" x14ac:dyDescent="0.2">
      <c r="A512" s="317" t="s">
        <v>4579</v>
      </c>
      <c r="B512" s="318" t="e">
        <f>(RESUSPflow.sd2C.w2C+DESORBflow.sd2C.w2C)/VOLUME.sd2C</f>
        <v>#NAME?</v>
      </c>
      <c r="C512" s="317" t="s">
        <v>642</v>
      </c>
    </row>
    <row r="513" spans="1:3" ht="15" x14ac:dyDescent="0.2">
      <c r="A513" s="317" t="s">
        <v>4580</v>
      </c>
      <c r="B513" s="318">
        <f>Tempfactor.wsdsR*kdeg.sed+NETsedrate.w2R*(SYSTEMAREA.R*AREAFRAC.w2R/VOLUME.sd2R)</f>
        <v>9.1429324159056473E-10</v>
      </c>
      <c r="C513" s="317" t="s">
        <v>642</v>
      </c>
    </row>
    <row r="514" spans="1:3" ht="15" x14ac:dyDescent="0.2">
      <c r="A514" s="317" t="s">
        <v>4581</v>
      </c>
      <c r="B514" s="318">
        <f>(RESUSPflow.sd2R.w2R+DESORBflow.sd2R.w2R)/VOLUME.sd2R</f>
        <v>8.9277819513144284E-18</v>
      </c>
      <c r="C514" s="317" t="s">
        <v>642</v>
      </c>
    </row>
    <row r="515" spans="1:3" ht="15" x14ac:dyDescent="0.2">
      <c r="A515" s="317" t="s">
        <v>4582</v>
      </c>
      <c r="B515" s="318">
        <f>Tempfactor.wsdsA*kdeg.sed+NETsedrate.wA*SYSTEMAREA.A*AREAFRAC.wA/VOLUME.sdA</f>
        <v>2.1139861331348332E-12</v>
      </c>
      <c r="C515" s="317" t="s">
        <v>642</v>
      </c>
    </row>
    <row r="516" spans="1:3" ht="15" x14ac:dyDescent="0.2">
      <c r="A516" s="317" t="s">
        <v>4583</v>
      </c>
      <c r="B516" s="318" t="e">
        <f>(RESUSPflow.sdA.w3A+DESORBflow.sdA.w3A)/VOLUME.sdA</f>
        <v>#NAME?</v>
      </c>
      <c r="C516" s="317" t="s">
        <v>642</v>
      </c>
    </row>
    <row r="517" spans="1:3" ht="15" x14ac:dyDescent="0.2">
      <c r="A517" s="317" t="s">
        <v>4584</v>
      </c>
      <c r="B517" s="318">
        <f>Tempfactor.wsdsM*kdeg.sed+NETsedrate.wM*SYSTEMAREA.M*AREAFRAC.wM/VOLUME.sdM</f>
        <v>2.9839343187174201E-12</v>
      </c>
      <c r="C517" s="317" t="s">
        <v>642</v>
      </c>
    </row>
    <row r="518" spans="1:3" ht="15" x14ac:dyDescent="0.2">
      <c r="A518" s="317" t="s">
        <v>4585</v>
      </c>
      <c r="B518" s="318">
        <f>(RESUSPflow.sdM.w3M+DESORBflow.sdM.w3M)/VOLUME.sdM</f>
        <v>2.5367904055568791E-22</v>
      </c>
      <c r="C518" s="317" t="s">
        <v>642</v>
      </c>
    </row>
    <row r="519" spans="1:3" ht="15" x14ac:dyDescent="0.2">
      <c r="A519" s="317" t="s">
        <v>4586</v>
      </c>
      <c r="B519" s="318">
        <f>Tempfactor.wsdsT*kdeg.sed+NETsedrate.wT*SYSTEMAREA.T*AREAFRAC.wT/VOLUME.sdT</f>
        <v>2.1139861422509831E-12</v>
      </c>
      <c r="C519" s="317" t="s">
        <v>642</v>
      </c>
    </row>
    <row r="520" spans="1:3" ht="15" x14ac:dyDescent="0.2">
      <c r="A520" s="317" t="s">
        <v>4587</v>
      </c>
      <c r="B520" s="318" t="e">
        <f>(RESUSPflow.sdT.w3T+DESORBflow.sdT.w3T)/VOLUME.sdT</f>
        <v>#NAME?</v>
      </c>
      <c r="C520" s="317" t="s">
        <v>642</v>
      </c>
    </row>
    <row r="521" spans="1:3" ht="15" x14ac:dyDescent="0.2">
      <c r="A521" s="317" t="s">
        <v>4588</v>
      </c>
      <c r="B521" s="318">
        <f>Tempfactor.wsdsM*kdeg.soil+FRACinf.sM*RAINrate.M/Kslw.M*CORRleach.sM*SYSTEMAREA.M*AREAFRAC.sM/VOLUME.sM</f>
        <v>3.3342662796888922E-14</v>
      </c>
      <c r="C521" s="317" t="s">
        <v>642</v>
      </c>
    </row>
    <row r="522" spans="1:3" ht="15" x14ac:dyDescent="0.2">
      <c r="A522" s="317" t="s">
        <v>4589</v>
      </c>
      <c r="B522" s="318" t="e">
        <f>VOLATflow.sM.aM/VOLUME.sM</f>
        <v>#NAME?</v>
      </c>
      <c r="C522" s="317" t="s">
        <v>642</v>
      </c>
    </row>
    <row r="523" spans="1:3" ht="15" x14ac:dyDescent="0.2">
      <c r="A523" s="317" t="s">
        <v>4590</v>
      </c>
      <c r="B523" s="318">
        <f>(RAINrate.M*FRACrun.sM/Kslw.M+EROSION.sM)*CORRrunoff.sM * (SYSTEMAREA.M*AREAFRAC.sM/VOLUME.sM)</f>
        <v>2.912556392139667E-11</v>
      </c>
      <c r="C523" s="317" t="s">
        <v>642</v>
      </c>
    </row>
    <row r="524" spans="1:3" ht="15" x14ac:dyDescent="0.2">
      <c r="A524" s="317" t="s">
        <v>4591</v>
      </c>
      <c r="B524" s="318">
        <f>Tempfactor.wsdsT*kdeg.soil+FRACinf.sT*RAINrate.T/Kslw.T*CORRleach.sT*SYSTEMAREA.T*AREAFRAC.sT/VOLUME.sT</f>
        <v>6.192209050902144E-14</v>
      </c>
      <c r="C524" s="317" t="s">
        <v>642</v>
      </c>
    </row>
    <row r="525" spans="1:3" ht="15" x14ac:dyDescent="0.2">
      <c r="A525" s="317" t="s">
        <v>4592</v>
      </c>
      <c r="B525" s="318" t="e">
        <f>VOLATflow.sT.aT/VOLUME.sT</f>
        <v>#NAME?</v>
      </c>
      <c r="C525" s="317" t="s">
        <v>642</v>
      </c>
    </row>
    <row r="526" spans="1:3" ht="15" x14ac:dyDescent="0.2">
      <c r="A526" s="317" t="s">
        <v>4593</v>
      </c>
      <c r="B526" s="318">
        <f>(RAINrate.T*FRACrun.sT/Kslw.T+EROSION.sT)*CORRrunoff.sT * (SYSTEMAREA.T*AREAFRAC.sT/VOLUME.sT)</f>
        <v>3.3367126192111106E-11</v>
      </c>
      <c r="C526" s="317" t="s">
        <v>642</v>
      </c>
    </row>
    <row r="527" spans="1:3" ht="15" x14ac:dyDescent="0.2">
      <c r="A527" s="317" t="s">
        <v>2215</v>
      </c>
      <c r="B527" s="318">
        <f>kdeg.water*Tempfactor.wsdsC*(BACT.w0C/BACT.test)*FRw.w0C</f>
        <v>3.8762856314484566E-21</v>
      </c>
      <c r="C527" s="317" t="s">
        <v>642</v>
      </c>
    </row>
    <row r="528" spans="1:3" ht="15" x14ac:dyDescent="0.2">
      <c r="A528" s="317" t="s">
        <v>4594</v>
      </c>
      <c r="B528" s="318" t="e">
        <f>VOLATflow.w0C.aC/VOLUME.w0C</f>
        <v>#NAME?</v>
      </c>
      <c r="C528" s="317" t="s">
        <v>642</v>
      </c>
    </row>
    <row r="529" spans="1:3" ht="15" x14ac:dyDescent="0.2">
      <c r="A529" s="317" t="s">
        <v>2026</v>
      </c>
      <c r="B529" s="318">
        <f>WATERflow.w0C.w1C/VOLUME.w0C</f>
        <v>2.3972602739726029E-9</v>
      </c>
      <c r="C529" s="317" t="s">
        <v>642</v>
      </c>
    </row>
    <row r="530" spans="1:3" ht="15" x14ac:dyDescent="0.2">
      <c r="A530" s="317" t="s">
        <v>2028</v>
      </c>
      <c r="B530" s="318">
        <f>WATERflow.w0C.w2C/VOLUME.w0C</f>
        <v>0</v>
      </c>
      <c r="C530" s="317" t="s">
        <v>642</v>
      </c>
    </row>
    <row r="531" spans="1:3" ht="15" x14ac:dyDescent="0.2">
      <c r="A531" s="317" t="s">
        <v>4595</v>
      </c>
      <c r="B531" s="318" t="e">
        <f>kdeg.water*Tempfactor.wsdsR*(BACT.w0R/BACT.test)*FRw.w0R</f>
        <v>#NAME?</v>
      </c>
      <c r="C531" s="317" t="s">
        <v>642</v>
      </c>
    </row>
    <row r="532" spans="1:3" ht="15" x14ac:dyDescent="0.2">
      <c r="A532" s="317" t="s">
        <v>4596</v>
      </c>
      <c r="B532" s="318" t="e">
        <f>VOLATflow.w0R.aR/VOLUME.w0R</f>
        <v>#NAME?</v>
      </c>
      <c r="C532" s="317" t="s">
        <v>642</v>
      </c>
    </row>
    <row r="533" spans="1:3" ht="15" x14ac:dyDescent="0.2">
      <c r="A533" s="317" t="s">
        <v>1078</v>
      </c>
      <c r="B533" s="318">
        <f>WATERflow.w0R.w1R/VOLUME.w0R</f>
        <v>2.3972602739726025E-9</v>
      </c>
      <c r="C533" s="317" t="s">
        <v>642</v>
      </c>
    </row>
    <row r="534" spans="1:3" ht="15" x14ac:dyDescent="0.2">
      <c r="A534" s="317" t="s">
        <v>1080</v>
      </c>
      <c r="B534" s="318">
        <f>WATERflow.w0R.w2R/VOLUME.w0R</f>
        <v>0</v>
      </c>
      <c r="C534" s="317" t="s">
        <v>642</v>
      </c>
    </row>
    <row r="535" spans="1:3" ht="15" x14ac:dyDescent="0.2">
      <c r="A535" s="317" t="s">
        <v>2216</v>
      </c>
      <c r="B535" s="318">
        <f>kdeg.water*Tempfactor.wsdsC*(BACT.w1C/BACT.test)*FRw.w1C</f>
        <v>1.674595286935279E-21</v>
      </c>
      <c r="C535" s="317" t="s">
        <v>642</v>
      </c>
    </row>
    <row r="536" spans="1:3" ht="15" x14ac:dyDescent="0.2">
      <c r="A536" s="317" t="s">
        <v>4597</v>
      </c>
      <c r="B536" s="318" t="e">
        <f>VOLATflow.w1C.aC/VOLUME.w1C</f>
        <v>#NAME?</v>
      </c>
      <c r="C536" s="317" t="s">
        <v>642</v>
      </c>
    </row>
    <row r="537" spans="1:3" ht="15" x14ac:dyDescent="0.2">
      <c r="A537" s="317" t="s">
        <v>4598</v>
      </c>
      <c r="B537" s="318" t="e">
        <f>(SEDflow.w1C.sd1C+ADSORBflow.w1C.sd1C)/VOLUME.w1C</f>
        <v>#NAME?</v>
      </c>
      <c r="C537" s="317" t="s">
        <v>642</v>
      </c>
    </row>
    <row r="538" spans="1:3" ht="15" x14ac:dyDescent="0.2">
      <c r="A538" s="317" t="s">
        <v>2030</v>
      </c>
      <c r="B538" s="318">
        <f>WATERflow.w1C.w0C/VOLUME.w1C</f>
        <v>0</v>
      </c>
      <c r="C538" s="317" t="s">
        <v>642</v>
      </c>
    </row>
    <row r="539" spans="1:3" ht="15" x14ac:dyDescent="0.2">
      <c r="A539" s="317" t="s">
        <v>2032</v>
      </c>
      <c r="B539" s="318">
        <v>0</v>
      </c>
      <c r="C539" s="317" t="s">
        <v>642</v>
      </c>
    </row>
    <row r="540" spans="1:3" ht="15" x14ac:dyDescent="0.2">
      <c r="A540" s="317" t="s">
        <v>2034</v>
      </c>
      <c r="B540" s="318">
        <f>WATERflow.w1C.w2C*(1-FRAC.w1C.w1R)/VOLUME.w1C</f>
        <v>7.2644250726442513E-8</v>
      </c>
      <c r="C540" s="317" t="s">
        <v>642</v>
      </c>
    </row>
    <row r="541" spans="1:3" ht="15" x14ac:dyDescent="0.2">
      <c r="A541" s="317" t="s">
        <v>4599</v>
      </c>
      <c r="B541" s="318" t="e">
        <f>kdeg.water*Tempfactor.wsdsR*(BACT.w1R/BACT.test)*FRw.w1R</f>
        <v>#NAME?</v>
      </c>
      <c r="C541" s="317" t="s">
        <v>642</v>
      </c>
    </row>
    <row r="542" spans="1:3" ht="15" x14ac:dyDescent="0.2">
      <c r="A542" s="317" t="s">
        <v>4600</v>
      </c>
      <c r="B542" s="318" t="e">
        <f>VOLATflow.w1R.aR/VOLUME.w1R</f>
        <v>#NAME?</v>
      </c>
      <c r="C542" s="317" t="s">
        <v>642</v>
      </c>
    </row>
    <row r="543" spans="1:3" ht="15" x14ac:dyDescent="0.2">
      <c r="A543" s="317" t="s">
        <v>4601</v>
      </c>
      <c r="B543" s="318">
        <f>(SEDflow.w1R.sd1R+ADSORBflow.w1R.sd1R)/VOLUME.w1R</f>
        <v>9.1715700921854674E-16</v>
      </c>
      <c r="C543" s="317" t="s">
        <v>642</v>
      </c>
    </row>
    <row r="544" spans="1:3" ht="15" x14ac:dyDescent="0.2">
      <c r="A544" s="317" t="s">
        <v>1082</v>
      </c>
      <c r="B544" s="318">
        <f>WATERflow.w1R.w0R/VOLUME.w1R</f>
        <v>0</v>
      </c>
      <c r="C544" s="317" t="s">
        <v>642</v>
      </c>
    </row>
    <row r="545" spans="1:3" ht="15" x14ac:dyDescent="0.2">
      <c r="A545" s="317" t="s">
        <v>1084</v>
      </c>
      <c r="B545" s="318">
        <f>WATERflow.w1R.w2R/VOLUME.w1R</f>
        <v>7.26442507264425E-8</v>
      </c>
      <c r="C545" s="317" t="s">
        <v>642</v>
      </c>
    </row>
    <row r="546" spans="1:3" ht="15" x14ac:dyDescent="0.2">
      <c r="A546" s="317" t="s">
        <v>4602</v>
      </c>
      <c r="B546" s="318">
        <f>kdeg.water*Tempfactor.wsdsA*(BACT.w2A/BACT.test)*FRw.w2A</f>
        <v>5.9915366961075931E-22</v>
      </c>
      <c r="C546" s="317" t="s">
        <v>642</v>
      </c>
    </row>
    <row r="547" spans="1:3" ht="15" x14ac:dyDescent="0.2">
      <c r="A547" s="317" t="s">
        <v>4603</v>
      </c>
      <c r="B547" s="318" t="e">
        <f>VOLATflow.w2A.aA/VOLUME.w2A</f>
        <v>#NAME?</v>
      </c>
      <c r="C547" s="317" t="s">
        <v>642</v>
      </c>
    </row>
    <row r="548" spans="1:3" ht="15" x14ac:dyDescent="0.2">
      <c r="A548" s="317" t="s">
        <v>3041</v>
      </c>
      <c r="B548" s="318">
        <f>WATERflow.w2A.w2M/VOLUME.w2A</f>
        <v>0</v>
      </c>
      <c r="C548" s="317" t="s">
        <v>642</v>
      </c>
    </row>
    <row r="549" spans="1:3" ht="15" x14ac:dyDescent="0.2">
      <c r="A549" s="317" t="s">
        <v>3047</v>
      </c>
      <c r="B549" s="318">
        <f>(OceanCurrent+OceanMixing.A)/VOLUME.w2A</f>
        <v>2.6926123984947511E-7</v>
      </c>
      <c r="C549" s="317" t="s">
        <v>642</v>
      </c>
    </row>
    <row r="550" spans="1:3" ht="15" x14ac:dyDescent="0.2">
      <c r="A550" s="317" t="s">
        <v>2217</v>
      </c>
      <c r="B550" s="318">
        <f>kdeg.water*Tempfactor.wsdsC*(BACT.w2C/BACT.test)*FRw.w2C</f>
        <v>2.7529873386892645E-21</v>
      </c>
      <c r="C550" s="317" t="s">
        <v>642</v>
      </c>
    </row>
    <row r="551" spans="1:3" ht="15" x14ac:dyDescent="0.2">
      <c r="A551" s="317" t="s">
        <v>4604</v>
      </c>
      <c r="B551" s="318" t="e">
        <f>VOLATflow.w2C.aC/VOLUME.w2C</f>
        <v>#NAME?</v>
      </c>
      <c r="C551" s="317" t="s">
        <v>642</v>
      </c>
    </row>
    <row r="552" spans="1:3" ht="15" x14ac:dyDescent="0.2">
      <c r="A552" s="317" t="s">
        <v>4605</v>
      </c>
      <c r="B552" s="318" t="e">
        <f>(SEDflow.w2C.sd2C+ADSORBflow.w2C.sd2C)/VOLUME.w2C</f>
        <v>#NAME?</v>
      </c>
      <c r="C552" s="317" t="s">
        <v>642</v>
      </c>
    </row>
    <row r="553" spans="1:3" ht="15" x14ac:dyDescent="0.2">
      <c r="A553" s="317" t="s">
        <v>2048</v>
      </c>
      <c r="B553" s="318">
        <f>WATERflow.w2C.w2M/VOLUME.w2C</f>
        <v>3.1691347286679496E-8</v>
      </c>
      <c r="C553" s="317" t="s">
        <v>642</v>
      </c>
    </row>
    <row r="554" spans="1:3" ht="15" x14ac:dyDescent="0.2">
      <c r="A554" s="317" t="s">
        <v>2046</v>
      </c>
      <c r="B554" s="318">
        <f>WATERflow.w2C.w2R/VOLUME.w2C</f>
        <v>1.660022737657995E-11</v>
      </c>
      <c r="C554" s="317" t="s">
        <v>642</v>
      </c>
    </row>
    <row r="555" spans="1:3" ht="15" x14ac:dyDescent="0.2">
      <c r="A555" s="317" t="s">
        <v>4606</v>
      </c>
      <c r="B555" s="318">
        <f>kdeg.water*Tempfactor.wsdsM*(BACT.w2M/BACT.test)*FRw.w2M</f>
        <v>2.7529873386892645E-21</v>
      </c>
      <c r="C555" s="317" t="s">
        <v>642</v>
      </c>
    </row>
    <row r="556" spans="1:3" ht="15" x14ac:dyDescent="0.2">
      <c r="A556" s="317" t="s">
        <v>4607</v>
      </c>
      <c r="B556" s="318" t="e">
        <f>VOLATflow.w2M.aM/VOLUME.w2M</f>
        <v>#NAME?</v>
      </c>
      <c r="C556" s="317" t="s">
        <v>642</v>
      </c>
    </row>
    <row r="557" spans="1:3" ht="15" x14ac:dyDescent="0.2">
      <c r="A557" s="317" t="s">
        <v>2624</v>
      </c>
      <c r="B557" s="318">
        <f>WATERflow.w2M.w2A/VOLUME.w2M</f>
        <v>3.8674157077409421E-8</v>
      </c>
      <c r="C557" s="317" t="s">
        <v>642</v>
      </c>
    </row>
    <row r="558" spans="1:3" ht="15" x14ac:dyDescent="0.2">
      <c r="A558" s="317" t="s">
        <v>2622</v>
      </c>
      <c r="B558" s="318">
        <f>WATERflow.w2M.w2C/VOLUME.w2M</f>
        <v>6.0683860128376809E-9</v>
      </c>
      <c r="C558" s="317" t="s">
        <v>642</v>
      </c>
    </row>
    <row r="559" spans="1:3" ht="15" x14ac:dyDescent="0.2">
      <c r="A559" s="317" t="s">
        <v>2626</v>
      </c>
      <c r="B559" s="318">
        <f>WATERflow.w2M.w2T/VOLUME.w2M</f>
        <v>0</v>
      </c>
      <c r="C559" s="317" t="s">
        <v>642</v>
      </c>
    </row>
    <row r="560" spans="1:3" ht="15" x14ac:dyDescent="0.2">
      <c r="A560" s="317" t="s">
        <v>2640</v>
      </c>
      <c r="B560" s="318">
        <f>(OceanCurrent+OceanMixing.M)/VOLUME.w2M</f>
        <v>2.4911186751511984E-7</v>
      </c>
      <c r="C560" s="317" t="s">
        <v>642</v>
      </c>
    </row>
    <row r="561" spans="1:3" ht="15" x14ac:dyDescent="0.2">
      <c r="A561" s="317" t="s">
        <v>4608</v>
      </c>
      <c r="B561" s="318" t="e">
        <f>kdeg.water*Tempfactor.wsdsR*(BACT.w2R/BACT.test)*FRw.w2R</f>
        <v>#NAME?</v>
      </c>
      <c r="C561" s="317" t="s">
        <v>642</v>
      </c>
    </row>
    <row r="562" spans="1:3" ht="15" x14ac:dyDescent="0.2">
      <c r="A562" s="317" t="s">
        <v>4609</v>
      </c>
      <c r="B562" s="318" t="e">
        <f>VOLATflow.w2R.aR/VOLUME.w2R</f>
        <v>#NAME?</v>
      </c>
      <c r="C562" s="317" t="s">
        <v>642</v>
      </c>
    </row>
    <row r="563" spans="1:3" ht="15" x14ac:dyDescent="0.2">
      <c r="A563" s="317" t="s">
        <v>4610</v>
      </c>
      <c r="B563" s="318">
        <f>(SEDflow.w2R.sd2R+ADSORBflow.w2R.sd2R)/VOLUME.w2R</f>
        <v>9.4927701254775671E-16</v>
      </c>
      <c r="C563" s="317" t="s">
        <v>642</v>
      </c>
    </row>
    <row r="564" spans="1:3" ht="15" x14ac:dyDescent="0.2">
      <c r="A564" s="317" t="s">
        <v>1086</v>
      </c>
      <c r="B564" s="325">
        <f>(RAINrate.R*SYSTEMAREA.R*AREAFRAC.w2R+WATERflow.w1R.w2R+WATERflow.w2C.w2R)/VOLUME.w2R</f>
        <v>1.3720741374936564E-6</v>
      </c>
      <c r="C564" s="317" t="s">
        <v>642</v>
      </c>
    </row>
    <row r="565" spans="1:3" ht="15" x14ac:dyDescent="0.2">
      <c r="A565" s="317" t="s">
        <v>4611</v>
      </c>
      <c r="B565" s="318">
        <f>kdeg.water*Tempfactor.wsdsT*(BACT.w2T/BACT.test)*FRw.w2T</f>
        <v>6.7786499640731536E-21</v>
      </c>
      <c r="C565" s="317" t="s">
        <v>642</v>
      </c>
    </row>
    <row r="566" spans="1:3" ht="15" x14ac:dyDescent="0.2">
      <c r="A566" s="317" t="s">
        <v>4612</v>
      </c>
      <c r="B566" s="318" t="e">
        <f>VOLATflow.w2T.aT/VOLUME.w2T</f>
        <v>#NAME?</v>
      </c>
      <c r="C566" s="317" t="s">
        <v>642</v>
      </c>
    </row>
    <row r="567" spans="1:3" ht="15" x14ac:dyDescent="0.2">
      <c r="A567" s="317" t="s">
        <v>3358</v>
      </c>
      <c r="B567" s="318">
        <f>WATERflow.w2T.w2M/VOLUME.w2T</f>
        <v>1.6806722689075633E-8</v>
      </c>
      <c r="C567" s="317" t="s">
        <v>642</v>
      </c>
    </row>
    <row r="568" spans="1:3" ht="15" x14ac:dyDescent="0.2">
      <c r="A568" s="317" t="s">
        <v>3363</v>
      </c>
      <c r="B568" s="318">
        <f>(OceanCurrent+OceanMixing.T)/VOLUME.w2T</f>
        <v>2.2724443312678606E-7</v>
      </c>
      <c r="C568" s="317" t="s">
        <v>642</v>
      </c>
    </row>
    <row r="569" spans="1:3" ht="15" x14ac:dyDescent="0.2">
      <c r="A569" s="317" t="s">
        <v>4613</v>
      </c>
      <c r="B569" s="318">
        <f>kdeg.water*Tempfactor.wsdsA*(BACT.w3A/BACT.test)*FRw.w3A</f>
        <v>5.9915366961075931E-22</v>
      </c>
      <c r="C569" s="317" t="s">
        <v>642</v>
      </c>
    </row>
    <row r="570" spans="1:3" ht="15" x14ac:dyDescent="0.2">
      <c r="A570" s="317" t="s">
        <v>4614</v>
      </c>
      <c r="B570" s="318" t="e">
        <f>(SEDflow.w3A.sdA+ADSORBflow.w3A.sdA)/VOLUME.w3A</f>
        <v>#NAME?</v>
      </c>
      <c r="C570" s="317" t="s">
        <v>642</v>
      </c>
    </row>
    <row r="571" spans="1:3" ht="15" x14ac:dyDescent="0.2">
      <c r="A571" s="317" t="s">
        <v>3049</v>
      </c>
      <c r="B571" s="318">
        <f>(OceanCurrent+OceanMixing.A)/VOLUME.w3A</f>
        <v>8.9753746616491718E-9</v>
      </c>
      <c r="C571" s="317" t="s">
        <v>642</v>
      </c>
    </row>
    <row r="572" spans="1:3" ht="15" x14ac:dyDescent="0.2">
      <c r="A572" s="317" t="s">
        <v>3043</v>
      </c>
      <c r="B572" s="318">
        <f>OceanCurrent/VOLUME.w3A</f>
        <v>1.9607843137254903E-9</v>
      </c>
      <c r="C572" s="317" t="s">
        <v>642</v>
      </c>
    </row>
    <row r="573" spans="1:3" ht="15" x14ac:dyDescent="0.2">
      <c r="A573" s="317" t="s">
        <v>4615</v>
      </c>
      <c r="B573" s="318">
        <f>kdeg.water*Tempfactor.wsdsM*(BACT.w3M/BACT.test)*FRw.w3M</f>
        <v>2.7529873386892645E-21</v>
      </c>
      <c r="C573" s="317" t="s">
        <v>642</v>
      </c>
    </row>
    <row r="574" spans="1:3" ht="15" x14ac:dyDescent="0.2">
      <c r="A574" s="317" t="s">
        <v>4616</v>
      </c>
      <c r="B574" s="318">
        <f>(SEDflow.w3M.sdM+ADSORBflow.w3M.sdM)/VOLUME.w3M</f>
        <v>8.1583307318324307E-23</v>
      </c>
      <c r="C574" s="317" t="s">
        <v>642</v>
      </c>
    </row>
    <row r="575" spans="1:3" ht="15" x14ac:dyDescent="0.2">
      <c r="A575" s="317" t="s">
        <v>2642</v>
      </c>
      <c r="B575" s="318">
        <f>(OceanCurrent+OceanMixing.M)/VOLUME.w3M</f>
        <v>8.3037289171706622E-9</v>
      </c>
      <c r="C575" s="317" t="s">
        <v>642</v>
      </c>
    </row>
    <row r="576" spans="1:3" ht="15" x14ac:dyDescent="0.2">
      <c r="A576" s="317" t="s">
        <v>2628</v>
      </c>
      <c r="B576" s="318">
        <v>0</v>
      </c>
      <c r="C576" s="317" t="s">
        <v>642</v>
      </c>
    </row>
    <row r="577" spans="1:3" ht="15" x14ac:dyDescent="0.2">
      <c r="A577" s="317" t="s">
        <v>2630</v>
      </c>
      <c r="B577" s="318">
        <f>OceanCurrent/VOLUME.w3M</f>
        <v>1.2891385692469807E-9</v>
      </c>
      <c r="C577" s="317" t="s">
        <v>642</v>
      </c>
    </row>
    <row r="578" spans="1:3" ht="15" x14ac:dyDescent="0.2">
      <c r="A578" s="317" t="s">
        <v>4617</v>
      </c>
      <c r="B578" s="318">
        <f>kdeg.water*Tempfactor.wsdsT*(BACT.w3T/BACT.test)*FRw.w3T</f>
        <v>6.7786499640731536E-21</v>
      </c>
      <c r="C578" s="317" t="s">
        <v>642</v>
      </c>
    </row>
    <row r="579" spans="1:3" ht="15" x14ac:dyDescent="0.2">
      <c r="A579" s="317" t="s">
        <v>4618</v>
      </c>
      <c r="B579" s="318" t="e">
        <f>(SEDflow.w3T.sdT+ADSORBflow.w3T.sdT)/VOLUME.w3T</f>
        <v>#NAME?</v>
      </c>
      <c r="C579" s="317" t="s">
        <v>642</v>
      </c>
    </row>
    <row r="580" spans="1:3" ht="15" x14ac:dyDescent="0.2">
      <c r="A580" s="317" t="s">
        <v>3364</v>
      </c>
      <c r="B580" s="318">
        <f>(OceanCurrent+OceanMixing.T)/VOLUME.w3T</f>
        <v>7.5748144375595357E-9</v>
      </c>
      <c r="C580" s="317" t="s">
        <v>642</v>
      </c>
    </row>
    <row r="581" spans="1:3" ht="15" x14ac:dyDescent="0.2">
      <c r="A581" s="317" t="s">
        <v>3360</v>
      </c>
      <c r="B581" s="318">
        <v>0</v>
      </c>
      <c r="C581" s="317" t="s">
        <v>642</v>
      </c>
    </row>
    <row r="582" spans="1:3" ht="15" x14ac:dyDescent="0.2">
      <c r="A582" s="317" t="s">
        <v>648</v>
      </c>
      <c r="B582" s="321">
        <v>7.8999999999999999E-11</v>
      </c>
      <c r="C582" s="317" t="s">
        <v>649</v>
      </c>
    </row>
    <row r="583" spans="1:3" ht="15" x14ac:dyDescent="0.2">
      <c r="A583" s="321" t="s">
        <v>3059</v>
      </c>
      <c r="B583" s="323">
        <f>0.54*(Kow/Kaw)*CORGaer*(RHOaers/1000)</f>
        <v>2.9700000000000003E+22</v>
      </c>
      <c r="C583" s="321" t="s">
        <v>1115</v>
      </c>
    </row>
    <row r="584" spans="1:3" ht="15" x14ac:dyDescent="0.2">
      <c r="A584" s="321" t="s">
        <v>2067</v>
      </c>
      <c r="B584" s="323">
        <f>0.54*(Kow/Kaw)*CORGaer*(RHOaers/1000)</f>
        <v>2.9700000000000003E+22</v>
      </c>
      <c r="C584" s="321" t="s">
        <v>1115</v>
      </c>
    </row>
    <row r="585" spans="1:3" ht="15" x14ac:dyDescent="0.2">
      <c r="A585" s="321" t="s">
        <v>2656</v>
      </c>
      <c r="B585" s="323">
        <f>0.54*(Kow/Kaw)*CORGaer*(RHOaers/1000)</f>
        <v>2.9700000000000003E+22</v>
      </c>
      <c r="C585" s="321" t="s">
        <v>1115</v>
      </c>
    </row>
    <row r="586" spans="1:3" ht="15" x14ac:dyDescent="0.2">
      <c r="A586" s="321" t="s">
        <v>1114</v>
      </c>
      <c r="B586" s="323">
        <f>0.54*(Kow/Kaw)*CORGaer*(RHOaers/1000)</f>
        <v>2.9700000000000003E+22</v>
      </c>
      <c r="C586" s="321" t="s">
        <v>1115</v>
      </c>
    </row>
    <row r="587" spans="1:3" ht="15" x14ac:dyDescent="0.2">
      <c r="A587" s="321" t="s">
        <v>3374</v>
      </c>
      <c r="B587" s="323">
        <f>0.54*(Kow/Kaw)*CORGaer*(RHOaers/1000)</f>
        <v>2.9700000000000003E+22</v>
      </c>
      <c r="C587" s="321" t="s">
        <v>1115</v>
      </c>
    </row>
    <row r="588" spans="1:3" ht="15" x14ac:dyDescent="0.2">
      <c r="A588" s="321" t="s">
        <v>3058</v>
      </c>
      <c r="B588" s="323">
        <f>1/(Kaw.A*FRorig.aerw)</f>
        <v>3.9698089464129487E+28</v>
      </c>
      <c r="C588" s="321" t="s">
        <v>1112</v>
      </c>
    </row>
    <row r="589" spans="1:3" ht="15" x14ac:dyDescent="0.2">
      <c r="A589" s="321" t="s">
        <v>2065</v>
      </c>
      <c r="B589" s="323">
        <f>1/(Kaw.C*FRorig.aerw)</f>
        <v>8.8412629829224543E+22</v>
      </c>
      <c r="C589" s="321" t="s">
        <v>1112</v>
      </c>
    </row>
    <row r="590" spans="1:3" ht="15" x14ac:dyDescent="0.2">
      <c r="A590" s="321" t="s">
        <v>2654</v>
      </c>
      <c r="B590" s="323">
        <f>1/(Kaw.M*FRorig.aerw)</f>
        <v>8.8412629829224543E+22</v>
      </c>
      <c r="C590" s="321" t="s">
        <v>1112</v>
      </c>
    </row>
    <row r="591" spans="1:3" ht="15" x14ac:dyDescent="0.2">
      <c r="A591" s="321" t="s">
        <v>1111</v>
      </c>
      <c r="B591" s="323">
        <v>9.2336700572798372E+22</v>
      </c>
      <c r="C591" s="321" t="s">
        <v>1112</v>
      </c>
    </row>
    <row r="592" spans="1:3" ht="15" x14ac:dyDescent="0.2">
      <c r="A592" s="321" t="s">
        <v>3373</v>
      </c>
      <c r="B592" s="323">
        <f>1/(Kaw.T*FRorig.aerw)</f>
        <v>1E+20</v>
      </c>
      <c r="C592" s="321" t="s">
        <v>1112</v>
      </c>
    </row>
    <row r="593" spans="1:3" x14ac:dyDescent="0.2">
      <c r="A593" s="319" t="s">
        <v>560</v>
      </c>
      <c r="B593" s="321">
        <f>VLOOKUP(ChemClass,QSARtable,8,FALSE)</f>
        <v>1000</v>
      </c>
      <c r="C593" s="317" t="s">
        <v>314</v>
      </c>
    </row>
    <row r="594" spans="1:3" x14ac:dyDescent="0.2">
      <c r="A594" s="317" t="s">
        <v>3055</v>
      </c>
      <c r="B594" s="323">
        <f>Kaw*EXP((H0vap/8.314)*(1/298-1/TEMP.A))*EXP(-(H0sol/8.314)*(1/298-1/TEMP.A))*(298/TEMP.A)</f>
        <v>2.5190129134642182E-29</v>
      </c>
      <c r="C594" s="317" t="s">
        <v>314</v>
      </c>
    </row>
    <row r="595" spans="1:3" x14ac:dyDescent="0.2">
      <c r="A595" s="317" t="s">
        <v>2063</v>
      </c>
      <c r="B595" s="323">
        <f>Kaw*EXP((H0vap/8.314)*(1/298-1/TEMP.C))*EXP(-(H0sol/8.314)*(1/298-1/TEMP.C))*(298/TEMP.C)</f>
        <v>1.1310601233461476E-23</v>
      </c>
      <c r="C595" s="317" t="s">
        <v>314</v>
      </c>
    </row>
    <row r="596" spans="1:3" x14ac:dyDescent="0.2">
      <c r="A596" s="317" t="s">
        <v>2651</v>
      </c>
      <c r="B596" s="318">
        <f>Kaw*EXP((H0vap/8.314)*(1/298-1/TEMP.M))*EXP(-(H0sol/8.314)*(1/298-1/TEMP.M))*(298/TEMP.M)</f>
        <v>1.1310601233461476E-23</v>
      </c>
      <c r="C596" s="317" t="s">
        <v>314</v>
      </c>
    </row>
    <row r="597" spans="1:3" ht="15" x14ac:dyDescent="0.2">
      <c r="A597" s="321" t="s">
        <v>4619</v>
      </c>
      <c r="B597" s="323">
        <f>Kaw*EXP((H0vap/8.314)*(1/298-1/TEMP.R))*EXP(-(H0sol/8.314)*(1/298-1/TEMP.R))*(298/TEMP.R)</f>
        <v>1.1310601233461476E-23</v>
      </c>
      <c r="C597" s="321" t="s">
        <v>1109</v>
      </c>
    </row>
    <row r="598" spans="1:3" x14ac:dyDescent="0.2">
      <c r="A598" s="317" t="s">
        <v>3370</v>
      </c>
      <c r="B598" s="323">
        <f>Kaw*EXP((H0vap/8.314)*(1/298-1/TEMP.T))*EXP(-(H0sol/8.314)*(1/298-1/TEMP.T))*(298/TEMP.T)</f>
        <v>9.9999999999999995E-21</v>
      </c>
      <c r="C598" s="317" t="s">
        <v>314</v>
      </c>
    </row>
    <row r="599" spans="1:3" ht="15" x14ac:dyDescent="0.2">
      <c r="A599" s="321" t="s">
        <v>4620</v>
      </c>
      <c r="B599" s="323">
        <f>1/(Kaw.A*FRorig.cldw)</f>
        <v>3.9698089464129487E+28</v>
      </c>
      <c r="C599" s="321" t="s">
        <v>4621</v>
      </c>
    </row>
    <row r="600" spans="1:3" ht="15" x14ac:dyDescent="0.2">
      <c r="A600" s="321" t="s">
        <v>4622</v>
      </c>
      <c r="B600" s="323">
        <f>1/(Kaw.C*FRorig.cldw)</f>
        <v>8.8412629829224543E+22</v>
      </c>
      <c r="C600" s="321" t="s">
        <v>4621</v>
      </c>
    </row>
    <row r="601" spans="1:3" ht="15" x14ac:dyDescent="0.2">
      <c r="A601" s="321" t="s">
        <v>4623</v>
      </c>
      <c r="B601" s="323">
        <f>1/(Kaw.M*FRorig.cldw)</f>
        <v>8.8412629829224543E+22</v>
      </c>
      <c r="C601" s="321" t="s">
        <v>4621</v>
      </c>
    </row>
    <row r="602" spans="1:3" ht="15" x14ac:dyDescent="0.2">
      <c r="A602" s="321" t="s">
        <v>4624</v>
      </c>
      <c r="B602" s="323">
        <v>9.2336700572798372E+22</v>
      </c>
      <c r="C602" s="321" t="s">
        <v>4621</v>
      </c>
    </row>
    <row r="603" spans="1:3" ht="15" x14ac:dyDescent="0.2">
      <c r="A603" s="321" t="s">
        <v>4625</v>
      </c>
      <c r="B603" s="323">
        <f>1/(Kaw.T*FRorig.cldw)</f>
        <v>1E+20</v>
      </c>
      <c r="C603" s="321" t="s">
        <v>4621</v>
      </c>
    </row>
    <row r="604" spans="1:3" ht="15" x14ac:dyDescent="0.2">
      <c r="A604" s="317" t="s">
        <v>3133</v>
      </c>
      <c r="B604" s="318">
        <f>FRgas.aA*kdegG.air*(C.OHrad.aA/C.OHrad)*Tempfactor.aA</f>
        <v>1.6554438992186728E-37</v>
      </c>
      <c r="C604" s="317" t="s">
        <v>642</v>
      </c>
    </row>
    <row r="605" spans="1:3" ht="15" x14ac:dyDescent="0.2">
      <c r="A605" s="317" t="s">
        <v>2225</v>
      </c>
      <c r="B605" s="318">
        <f>FRgas.aC*kdegG.air*(C.OHrad.aC/C.OHrad)*Tempfactor.aC</f>
        <v>3.8083662994282794E-33</v>
      </c>
      <c r="C605" s="317" t="s">
        <v>642</v>
      </c>
    </row>
    <row r="606" spans="1:3" ht="15" x14ac:dyDescent="0.2">
      <c r="A606" s="319" t="s">
        <v>4280</v>
      </c>
      <c r="B606" s="321">
        <f>C.OHrad*k0.OHrad*EXP(-Ea.OHrad/(8.314*298))</f>
        <v>3.5063474584268925E-6</v>
      </c>
      <c r="C606" s="317" t="s">
        <v>642</v>
      </c>
    </row>
    <row r="607" spans="1:3" ht="15" x14ac:dyDescent="0.2">
      <c r="A607" s="317" t="s">
        <v>2775</v>
      </c>
      <c r="B607" s="318">
        <f>FRgas.aM*kdegG.air*(C.OHrad.aM/C.OHrad)*Tempfactor.aM</f>
        <v>3.8083662994282794E-33</v>
      </c>
      <c r="C607" s="317" t="s">
        <v>642</v>
      </c>
    </row>
    <row r="608" spans="1:3" ht="15" x14ac:dyDescent="0.2">
      <c r="A608" s="317" t="s">
        <v>1375</v>
      </c>
      <c r="B608" s="318">
        <f>FRgas.aR*kdegG.air*(C.OHrad.aR/C.OHrad)*Tempfactor.aR</f>
        <v>3.8083662994282794E-33</v>
      </c>
      <c r="C608" s="317" t="s">
        <v>642</v>
      </c>
    </row>
    <row r="609" spans="1:3" ht="15" x14ac:dyDescent="0.2">
      <c r="A609" s="317" t="s">
        <v>3443</v>
      </c>
      <c r="B609" s="318">
        <f>FRgas.aT*kdegG.air*(C.OHrad.aT/C.OHrad)*Tempfactor.aT</f>
        <v>1.6778800571159991E-32</v>
      </c>
      <c r="C609" s="317" t="s">
        <v>642</v>
      </c>
    </row>
    <row r="610" spans="1:3" ht="15" x14ac:dyDescent="0.2">
      <c r="A610" s="317" t="s">
        <v>2241</v>
      </c>
      <c r="B610" s="323">
        <f>Tempfactor.wsdsC*kdeg.soil</f>
        <v>4.0612619817811774E-21</v>
      </c>
      <c r="C610" s="317" t="s">
        <v>642</v>
      </c>
    </row>
    <row r="611" spans="1:3" ht="15" x14ac:dyDescent="0.2">
      <c r="A611" s="317" t="s">
        <v>1404</v>
      </c>
      <c r="B611" s="318">
        <f>Tempfactor.wsdsR*kdeg.soil</f>
        <v>4.0612619817811774E-21</v>
      </c>
      <c r="C611" s="317" t="s">
        <v>642</v>
      </c>
    </row>
    <row r="612" spans="1:3" ht="15" x14ac:dyDescent="0.2">
      <c r="A612" s="317" t="s">
        <v>2242</v>
      </c>
      <c r="B612" s="323">
        <f>Tempfactor.wsdsC*kdeg.soil</f>
        <v>4.0612619817811774E-21</v>
      </c>
      <c r="C612" s="317" t="s">
        <v>642</v>
      </c>
    </row>
    <row r="613" spans="1:3" ht="15" x14ac:dyDescent="0.2">
      <c r="A613" s="317" t="s">
        <v>1406</v>
      </c>
      <c r="B613" s="318">
        <f>Tempfactor.wsdsR*kdeg.soil</f>
        <v>4.0612619817811774E-21</v>
      </c>
      <c r="C613" s="317" t="s">
        <v>642</v>
      </c>
    </row>
    <row r="614" spans="1:3" ht="15" x14ac:dyDescent="0.2">
      <c r="A614" s="317" t="s">
        <v>2243</v>
      </c>
      <c r="B614" s="323">
        <f>Tempfactor.wsdsC*kdeg.soil</f>
        <v>4.0612619817811774E-21</v>
      </c>
      <c r="C614" s="317" t="s">
        <v>642</v>
      </c>
    </row>
    <row r="615" spans="1:3" ht="15" x14ac:dyDescent="0.2">
      <c r="A615" s="317" t="s">
        <v>1408</v>
      </c>
      <c r="B615" s="318">
        <f>Tempfactor.wsdsR*kdeg.soil</f>
        <v>4.0612619817811774E-21</v>
      </c>
      <c r="C615" s="317" t="s">
        <v>642</v>
      </c>
    </row>
    <row r="616" spans="1:3" ht="15" x14ac:dyDescent="0.2">
      <c r="A616" s="317" t="s">
        <v>3144</v>
      </c>
      <c r="B616" s="323">
        <f>Tempfactor.wsdsA*kdeg.soil</f>
        <v>8.8388347648318438E-22</v>
      </c>
      <c r="C616" s="317" t="s">
        <v>642</v>
      </c>
    </row>
    <row r="617" spans="1:3" ht="15" x14ac:dyDescent="0.2">
      <c r="A617" s="317" t="s">
        <v>2239</v>
      </c>
      <c r="B617" s="323">
        <f>Tempfactor.wsdsC*kdeg.sed</f>
        <v>4.0612619817811774E-21</v>
      </c>
      <c r="C617" s="317" t="s">
        <v>642</v>
      </c>
    </row>
    <row r="618" spans="1:3" ht="15" x14ac:dyDescent="0.2">
      <c r="A618" s="317" t="s">
        <v>1400</v>
      </c>
      <c r="B618" s="318">
        <f>Tempfactor.wsdsR*kdeg.sed</f>
        <v>4.0612619817811774E-21</v>
      </c>
      <c r="C618" s="317" t="s">
        <v>642</v>
      </c>
    </row>
    <row r="619" spans="1:3" ht="15" x14ac:dyDescent="0.2">
      <c r="A619" s="317" t="s">
        <v>2240</v>
      </c>
      <c r="B619" s="323">
        <f>Tempfactor.wsdsC*kdeg.sed</f>
        <v>4.0612619817811774E-21</v>
      </c>
      <c r="C619" s="317" t="s">
        <v>642</v>
      </c>
    </row>
    <row r="620" spans="1:3" ht="15" x14ac:dyDescent="0.2">
      <c r="A620" s="317" t="s">
        <v>1402</v>
      </c>
      <c r="B620" s="318">
        <f>Tempfactor.wsdsR*kdeg.sed</f>
        <v>4.0612619817811774E-21</v>
      </c>
      <c r="C620" s="317" t="s">
        <v>642</v>
      </c>
    </row>
    <row r="621" spans="1:3" ht="15" x14ac:dyDescent="0.2">
      <c r="A621" s="317" t="s">
        <v>3143</v>
      </c>
      <c r="B621" s="323">
        <f>Tempfactor.wsdsA*kdeg.sed</f>
        <v>8.8388347648318438E-22</v>
      </c>
      <c r="C621" s="317" t="s">
        <v>642</v>
      </c>
    </row>
    <row r="622" spans="1:3" ht="15" x14ac:dyDescent="0.2">
      <c r="A622" s="317" t="s">
        <v>2789</v>
      </c>
      <c r="B622" s="318">
        <f>Tempfactor.wsdsM*kdeg.sed</f>
        <v>4.0612619817811774E-21</v>
      </c>
      <c r="C622" s="317" t="s">
        <v>642</v>
      </c>
    </row>
    <row r="623" spans="1:3" ht="15" x14ac:dyDescent="0.2">
      <c r="A623" s="317" t="s">
        <v>3452</v>
      </c>
      <c r="B623" s="318">
        <f>Tempfactor.wsdsT*kdeg.sed</f>
        <v>9.9999999999999995E-21</v>
      </c>
      <c r="C623" s="317" t="s">
        <v>642</v>
      </c>
    </row>
    <row r="624" spans="1:3" ht="89.25" x14ac:dyDescent="0.2">
      <c r="A624" s="319" t="s">
        <v>4626</v>
      </c>
      <c r="B624" s="326" t="s">
        <v>4627</v>
      </c>
      <c r="C624" s="317" t="s">
        <v>642</v>
      </c>
    </row>
    <row r="625" spans="1:3" ht="15" x14ac:dyDescent="0.2">
      <c r="A625" s="317" t="s">
        <v>2791</v>
      </c>
      <c r="B625" s="318">
        <f>Tempfactor.wsdsM*kdeg.soil</f>
        <v>4.0612619817811774E-21</v>
      </c>
      <c r="C625" s="317" t="s">
        <v>642</v>
      </c>
    </row>
    <row r="626" spans="1:3" ht="89.25" x14ac:dyDescent="0.2">
      <c r="A626" s="319" t="s">
        <v>4628</v>
      </c>
      <c r="B626" s="326" t="s">
        <v>4629</v>
      </c>
      <c r="C626" s="317" t="s">
        <v>642</v>
      </c>
    </row>
    <row r="627" spans="1:3" ht="15" x14ac:dyDescent="0.2">
      <c r="A627" s="317" t="s">
        <v>3453</v>
      </c>
      <c r="B627" s="318">
        <f>Tempfactor.wsdsT*kdeg.soil</f>
        <v>9.9999999999999995E-21</v>
      </c>
      <c r="C627" s="317" t="s">
        <v>642</v>
      </c>
    </row>
    <row r="628" spans="1:3" ht="15" x14ac:dyDescent="0.2">
      <c r="A628" s="317" t="s">
        <v>2230</v>
      </c>
      <c r="B628" s="318">
        <f>kdeg.water*Tempfactor.wsdsC*(BACT.w0C/BACT.test)*FRw.w0C</f>
        <v>3.8762856314484566E-21</v>
      </c>
      <c r="C628" s="317" t="s">
        <v>642</v>
      </c>
    </row>
    <row r="629" spans="1:3" ht="15" x14ac:dyDescent="0.2">
      <c r="A629" s="317" t="s">
        <v>1382</v>
      </c>
      <c r="B629" s="318" t="e">
        <f>kdeg.water*Tempfactor.wsdsR*(BACT.w0R/BACT.test)*FRw.w0R</f>
        <v>#NAME?</v>
      </c>
      <c r="C629" s="317" t="s">
        <v>642</v>
      </c>
    </row>
    <row r="630" spans="1:3" ht="15" x14ac:dyDescent="0.2">
      <c r="A630" s="317" t="s">
        <v>2231</v>
      </c>
      <c r="B630" s="318">
        <f>kdeg.water*Tempfactor.wsdsC*(BACT.w1C/BACT.test)*FRw.w1C</f>
        <v>1.674595286935279E-21</v>
      </c>
      <c r="C630" s="317" t="s">
        <v>642</v>
      </c>
    </row>
    <row r="631" spans="1:3" ht="15" x14ac:dyDescent="0.2">
      <c r="A631" s="317" t="s">
        <v>1384</v>
      </c>
      <c r="B631" s="318" t="e">
        <f>kdeg.water*Tempfactor.wsdsR*(BACT.w1R/BACT.test)*FRw.w1R</f>
        <v>#NAME?</v>
      </c>
      <c r="C631" s="317" t="s">
        <v>642</v>
      </c>
    </row>
    <row r="632" spans="1:3" ht="15" x14ac:dyDescent="0.2">
      <c r="A632" s="317" t="s">
        <v>3137</v>
      </c>
      <c r="B632" s="323">
        <f>kdeg.water*Tempfactor.wsdsA*(BACT.w2A/BACT.test)*FRw.w2A</f>
        <v>5.9915366961075931E-22</v>
      </c>
      <c r="C632" s="317" t="s">
        <v>642</v>
      </c>
    </row>
    <row r="633" spans="1:3" ht="15" x14ac:dyDescent="0.2">
      <c r="A633" s="317" t="s">
        <v>2232</v>
      </c>
      <c r="B633" s="318">
        <f>kdeg.water*Tempfactor.wsdsC*(BACT.w2C/BACT.test)*FRw.w2C</f>
        <v>2.7529873386892645E-21</v>
      </c>
      <c r="C633" s="317" t="s">
        <v>642</v>
      </c>
    </row>
    <row r="634" spans="1:3" ht="15" x14ac:dyDescent="0.2">
      <c r="A634" s="317" t="s">
        <v>2780</v>
      </c>
      <c r="B634" s="318">
        <f>kdeg.water*Tempfactor.wsdsM*(BACT.w2M/BACT.test)*FRw.w2M</f>
        <v>2.7529873386892645E-21</v>
      </c>
      <c r="C634" s="317" t="s">
        <v>642</v>
      </c>
    </row>
    <row r="635" spans="1:3" ht="15" x14ac:dyDescent="0.2">
      <c r="A635" s="317" t="s">
        <v>1386</v>
      </c>
      <c r="B635" s="318" t="e">
        <f>kdeg.water*Tempfactor.wsdsR*(BACT.w2R/BACT.test)*FRw.w2R</f>
        <v>#NAME?</v>
      </c>
      <c r="C635" s="317" t="s">
        <v>642</v>
      </c>
    </row>
    <row r="636" spans="1:3" ht="15" x14ac:dyDescent="0.2">
      <c r="A636" s="317" t="s">
        <v>3447</v>
      </c>
      <c r="B636" s="318">
        <f>kdeg.water*Tempfactor.wsdsT*(BACT.w2T/BACT.test)*FRw.w2T</f>
        <v>6.7786499640731536E-21</v>
      </c>
      <c r="C636" s="317" t="s">
        <v>642</v>
      </c>
    </row>
    <row r="637" spans="1:3" ht="15" x14ac:dyDescent="0.2">
      <c r="A637" s="317" t="s">
        <v>3138</v>
      </c>
      <c r="B637" s="323">
        <f>kdeg.water*Tempfactor.wsdsA*(BACT.w3A/BACT.test)*FRw.w3A</f>
        <v>5.9915366961075931E-22</v>
      </c>
      <c r="C637" s="317" t="s">
        <v>642</v>
      </c>
    </row>
    <row r="638" spans="1:3" ht="15" x14ac:dyDescent="0.2">
      <c r="A638" s="317" t="s">
        <v>2782</v>
      </c>
      <c r="B638" s="318">
        <f>kdeg.water*Tempfactor.wsdsM*(BACT.w3M/BACT.test)*FRw.w3M</f>
        <v>2.7529873386892645E-21</v>
      </c>
      <c r="C638" s="317" t="s">
        <v>642</v>
      </c>
    </row>
    <row r="639" spans="1:3" ht="15" x14ac:dyDescent="0.2">
      <c r="A639" s="317" t="s">
        <v>3448</v>
      </c>
      <c r="B639" s="318">
        <f>kdeg.water*Tempfactor.wsdsT*(BACT.w3T/BACT.test)*FRw.w3T</f>
        <v>6.7786499640731536E-21</v>
      </c>
      <c r="C639" s="317" t="s">
        <v>642</v>
      </c>
    </row>
    <row r="640" spans="1:3" ht="15" x14ac:dyDescent="0.2">
      <c r="A640" s="319" t="s">
        <v>4630</v>
      </c>
      <c r="B640" s="321">
        <f>IF(biodeg="r",LN(2)/15*Q.10^(13/10),IF(biodeg="r-",LN(2)/50*Q.10^(13/10),IF(biodeg="i",LN(2)/150*Q.10^(13/10),1E-20)))/(3600*24)</f>
        <v>1.316920183599007E-7</v>
      </c>
      <c r="C640" s="317" t="s">
        <v>642</v>
      </c>
    </row>
    <row r="641" spans="1:3" ht="38.25" x14ac:dyDescent="0.2">
      <c r="A641" s="317" t="s">
        <v>4631</v>
      </c>
      <c r="B641" s="324" t="s">
        <v>4632</v>
      </c>
      <c r="C641" s="317" t="s">
        <v>642</v>
      </c>
    </row>
    <row r="642" spans="1:3" ht="38.25" x14ac:dyDescent="0.2">
      <c r="A642" s="317" t="s">
        <v>4633</v>
      </c>
      <c r="B642" s="324" t="s">
        <v>4634</v>
      </c>
      <c r="C642" s="317" t="s">
        <v>642</v>
      </c>
    </row>
    <row r="643" spans="1:3" ht="38.25" x14ac:dyDescent="0.2">
      <c r="A643" s="317" t="s">
        <v>4635</v>
      </c>
      <c r="B643" s="324" t="s">
        <v>4636</v>
      </c>
      <c r="C643" s="317" t="s">
        <v>642</v>
      </c>
    </row>
    <row r="644" spans="1:3" ht="38.25" x14ac:dyDescent="0.2">
      <c r="A644" s="317" t="s">
        <v>4637</v>
      </c>
      <c r="B644" s="324" t="s">
        <v>4638</v>
      </c>
      <c r="C644" s="317" t="s">
        <v>642</v>
      </c>
    </row>
    <row r="645" spans="1:3" ht="38.25" x14ac:dyDescent="0.2">
      <c r="A645" s="317" t="s">
        <v>4639</v>
      </c>
      <c r="B645" s="324" t="s">
        <v>4640</v>
      </c>
      <c r="C645" s="317" t="s">
        <v>642</v>
      </c>
    </row>
    <row r="646" spans="1:3" ht="15" x14ac:dyDescent="0.2">
      <c r="A646" s="317" t="s">
        <v>4641</v>
      </c>
      <c r="B646" s="318" t="e">
        <f>kdep.A-(GASABSflow.aA.w2A+GASABSflow.aA.sA)/VOLUME.aA-KDEG.aA</f>
        <v>#NAME?</v>
      </c>
      <c r="C646" s="317" t="s">
        <v>642</v>
      </c>
    </row>
    <row r="647" spans="1:3" ht="15" x14ac:dyDescent="0.2">
      <c r="A647" s="317" t="s">
        <v>4642</v>
      </c>
      <c r="B647" s="318" t="e">
        <f>kdep.C-(GASABSflow.aC.w1C+GASABSflow.aC.w2C+GASABSflow.aC.s1C+GASABSflow.aC.s2C+GASABSflow.aC.s3C)/VOLUME.aC-KDEG.aC</f>
        <v>#NAME?</v>
      </c>
      <c r="C647" s="317" t="s">
        <v>642</v>
      </c>
    </row>
    <row r="648" spans="1:3" ht="15" x14ac:dyDescent="0.2">
      <c r="A648" s="317" t="s">
        <v>4643</v>
      </c>
      <c r="B648" s="318" t="e">
        <f>kdep.M-(GASABSflow.aM.w2M+GASABSflow.aM.sM)/VOLUME.aM-KDEG.aM</f>
        <v>#NAME?</v>
      </c>
      <c r="C648" s="317" t="s">
        <v>642</v>
      </c>
    </row>
    <row r="649" spans="1:3" ht="15" x14ac:dyDescent="0.2">
      <c r="A649" s="317" t="s">
        <v>4644</v>
      </c>
      <c r="B649" s="325" t="e">
        <f>kdep.R-(GASABSflow.aR.w1R+GASABSflow.aR.w2R+GASABSflow.aR.s1R+GASABSflow.aR.s2R+GASABSflow.aR.s3R)/SYSTEMAREA.R-KDEG.aR</f>
        <v>#NAME?</v>
      </c>
      <c r="C649" s="317" t="s">
        <v>642</v>
      </c>
    </row>
    <row r="650" spans="1:3" ht="15" x14ac:dyDescent="0.2">
      <c r="A650" s="317" t="s">
        <v>4645</v>
      </c>
      <c r="B650" s="318" t="e">
        <f>kdep.T-(GASABSflow.aT.w2T+GASABSflow.aT.sT)/VOLUME.aT-KDEG.aT</f>
        <v>#NAME?</v>
      </c>
      <c r="C650" s="317" t="s">
        <v>642</v>
      </c>
    </row>
    <row r="651" spans="1:3" ht="15" x14ac:dyDescent="0.2">
      <c r="A651" s="317" t="s">
        <v>3087</v>
      </c>
      <c r="B651" s="318" t="e">
        <f>DRYDEPaerosol.A/HEIGHT.aA + (GASABSflow.aA.w2A+GASABSflow.aA.sA)/VOLUME.aA+KDEG.aA</f>
        <v>#NAME?</v>
      </c>
      <c r="C651" s="317" t="s">
        <v>642</v>
      </c>
    </row>
    <row r="652" spans="1:3" ht="15" x14ac:dyDescent="0.2">
      <c r="A652" s="317" t="s">
        <v>2141</v>
      </c>
      <c r="B652" s="318" t="e">
        <f>DRYDEPaerosol.C/HEIGHT.aC + (GASABSflow.aC.w1C+GASABSflow.aC.w2C+GASABSflow.aC.s1C+GASABSflow.aC.s2C+GASABSflow.aC.s3C)/SYSTEMAREA.C+KDEG.aC</f>
        <v>#NAME?</v>
      </c>
      <c r="C652" s="317" t="s">
        <v>642</v>
      </c>
    </row>
    <row r="653" spans="1:3" ht="15" x14ac:dyDescent="0.2">
      <c r="A653" s="317" t="s">
        <v>2711</v>
      </c>
      <c r="B653" s="318" t="e">
        <f>DRYDEPaerosol.M/HEIGHT.aM + (GASABSflow.aM.w2M+GASABSflow.aM.sM)/VOLUME.aM+KDEG.aM</f>
        <v>#NAME?</v>
      </c>
      <c r="C653" s="317" t="s">
        <v>642</v>
      </c>
    </row>
    <row r="654" spans="1:3" ht="15" x14ac:dyDescent="0.2">
      <c r="A654" s="317" t="s">
        <v>1216</v>
      </c>
      <c r="B654" s="318" t="e">
        <f>DRYDEPaerosol.R/HEIGHT.aR + (GASABSflow.aR.w1R+GASABSflow.aR.w2R+GASABSflow.aR.s1R+GASABSflow.aR.s2R+GASABSflow.aR.s3R)/SYSTEMAREA.R+KDEG.aR</f>
        <v>#NAME?</v>
      </c>
      <c r="C654" s="317" t="s">
        <v>642</v>
      </c>
    </row>
    <row r="655" spans="1:3" ht="15" x14ac:dyDescent="0.2">
      <c r="A655" s="317" t="s">
        <v>3401</v>
      </c>
      <c r="B655" s="318" t="e">
        <f>DRYDEPaerosol.T/HEIGHT.aT + (GASABSflow.aT.w2T+GASABSflow.aT.sT)/VOLUME.aT+KDEG.aT</f>
        <v>#NAME?</v>
      </c>
      <c r="C655" s="317" t="s">
        <v>642</v>
      </c>
    </row>
    <row r="656" spans="1:3" ht="15" x14ac:dyDescent="0.2">
      <c r="A656" s="319" t="s">
        <v>3132</v>
      </c>
      <c r="B656" s="318">
        <f>LN(2)/(60*365*24*3600)</f>
        <v>3.663258818281463E-10</v>
      </c>
      <c r="C656" s="317" t="s">
        <v>642</v>
      </c>
    </row>
    <row r="657" spans="1:3" ht="15" x14ac:dyDescent="0.2">
      <c r="A657" s="319" t="s">
        <v>2224</v>
      </c>
      <c r="B657" s="318">
        <f>LN(2)/(60*365*24*3600)</f>
        <v>3.663258818281463E-10</v>
      </c>
      <c r="C657" s="317" t="s">
        <v>642</v>
      </c>
    </row>
    <row r="658" spans="1:3" ht="15" x14ac:dyDescent="0.2">
      <c r="A658" s="319" t="s">
        <v>2774</v>
      </c>
      <c r="B658" s="318">
        <f>LN(2)/(60*365*24*3600)</f>
        <v>3.663258818281463E-10</v>
      </c>
      <c r="C658" s="317" t="s">
        <v>642</v>
      </c>
    </row>
    <row r="659" spans="1:3" ht="15" x14ac:dyDescent="0.2">
      <c r="A659" s="319" t="s">
        <v>1373</v>
      </c>
      <c r="B659" s="318">
        <f>LN(2)/(60*365*24*3600)</f>
        <v>3.663258818281463E-10</v>
      </c>
      <c r="C659" s="317" t="s">
        <v>642</v>
      </c>
    </row>
    <row r="660" spans="1:3" ht="15" x14ac:dyDescent="0.2">
      <c r="A660" s="319" t="s">
        <v>3442</v>
      </c>
      <c r="B660" s="318">
        <f>LN(2)/(60*365*24*3600)</f>
        <v>3.663258818281463E-10</v>
      </c>
      <c r="C660" s="317" t="s">
        <v>642</v>
      </c>
    </row>
    <row r="661" spans="1:3" x14ac:dyDescent="0.2">
      <c r="A661" s="317" t="s">
        <v>562</v>
      </c>
      <c r="B661" s="321" t="e">
        <f>MEDIAN(substances!#REF!)</f>
        <v>#REF!</v>
      </c>
      <c r="C661" s="317" t="s">
        <v>314</v>
      </c>
    </row>
    <row r="662" spans="1:3" x14ac:dyDescent="0.2">
      <c r="A662" s="317" t="s">
        <v>564</v>
      </c>
      <c r="B662" s="318">
        <f>10^(LOG(Kow)-3.5)</f>
        <v>0.86962635654630471</v>
      </c>
      <c r="C662" s="317" t="s">
        <v>314</v>
      </c>
    </row>
    <row r="663" spans="1:3" x14ac:dyDescent="0.2">
      <c r="A663" s="319" t="s">
        <v>2072</v>
      </c>
      <c r="B663" s="318">
        <f>0.08*D</f>
        <v>220</v>
      </c>
      <c r="C663" s="317" t="s">
        <v>1127</v>
      </c>
    </row>
    <row r="664" spans="1:3" x14ac:dyDescent="0.2">
      <c r="A664" s="319" t="s">
        <v>1126</v>
      </c>
      <c r="B664" s="318">
        <f>0.08*D</f>
        <v>220</v>
      </c>
      <c r="C664" s="317" t="s">
        <v>1127</v>
      </c>
    </row>
    <row r="665" spans="1:3" x14ac:dyDescent="0.2">
      <c r="A665" s="319" t="s">
        <v>2077</v>
      </c>
      <c r="B665" s="318">
        <f>0.08*D</f>
        <v>220</v>
      </c>
      <c r="C665" s="317" t="s">
        <v>1127</v>
      </c>
    </row>
    <row r="666" spans="1:3" x14ac:dyDescent="0.2">
      <c r="A666" s="319" t="s">
        <v>1132</v>
      </c>
      <c r="B666" s="318">
        <f>0.08*D</f>
        <v>220</v>
      </c>
      <c r="C666" s="317" t="s">
        <v>1127</v>
      </c>
    </row>
    <row r="667" spans="1:3" x14ac:dyDescent="0.2">
      <c r="A667" s="319" t="s">
        <v>3068</v>
      </c>
      <c r="B667" s="318"/>
      <c r="C667" s="317" t="s">
        <v>1127</v>
      </c>
    </row>
    <row r="668" spans="1:3" x14ac:dyDescent="0.2">
      <c r="A668" s="319" t="s">
        <v>2082</v>
      </c>
      <c r="B668" s="318">
        <f>0.08*D</f>
        <v>220</v>
      </c>
      <c r="C668" s="317" t="s">
        <v>1127</v>
      </c>
    </row>
    <row r="669" spans="1:3" x14ac:dyDescent="0.2">
      <c r="A669" s="319" t="s">
        <v>2675</v>
      </c>
      <c r="B669" s="318"/>
      <c r="C669" s="317" t="s">
        <v>1127</v>
      </c>
    </row>
    <row r="670" spans="1:3" x14ac:dyDescent="0.2">
      <c r="A670" s="319" t="s">
        <v>1137</v>
      </c>
      <c r="B670" s="318">
        <f>0.08*D</f>
        <v>220</v>
      </c>
      <c r="C670" s="317" t="s">
        <v>1127</v>
      </c>
    </row>
    <row r="671" spans="1:3" x14ac:dyDescent="0.2">
      <c r="A671" s="319" t="s">
        <v>3383</v>
      </c>
      <c r="B671" s="318"/>
      <c r="C671" s="317" t="s">
        <v>1127</v>
      </c>
    </row>
    <row r="672" spans="1:3" x14ac:dyDescent="0.2">
      <c r="A672" s="319" t="s">
        <v>3069</v>
      </c>
      <c r="B672" s="318"/>
      <c r="C672" s="317" t="s">
        <v>1127</v>
      </c>
    </row>
    <row r="673" spans="1:3" x14ac:dyDescent="0.2">
      <c r="A673" s="319" t="s">
        <v>2677</v>
      </c>
      <c r="B673" s="318"/>
      <c r="C673" s="317" t="s">
        <v>1127</v>
      </c>
    </row>
    <row r="674" spans="1:3" x14ac:dyDescent="0.2">
      <c r="A674" s="319" t="s">
        <v>3384</v>
      </c>
      <c r="B674" s="318"/>
      <c r="C674" s="317" t="s">
        <v>1127</v>
      </c>
    </row>
    <row r="675" spans="1:3" x14ac:dyDescent="0.2">
      <c r="A675" s="319" t="s">
        <v>2097</v>
      </c>
      <c r="B675" s="318">
        <f>(FRorig.s1*Ksw+(1-FRorig.s1)*Ksw.alt)*(1000/RHOsolid/CORG)*CORG.s1C</f>
        <v>19000</v>
      </c>
      <c r="C675" s="317" t="s">
        <v>1127</v>
      </c>
    </row>
    <row r="676" spans="1:3" ht="15" x14ac:dyDescent="0.2">
      <c r="A676" s="319" t="s">
        <v>1163</v>
      </c>
      <c r="B676" s="318">
        <f>(FRorig.s1*Ksw+(1-FRorig.s1)*Ksw.alt)*(1000/RHOsolid/CORG)*CORG.s1R</f>
        <v>19000</v>
      </c>
      <c r="C676" s="317" t="s">
        <v>1121</v>
      </c>
    </row>
    <row r="677" spans="1:3" x14ac:dyDescent="0.2">
      <c r="A677" s="319" t="s">
        <v>2104</v>
      </c>
      <c r="B677" s="318">
        <f>(FRorig.s2*Ksw+(1-FRorig.s2)*Ksw.alt)*(1000/RHOsolid/CORG)*CORG.s2C</f>
        <v>19000</v>
      </c>
      <c r="C677" s="317" t="s">
        <v>1127</v>
      </c>
    </row>
    <row r="678" spans="1:3" ht="15" x14ac:dyDescent="0.2">
      <c r="A678" s="319" t="s">
        <v>1173</v>
      </c>
      <c r="B678" s="318">
        <f>(FRorig.s2*Ksw+(1-FRorig.s2)*Ksw.alt)*(1000/RHOsolid/CORG)*CORG.s2R</f>
        <v>19000</v>
      </c>
      <c r="C678" s="317" t="s">
        <v>1121</v>
      </c>
    </row>
    <row r="679" spans="1:3" x14ac:dyDescent="0.2">
      <c r="A679" s="319" t="s">
        <v>2111</v>
      </c>
      <c r="B679" s="318">
        <f>(FRorig.s2*Ksw+(1-FRorig.s2)*Ksw.alt)*(1000/RHOsolid/CORG)*CORG.s3C</f>
        <v>19000</v>
      </c>
      <c r="C679" s="317" t="s">
        <v>1127</v>
      </c>
    </row>
    <row r="680" spans="1:3" ht="15" x14ac:dyDescent="0.2">
      <c r="A680" s="319" t="s">
        <v>1183</v>
      </c>
      <c r="B680" s="318">
        <f>(FRorig.s3*Ksw+(1-FRorig.s3)*Ksw.alt)*(1000/RHOsolid/CORG)*CORG.s3R</f>
        <v>19000</v>
      </c>
      <c r="C680" s="317" t="s">
        <v>1121</v>
      </c>
    </row>
    <row r="681" spans="1:3" ht="15" x14ac:dyDescent="0.2">
      <c r="A681" s="319" t="s">
        <v>3078</v>
      </c>
      <c r="B681" s="318">
        <f>(FRorig.s1*Ksw+(1-FRorig.s1)*Ksw.alt)*(1000/RHOsolid/CORG)*CORG.sA</f>
        <v>19000</v>
      </c>
      <c r="C681" s="317" t="s">
        <v>1121</v>
      </c>
    </row>
    <row r="682" spans="1:3" x14ac:dyDescent="0.2">
      <c r="A682" s="319" t="s">
        <v>2087</v>
      </c>
      <c r="B682" s="318">
        <f>(FRorig.sd1*Ksw+(1-FRorig.sd1)*Ksw.alt)*(1000/RHOsolid/CORG)*CORG.sd1C</f>
        <v>47500</v>
      </c>
      <c r="C682" s="317" t="s">
        <v>1127</v>
      </c>
    </row>
    <row r="683" spans="1:3" ht="15" x14ac:dyDescent="0.2">
      <c r="A683" s="319" t="s">
        <v>1147</v>
      </c>
      <c r="B683" s="318">
        <f>(FRorig.sd1*Ksw+(1-FRorig.sd1)*Ksw.alt)*(1000/RHOsolid/CORG)*CORG.sd1R</f>
        <v>47500</v>
      </c>
      <c r="C683" s="317" t="s">
        <v>1121</v>
      </c>
    </row>
    <row r="684" spans="1:3" x14ac:dyDescent="0.2">
      <c r="A684" s="319" t="s">
        <v>2090</v>
      </c>
      <c r="B684" s="318">
        <f>(FRorig.sd2*Ksw+(1-FRorig.sd2)*Ksw.alt)*(1000/RHOsolid/CORG)*CORG.sd2C</f>
        <v>47500</v>
      </c>
      <c r="C684" s="317" t="s">
        <v>1127</v>
      </c>
    </row>
    <row r="685" spans="1:3" ht="15" x14ac:dyDescent="0.2">
      <c r="A685" s="319" t="s">
        <v>1153</v>
      </c>
      <c r="B685" s="318">
        <f>(FRorig.sd2*Ksw+(1-FRorig.sd2)*Ksw.alt)*(1000/RHOsolid/CORG)*CORG.sd2R</f>
        <v>47500</v>
      </c>
      <c r="C685" s="317" t="s">
        <v>1121</v>
      </c>
    </row>
    <row r="686" spans="1:3" ht="15" x14ac:dyDescent="0.2">
      <c r="A686" s="319" t="s">
        <v>3073</v>
      </c>
      <c r="B686" s="318">
        <f>(FRorig.sd2*Ksw+(1-FRorig.sd2)*Ksw.alt)*(1000/RHOsolid/CORG)*CORG.sdA</f>
        <v>47500</v>
      </c>
      <c r="C686" s="317" t="s">
        <v>1121</v>
      </c>
    </row>
    <row r="687" spans="1:3" ht="15" x14ac:dyDescent="0.2">
      <c r="A687" s="319" t="s">
        <v>2685</v>
      </c>
      <c r="B687" s="318">
        <f>(FRorig.sd2*Ksw+(1-FRorig.sd2)*Ksw.alt)*(1000/RHOsolid/CORG)*CORG.sdM</f>
        <v>47500</v>
      </c>
      <c r="C687" s="317" t="s">
        <v>1121</v>
      </c>
    </row>
    <row r="688" spans="1:3" ht="15" x14ac:dyDescent="0.2">
      <c r="A688" s="319" t="s">
        <v>3388</v>
      </c>
      <c r="B688" s="318">
        <f>(FRorig.sd2*Ksw+(1-FRorig.sd2)*Ksw.alt)*(1000/RHOsolid/CORG)*CORG.sdT</f>
        <v>47500</v>
      </c>
      <c r="C688" s="317" t="s">
        <v>1121</v>
      </c>
    </row>
    <row r="689" spans="1:3" ht="15" x14ac:dyDescent="0.2">
      <c r="A689" s="319" t="s">
        <v>2695</v>
      </c>
      <c r="B689" s="318">
        <f>(FRorig.s1*Ksw+(1-FRorig.s1)*Ksw.alt)*(1000/RHOsolid/CORG)*CORG.sM</f>
        <v>19000</v>
      </c>
      <c r="C689" s="317" t="s">
        <v>1121</v>
      </c>
    </row>
    <row r="690" spans="1:3" ht="15" x14ac:dyDescent="0.2">
      <c r="A690" s="319" t="s">
        <v>3393</v>
      </c>
      <c r="B690" s="318">
        <f>(FRorig.s1*Ksw+(1-FRorig.s1)*Ksw.alt)*(1000/RHOsolid/CORG)*CORG.sT</f>
        <v>19000</v>
      </c>
      <c r="C690" s="317" t="s">
        <v>1121</v>
      </c>
    </row>
    <row r="691" spans="1:3" ht="15" x14ac:dyDescent="0.2">
      <c r="A691" s="319" t="s">
        <v>2070</v>
      </c>
      <c r="B691" s="318">
        <f>(FRorig.w1*Ksw+(1-FRorig.w1)*Ksw.alt)*(1000/RHOsolid/CORG)*CORG.susp0C</f>
        <v>95000</v>
      </c>
      <c r="C691" s="317" t="s">
        <v>1121</v>
      </c>
    </row>
    <row r="692" spans="1:3" ht="15" x14ac:dyDescent="0.2">
      <c r="A692" s="319" t="s">
        <v>1120</v>
      </c>
      <c r="B692" s="318">
        <f>(FRorig.w1*Ksw+(1-FRorig.w1)*Ksw.alt)*(1000/RHOsolid/CORG)*CORG.susp0R</f>
        <v>95000</v>
      </c>
      <c r="C692" s="317" t="s">
        <v>1121</v>
      </c>
    </row>
    <row r="693" spans="1:3" x14ac:dyDescent="0.2">
      <c r="A693" s="319" t="s">
        <v>2075</v>
      </c>
      <c r="B693" s="318">
        <f>(FRorig.w1*Ksw+(1-FRorig.w1)*Ksw.alt)*(1000/RHOsolid/CORG)*CORG.susp1C</f>
        <v>95000</v>
      </c>
      <c r="C693" s="317" t="s">
        <v>1127</v>
      </c>
    </row>
    <row r="694" spans="1:3" ht="15" x14ac:dyDescent="0.2">
      <c r="A694" s="319" t="s">
        <v>1130</v>
      </c>
      <c r="B694" s="318">
        <f>(FRorig.w1*Ksw+(1-FRorig.w1)*Ksw.alt)*(1000/RHOsolid/CORG)*CORG.susp1R</f>
        <v>95000</v>
      </c>
      <c r="C694" s="317" t="s">
        <v>1121</v>
      </c>
    </row>
    <row r="695" spans="1:3" ht="15" x14ac:dyDescent="0.2">
      <c r="A695" s="319" t="s">
        <v>3062</v>
      </c>
      <c r="B695" s="318">
        <f>(FRorig.w2*Ksw+(1-FRorig.w2)*Ksw.alt)*(1000/RHOsolid/CORG)*CORG.susp2A</f>
        <v>95000</v>
      </c>
      <c r="C695" s="317" t="s">
        <v>1121</v>
      </c>
    </row>
    <row r="696" spans="1:3" x14ac:dyDescent="0.2">
      <c r="A696" s="319" t="s">
        <v>2080</v>
      </c>
      <c r="B696" s="318">
        <f>(FRorig.w2*Ksw+(1-FRorig.w2)*Ksw.alt)*(1000/RHOsolid/CORG)*CORG.susp2C</f>
        <v>95000</v>
      </c>
      <c r="C696" s="317" t="s">
        <v>1127</v>
      </c>
    </row>
    <row r="697" spans="1:3" ht="15" x14ac:dyDescent="0.2">
      <c r="A697" s="319" t="s">
        <v>2663</v>
      </c>
      <c r="B697" s="318">
        <f>(FRorig.w2*Ksw+(1-FRorig.w2)*Ksw.alt)*(1000/RHOsolid/CORG)*CORG.susp2M</f>
        <v>95000</v>
      </c>
      <c r="C697" s="317" t="s">
        <v>1121</v>
      </c>
    </row>
    <row r="698" spans="1:3" ht="15" x14ac:dyDescent="0.2">
      <c r="A698" s="319" t="s">
        <v>1135</v>
      </c>
      <c r="B698" s="318">
        <f>(FRorig.w2*Ksw+(1-FRorig.w2)*Ksw.alt)*(1000/RHOsolid/CORG)*CORG.susp2R</f>
        <v>95000</v>
      </c>
      <c r="C698" s="317" t="s">
        <v>1121</v>
      </c>
    </row>
    <row r="699" spans="1:3" ht="15" x14ac:dyDescent="0.2">
      <c r="A699" s="319" t="s">
        <v>3377</v>
      </c>
      <c r="B699" s="318">
        <f>(FRorig.w2*Ksw+(1-FRorig.w2)*Ksw.alt)*(1000/RHOsolid/CORG)*CORG.susp2T</f>
        <v>95000</v>
      </c>
      <c r="C699" s="317" t="s">
        <v>1121</v>
      </c>
    </row>
    <row r="700" spans="1:3" ht="15" x14ac:dyDescent="0.2">
      <c r="A700" s="319" t="s">
        <v>3063</v>
      </c>
      <c r="B700" s="318">
        <f>(FRorig.w2*Ksw+(1-FRorig.w2)*Ksw.alt)*(1000/RHOsolid/CORG)*CORG.susp3A</f>
        <v>95000</v>
      </c>
      <c r="C700" s="317" t="s">
        <v>1121</v>
      </c>
    </row>
    <row r="701" spans="1:3" ht="15" x14ac:dyDescent="0.2">
      <c r="A701" s="319" t="s">
        <v>2665</v>
      </c>
      <c r="B701" s="318">
        <f>(FRorig.w2*Ksw+(1-FRorig.w2)*Ksw.alt)*(1000/RHOsolid/CORG)*CORG.susp3M</f>
        <v>95000</v>
      </c>
      <c r="C701" s="317" t="s">
        <v>1122</v>
      </c>
    </row>
    <row r="702" spans="1:3" ht="15" x14ac:dyDescent="0.2">
      <c r="A702" s="319" t="s">
        <v>3378</v>
      </c>
      <c r="B702" s="318">
        <f>(FRorig.w2*Ksw+(1-FRorig.w2)*Ksw.alt)*(1000/RHOsolid/CORG)*CORG.susp3T</f>
        <v>95000</v>
      </c>
      <c r="C702" s="317" t="s">
        <v>1121</v>
      </c>
    </row>
    <row r="703" spans="1:3" x14ac:dyDescent="0.2">
      <c r="A703" s="319" t="s">
        <v>2092</v>
      </c>
      <c r="B703" s="318">
        <f>FRACa.s1C*(Kaw.C*FRorig.s1w)+FRACw.s1C+FRACs.s1C*Kp.s1C*RHOsolid/1000</f>
        <v>28500.200000000004</v>
      </c>
      <c r="C703" s="317" t="s">
        <v>314</v>
      </c>
    </row>
    <row r="704" spans="1:3" x14ac:dyDescent="0.2">
      <c r="A704" s="319" t="s">
        <v>1157</v>
      </c>
      <c r="B704" s="318">
        <v>28500.200000000004</v>
      </c>
      <c r="C704" s="317" t="s">
        <v>314</v>
      </c>
    </row>
    <row r="705" spans="1:3" x14ac:dyDescent="0.2">
      <c r="A705" s="319" t="s">
        <v>2099</v>
      </c>
      <c r="B705" s="318">
        <f>FRACa.s2C*(Kaw.C*FRorig.s2w)+FRACw.s2C+FRACs.s2C*Kp.s2C*RHOsolid/1000</f>
        <v>28500.200000000004</v>
      </c>
      <c r="C705" s="317" t="s">
        <v>314</v>
      </c>
    </row>
    <row r="706" spans="1:3" x14ac:dyDescent="0.2">
      <c r="A706" s="319" t="s">
        <v>1167</v>
      </c>
      <c r="B706" s="318">
        <v>28500.200000000004</v>
      </c>
      <c r="C706" s="317" t="s">
        <v>314</v>
      </c>
    </row>
    <row r="707" spans="1:3" x14ac:dyDescent="0.2">
      <c r="A707" s="319" t="s">
        <v>2106</v>
      </c>
      <c r="B707" s="318">
        <f>FRACa.s3C*(Kaw.C*FRorig.s3w)+FRACw.s3C+FRACs.s3C*Kp.s3C*RHOsolid/1000</f>
        <v>28500.200000000004</v>
      </c>
      <c r="C707" s="317" t="s">
        <v>314</v>
      </c>
    </row>
    <row r="708" spans="1:3" x14ac:dyDescent="0.2">
      <c r="A708" s="319" t="s">
        <v>1177</v>
      </c>
      <c r="B708" s="318">
        <v>28500.200000000004</v>
      </c>
      <c r="C708" s="317" t="s">
        <v>314</v>
      </c>
    </row>
    <row r="709" spans="1:3" x14ac:dyDescent="0.2">
      <c r="A709" s="319" t="s">
        <v>3072</v>
      </c>
      <c r="B709" s="318">
        <f>FRACw.sdA+FRACs.sdA*Kp.sdA*RHOsolid/1000</f>
        <v>23750.799999999996</v>
      </c>
      <c r="C709" s="317" t="s">
        <v>314</v>
      </c>
    </row>
    <row r="710" spans="1:3" x14ac:dyDescent="0.2">
      <c r="A710" s="319" t="s">
        <v>2683</v>
      </c>
      <c r="B710" s="318">
        <f>FRACw.sdM+FRACs.sdM*Kp.sdM*RHOsolid/1000</f>
        <v>23750.799999999996</v>
      </c>
      <c r="C710" s="317" t="s">
        <v>314</v>
      </c>
    </row>
    <row r="711" spans="1:3" x14ac:dyDescent="0.2">
      <c r="A711" s="319" t="s">
        <v>3387</v>
      </c>
      <c r="B711" s="318">
        <f>FRACw.sdT+FRACs.sdT*Kp.sdT*RHOsolid/1000</f>
        <v>23750.799999999996</v>
      </c>
      <c r="C711" s="317" t="s">
        <v>314</v>
      </c>
    </row>
    <row r="712" spans="1:3" x14ac:dyDescent="0.2">
      <c r="A712" s="319" t="s">
        <v>2086</v>
      </c>
      <c r="B712" s="318">
        <f>FRACw.sdC+FRACs.sdC*Kp.sd1C*RHOsolid/1000</f>
        <v>23750.799999999996</v>
      </c>
      <c r="C712" s="317" t="s">
        <v>314</v>
      </c>
    </row>
    <row r="713" spans="1:3" x14ac:dyDescent="0.2">
      <c r="A713" s="319" t="s">
        <v>1145</v>
      </c>
      <c r="B713" s="325">
        <f>FRACw.sdR+FRACs.sdR*Kp.sd1R*RHOsolid/1000</f>
        <v>23750.799999999996</v>
      </c>
      <c r="C713" s="317" t="s">
        <v>314</v>
      </c>
    </row>
    <row r="714" spans="1:3" x14ac:dyDescent="0.2">
      <c r="A714" s="319" t="s">
        <v>2089</v>
      </c>
      <c r="B714" s="318">
        <f>FRACw.sdC+FRACs.sdC*Kp.sd2C*RHOsolid/1000</f>
        <v>23750.799999999996</v>
      </c>
      <c r="C714" s="317" t="s">
        <v>314</v>
      </c>
    </row>
    <row r="715" spans="1:3" x14ac:dyDescent="0.2">
      <c r="A715" s="319" t="s">
        <v>1151</v>
      </c>
      <c r="B715" s="318">
        <f>FRACw.sdR+FRACs.sdR*Kp.sd2R*RHOsolid/1000</f>
        <v>23750.799999999996</v>
      </c>
      <c r="C715" s="317" t="s">
        <v>314</v>
      </c>
    </row>
    <row r="716" spans="1:3" x14ac:dyDescent="0.2">
      <c r="A716" s="319" t="s">
        <v>3075</v>
      </c>
      <c r="B716" s="318">
        <f>FRACa.sA*(Kaw.A*FRorig.s1w)+FRACw.sA+FRACs.sA*Kp.sA*RHOsolid/1000</f>
        <v>28500.200000000004</v>
      </c>
      <c r="C716" s="317" t="s">
        <v>314</v>
      </c>
    </row>
    <row r="717" spans="1:3" x14ac:dyDescent="0.2">
      <c r="A717" s="319" t="s">
        <v>2689</v>
      </c>
      <c r="B717" s="318">
        <f>FRACa.sM*(Kaw.M*FRorig.s1w)+FRACw.sM+FRACs.sM*Kp.sM*RHOsolid/1000</f>
        <v>28500.200000000004</v>
      </c>
      <c r="C717" s="317" t="s">
        <v>314</v>
      </c>
    </row>
    <row r="718" spans="1:3" x14ac:dyDescent="0.2">
      <c r="A718" s="319" t="s">
        <v>3390</v>
      </c>
      <c r="B718" s="318">
        <f>FRACa.sT*(Kaw.T*FRorig.s1w)+FRACw.sT+FRACs.sT*Kp.sT*RHOsolid/1000</f>
        <v>28500.200000000004</v>
      </c>
      <c r="C718" s="317" t="s">
        <v>314</v>
      </c>
    </row>
    <row r="719" spans="1:3" x14ac:dyDescent="0.2">
      <c r="A719" s="319" t="s">
        <v>555</v>
      </c>
      <c r="B719" s="321">
        <f>(VLOOKUP(ChemClass,QSARtable,6,FALSE))*CORG*RHOsolid/1000</f>
        <v>0</v>
      </c>
      <c r="C719" s="317" t="s">
        <v>314</v>
      </c>
    </row>
    <row r="720" spans="1:3" x14ac:dyDescent="0.2">
      <c r="A720" s="319" t="s">
        <v>558</v>
      </c>
      <c r="B720" s="321">
        <f>(VLOOKUP(ChemClass,QSARtable,7,FALSE))*CORG*RHOsolid/1000</f>
        <v>50</v>
      </c>
      <c r="C720" s="317" t="s">
        <v>314</v>
      </c>
    </row>
    <row r="721" spans="1:3" ht="15" x14ac:dyDescent="0.2">
      <c r="A721" s="317" t="s">
        <v>3089</v>
      </c>
      <c r="B721" s="318" t="e">
        <f>(AerosolWashout.A+GasWashout.A)/HEIGHT.aA + (GASABSflow.aA.w2A+GASABSflow.aA.sA)/VOLUME.aA+KDEG.aA</f>
        <v>#NAME?</v>
      </c>
      <c r="C721" s="317" t="s">
        <v>642</v>
      </c>
    </row>
    <row r="722" spans="1:3" ht="15" x14ac:dyDescent="0.2">
      <c r="A722" s="317" t="s">
        <v>2143</v>
      </c>
      <c r="B722" s="318" t="e">
        <f>(AerosolWashout.C+GasWashout.C)/HEIGHT.aC + (GASABSflow.aC.w1C+GASABSflow.aC.w2C+GASABSflow.aC.s1C+GASABSflow.aC.s2C+GASABSflow.aC.s3C)/SYSTEMAREA.C+KDEG.aC</f>
        <v>#NAME?</v>
      </c>
      <c r="C722" s="317" t="s">
        <v>642</v>
      </c>
    </row>
    <row r="723" spans="1:3" ht="15" x14ac:dyDescent="0.2">
      <c r="A723" s="317" t="s">
        <v>2713</v>
      </c>
      <c r="B723" s="318" t="e">
        <f>(AerosolWashout.M+GasWashout.M)/HEIGHT.aM + (GASABSflow.aM.w2M+GASABSflow.aM.sM)/VOLUME.aM+KDEG.aM</f>
        <v>#NAME?</v>
      </c>
      <c r="C723" s="317" t="s">
        <v>642</v>
      </c>
    </row>
    <row r="724" spans="1:3" ht="15" x14ac:dyDescent="0.2">
      <c r="A724" s="317" t="s">
        <v>1218</v>
      </c>
      <c r="B724" s="318" t="e">
        <v>#NAME?</v>
      </c>
      <c r="C724" s="317" t="s">
        <v>642</v>
      </c>
    </row>
    <row r="725" spans="1:3" ht="15" x14ac:dyDescent="0.2">
      <c r="A725" s="317" t="s">
        <v>3402</v>
      </c>
      <c r="B725" s="318" t="e">
        <f>(AerosolWashout.T+GasWashout.T)/HEIGHT.aT + (GASABSflow.aT.w2T+GASABSflow.aT.sT)/VOLUME.aT+KDEG.aT</f>
        <v>#NAME?</v>
      </c>
      <c r="C725" s="317" t="s">
        <v>642</v>
      </c>
    </row>
    <row r="726" spans="1:3" ht="15" x14ac:dyDescent="0.2">
      <c r="A726" s="321" t="s">
        <v>3121</v>
      </c>
      <c r="B726" s="321">
        <v>2.7779999999999998E-8</v>
      </c>
      <c r="C726" s="320" t="s">
        <v>1226</v>
      </c>
    </row>
    <row r="727" spans="1:3" ht="15" x14ac:dyDescent="0.2">
      <c r="A727" s="321" t="s">
        <v>2198</v>
      </c>
      <c r="B727" s="321">
        <v>2.7779999999999998E-8</v>
      </c>
      <c r="C727" s="319" t="s">
        <v>1226</v>
      </c>
    </row>
    <row r="728" spans="1:3" ht="15" x14ac:dyDescent="0.2">
      <c r="A728" s="321" t="s">
        <v>2757</v>
      </c>
      <c r="B728" s="321">
        <v>2.7779999999999998E-8</v>
      </c>
      <c r="C728" s="320" t="s">
        <v>1226</v>
      </c>
    </row>
    <row r="729" spans="1:3" ht="15" x14ac:dyDescent="0.2">
      <c r="A729" s="321" t="s">
        <v>1323</v>
      </c>
      <c r="B729" s="318">
        <v>2.7780000000000001E-8</v>
      </c>
      <c r="C729" s="319" t="s">
        <v>1226</v>
      </c>
    </row>
    <row r="730" spans="1:3" ht="15" x14ac:dyDescent="0.2">
      <c r="A730" s="321" t="s">
        <v>3432</v>
      </c>
      <c r="B730" s="321">
        <v>2.7779999999999998E-8</v>
      </c>
      <c r="C730" s="320" t="s">
        <v>1226</v>
      </c>
    </row>
    <row r="731" spans="1:3" ht="15" x14ac:dyDescent="0.2">
      <c r="A731" s="321" t="s">
        <v>3120</v>
      </c>
      <c r="B731" s="321">
        <v>2.7779999999999999E-6</v>
      </c>
      <c r="C731" s="320" t="s">
        <v>1226</v>
      </c>
    </row>
    <row r="732" spans="1:3" ht="15" x14ac:dyDescent="0.2">
      <c r="A732" s="321" t="s">
        <v>2197</v>
      </c>
      <c r="B732" s="321">
        <v>2.7779999999999999E-6</v>
      </c>
      <c r="C732" s="319" t="s">
        <v>1226</v>
      </c>
    </row>
    <row r="733" spans="1:3" ht="15" x14ac:dyDescent="0.2">
      <c r="A733" s="321" t="s">
        <v>2756</v>
      </c>
      <c r="B733" s="321">
        <v>2.7779999999999999E-6</v>
      </c>
      <c r="C733" s="320" t="s">
        <v>1226</v>
      </c>
    </row>
    <row r="734" spans="1:3" ht="15" x14ac:dyDescent="0.2">
      <c r="A734" s="321" t="s">
        <v>1321</v>
      </c>
      <c r="B734" s="318">
        <v>2.7779999999999999E-6</v>
      </c>
      <c r="C734" s="319" t="s">
        <v>1226</v>
      </c>
    </row>
    <row r="735" spans="1:3" ht="15" x14ac:dyDescent="0.2">
      <c r="A735" s="321" t="s">
        <v>3431</v>
      </c>
      <c r="B735" s="321">
        <v>2.7779999999999999E-6</v>
      </c>
      <c r="C735" s="320" t="s">
        <v>1226</v>
      </c>
    </row>
    <row r="736" spans="1:3" ht="15" x14ac:dyDescent="0.2">
      <c r="A736" s="317" t="s">
        <v>4646</v>
      </c>
      <c r="B736" s="318">
        <f>FRACinf.s1C*RAINrate.C/Ks1w.C*SYSTEMAREA.C*AREAFRAC.s1C*CORRleach.s1C</f>
        <v>1.5690668426144706E-3</v>
      </c>
      <c r="C736" s="317" t="s">
        <v>1089</v>
      </c>
    </row>
    <row r="737" spans="1:3" ht="15" x14ac:dyDescent="0.2">
      <c r="A737" s="317" t="s">
        <v>4647</v>
      </c>
      <c r="B737" s="318">
        <f>FRACinf.s1R*RAINrate.R/Ks1w.R*SYSTEMAREA.R*AREAFRAC.s1R*CORRleach.s1R</f>
        <v>1.0288527534723037E-4</v>
      </c>
      <c r="C737" s="317" t="s">
        <v>1089</v>
      </c>
    </row>
    <row r="738" spans="1:3" ht="15" x14ac:dyDescent="0.2">
      <c r="A738" s="317" t="s">
        <v>4648</v>
      </c>
      <c r="B738" s="318">
        <f>FRACinf.s2C*RAINrate.C/Ks2w.C*SYSTEMAREA.C*AREAFRAC.s2C*CORRleach.s2C</f>
        <v>6.3467600892493647E-3</v>
      </c>
      <c r="C738" s="317" t="s">
        <v>1089</v>
      </c>
    </row>
    <row r="739" spans="1:3" ht="15" x14ac:dyDescent="0.2">
      <c r="A739" s="317" t="s">
        <v>4649</v>
      </c>
      <c r="B739" s="318">
        <f>FRACinf.s2R*RAINrate.R/Ks2w.R*SYSTEMAREA.R*AREAFRAC.s2R*CORRleach.s2R</f>
        <v>4.1616337915673893E-4</v>
      </c>
      <c r="C739" s="317" t="s">
        <v>1089</v>
      </c>
    </row>
    <row r="740" spans="1:3" ht="15" x14ac:dyDescent="0.2">
      <c r="A740" s="317" t="s">
        <v>4650</v>
      </c>
      <c r="B740" s="318">
        <f>FRACinf.s3C*RAINrate.C/Ks3w.C*SYSTEMAREA.C*AREAFRAC.s3C*CORRleach.s3C</f>
        <v>5.811358676349889E-4</v>
      </c>
      <c r="C740" s="317" t="s">
        <v>1089</v>
      </c>
    </row>
    <row r="741" spans="1:3" ht="15" x14ac:dyDescent="0.2">
      <c r="A741" s="317" t="s">
        <v>4651</v>
      </c>
      <c r="B741" s="318">
        <f>FRACinf.s3R*RAINrate.R/Ks3w.R*SYSTEMAREA.R*AREAFRAC.s3R*CORRleach.s3R</f>
        <v>3.8105657536011237E-5</v>
      </c>
      <c r="C741" s="317" t="s">
        <v>1089</v>
      </c>
    </row>
    <row r="742" spans="1:3" ht="15" x14ac:dyDescent="0.2">
      <c r="A742" s="317" t="s">
        <v>4652</v>
      </c>
      <c r="B742" s="318">
        <f>FRACinf.sA*RAINrate.A/Kslw.A*SYSTEMAREA.A*AREAFRAC.sA*CORRleach.sA</f>
        <v>1.012187854474389E-2</v>
      </c>
      <c r="C742" s="317" t="s">
        <v>1089</v>
      </c>
    </row>
    <row r="743" spans="1:3" ht="15" x14ac:dyDescent="0.2">
      <c r="A743" s="317" t="s">
        <v>4653</v>
      </c>
      <c r="B743" s="325">
        <f>FRACinf.sM*RAINrate.M/Kslw.M*SYSTEMAREA.M*AREAFRAC.sM*CORRleach.sM</f>
        <v>6.4660734561497235E-2</v>
      </c>
      <c r="C743" s="317" t="s">
        <v>1089</v>
      </c>
    </row>
    <row r="744" spans="1:3" ht="15" x14ac:dyDescent="0.2">
      <c r="A744" s="317" t="s">
        <v>4654</v>
      </c>
      <c r="B744" s="318">
        <f>FRACinf.sT*RAINrate.T/Kslw.T*SYSTEMAREA.T*AREAFRAC.sT*CORRleach.sT</f>
        <v>0.11842597897350354</v>
      </c>
      <c r="C744" s="317" t="s">
        <v>1089</v>
      </c>
    </row>
    <row r="745" spans="1:3" ht="15" x14ac:dyDescent="0.2">
      <c r="A745" s="321" t="s">
        <v>3106</v>
      </c>
      <c r="B745" s="318">
        <f>0.43/(24*3600)/0.00475</f>
        <v>1.0477582846003899E-3</v>
      </c>
      <c r="C745" s="320" t="s">
        <v>1226</v>
      </c>
    </row>
    <row r="746" spans="1:3" ht="15" x14ac:dyDescent="0.2">
      <c r="A746" s="321" t="s">
        <v>4655</v>
      </c>
      <c r="B746" s="318">
        <f>0.43/(24*3600)/0.00475</f>
        <v>1.0477582846003899E-3</v>
      </c>
      <c r="C746" s="319" t="s">
        <v>1226</v>
      </c>
    </row>
    <row r="747" spans="1:3" ht="15" x14ac:dyDescent="0.2">
      <c r="A747" s="321" t="s">
        <v>2734</v>
      </c>
      <c r="B747" s="318">
        <f>0.43/(24*3600)/0.00475</f>
        <v>1.0477582846003899E-3</v>
      </c>
      <c r="C747" s="320" t="s">
        <v>1226</v>
      </c>
    </row>
    <row r="748" spans="1:3" ht="15" x14ac:dyDescent="0.2">
      <c r="A748" s="321" t="s">
        <v>1257</v>
      </c>
      <c r="B748" s="318">
        <f>0.43/(24*3600)/0.00475</f>
        <v>1.0477582846003899E-3</v>
      </c>
      <c r="C748" s="319" t="s">
        <v>1226</v>
      </c>
    </row>
    <row r="749" spans="1:3" ht="15" x14ac:dyDescent="0.2">
      <c r="A749" s="321" t="s">
        <v>3418</v>
      </c>
      <c r="B749" s="318">
        <f>0.43/(24*3600)/0.00475</f>
        <v>1.0477582846003899E-3</v>
      </c>
      <c r="C749" s="320" t="s">
        <v>1226</v>
      </c>
    </row>
    <row r="750" spans="1:3" ht="15" x14ac:dyDescent="0.2">
      <c r="A750" s="321" t="s">
        <v>3107</v>
      </c>
      <c r="B750" s="318">
        <f>0.1*KDEG.sA</f>
        <v>8.8388347648318441E-23</v>
      </c>
      <c r="C750" s="319" t="s">
        <v>1226</v>
      </c>
    </row>
    <row r="751" spans="1:3" ht="15" x14ac:dyDescent="0.2">
      <c r="A751" s="321" t="s">
        <v>4656</v>
      </c>
      <c r="B751" s="323">
        <f>0.1*KDEG.s1C</f>
        <v>4.0612619817811774E-22</v>
      </c>
      <c r="C751" s="319" t="s">
        <v>1226</v>
      </c>
    </row>
    <row r="752" spans="1:3" ht="15" x14ac:dyDescent="0.2">
      <c r="A752" s="321" t="s">
        <v>2735</v>
      </c>
      <c r="B752" s="318">
        <f>0.1*KDEG.sM</f>
        <v>4.0612619817811774E-22</v>
      </c>
      <c r="C752" s="319" t="s">
        <v>1226</v>
      </c>
    </row>
    <row r="753" spans="1:3" ht="15" x14ac:dyDescent="0.2">
      <c r="A753" s="321" t="s">
        <v>1259</v>
      </c>
      <c r="B753" s="318">
        <f>0.1*KDEG.s1R</f>
        <v>4.0612619817811774E-22</v>
      </c>
      <c r="C753" s="319" t="s">
        <v>1226</v>
      </c>
    </row>
    <row r="754" spans="1:3" ht="15" x14ac:dyDescent="0.2">
      <c r="A754" s="321" t="s">
        <v>3419</v>
      </c>
      <c r="B754" s="318">
        <f>0.1*KDEG.sT</f>
        <v>9.9999999999999991E-22</v>
      </c>
      <c r="C754" s="319" t="s">
        <v>1226</v>
      </c>
    </row>
    <row r="755" spans="1:3" ht="15" x14ac:dyDescent="0.2">
      <c r="A755" s="321" t="s">
        <v>3103</v>
      </c>
      <c r="B755" s="318">
        <f>0.01*(0.3+0.2*WINDspeed.A)*((0.018/Molweight)^(0.67*0.5))</f>
        <v>4.9401151407467364E-3</v>
      </c>
      <c r="C755" s="320" t="s">
        <v>1226</v>
      </c>
    </row>
    <row r="756" spans="1:3" ht="15" x14ac:dyDescent="0.2">
      <c r="A756" s="321" t="s">
        <v>4657</v>
      </c>
      <c r="B756" s="318">
        <f>0.01*(0.3+0.2*WINDspeed.C)*((0.018/Molweight)^(0.67*0.5))</f>
        <v>4.9401151407467364E-3</v>
      </c>
      <c r="C756" s="319" t="s">
        <v>1226</v>
      </c>
    </row>
    <row r="757" spans="1:3" ht="15" x14ac:dyDescent="0.2">
      <c r="A757" s="321" t="s">
        <v>2730</v>
      </c>
      <c r="B757" s="318">
        <f>0.01*(0.3+0.2*WINDspeed.M)*((0.018/Molweight)^(0.67*0.5))</f>
        <v>4.9401151407467364E-3</v>
      </c>
      <c r="C757" s="320" t="s">
        <v>1226</v>
      </c>
    </row>
    <row r="758" spans="1:3" ht="15" x14ac:dyDescent="0.2">
      <c r="A758" s="321" t="s">
        <v>1247</v>
      </c>
      <c r="B758" s="318">
        <f>0.01*(0.3+0.2*WINDspeed.R)*((0.018/Molweight)^(0.67*0.5))</f>
        <v>4.9401151407467364E-3</v>
      </c>
      <c r="C758" s="319" t="s">
        <v>1226</v>
      </c>
    </row>
    <row r="759" spans="1:3" ht="15" x14ac:dyDescent="0.2">
      <c r="A759" s="321" t="s">
        <v>3415</v>
      </c>
      <c r="B759" s="318">
        <f>0.01*(0.3+0.2*WINDspeed.T)*((0.018/Molweight)^(0.67*0.5))</f>
        <v>4.9401151407467364E-3</v>
      </c>
      <c r="C759" s="320" t="s">
        <v>1226</v>
      </c>
    </row>
    <row r="760" spans="1:3" ht="15" x14ac:dyDescent="0.2">
      <c r="A760" s="321" t="s">
        <v>3104</v>
      </c>
      <c r="B760" s="318">
        <f>0.01*(0.0004+0.00004*WINDspeed.A^2)*((0.032/Molweight)^(0.5*0.5))</f>
        <v>5.6088770120716376E-6</v>
      </c>
      <c r="C760" s="320" t="s">
        <v>1226</v>
      </c>
    </row>
    <row r="761" spans="1:3" ht="15" x14ac:dyDescent="0.2">
      <c r="A761" s="321" t="s">
        <v>4658</v>
      </c>
      <c r="B761" s="318">
        <f>0.01*(0.0004+0.00004*WINDspeed.C^2)*((0.032/Molweight)^(0.5*0.5))</f>
        <v>5.6088770120716376E-6</v>
      </c>
      <c r="C761" s="319" t="s">
        <v>1226</v>
      </c>
    </row>
    <row r="762" spans="1:3" ht="15" x14ac:dyDescent="0.2">
      <c r="A762" s="321" t="s">
        <v>2731</v>
      </c>
      <c r="B762" s="318">
        <f>0.01*(0.0004+0.00004*WINDspeed.M^2)*((0.032/Molweight)^(0.5*0.5))</f>
        <v>5.6088770120716376E-6</v>
      </c>
      <c r="C762" s="320" t="s">
        <v>1226</v>
      </c>
    </row>
    <row r="763" spans="1:3" ht="15" x14ac:dyDescent="0.2">
      <c r="A763" s="321" t="s">
        <v>1249</v>
      </c>
      <c r="B763" s="318">
        <f>0.01*(0.0004+0.00004*WINDspeed.R^2)*((0.032/Molweight)^(0.5*0.5))</f>
        <v>5.6088770120716376E-6</v>
      </c>
      <c r="C763" s="319" t="s">
        <v>1226</v>
      </c>
    </row>
    <row r="764" spans="1:3" ht="15" x14ac:dyDescent="0.2">
      <c r="A764" s="321" t="s">
        <v>3416</v>
      </c>
      <c r="B764" s="318">
        <f>0.01*(0.0004+0.00004*WINDspeed.T^2)*((0.032/Molweight)^(0.5*0.5))</f>
        <v>5.6088770120716376E-6</v>
      </c>
      <c r="C764" s="320" t="s">
        <v>1226</v>
      </c>
    </row>
    <row r="765" spans="1:3" ht="15" x14ac:dyDescent="0.2">
      <c r="A765" s="319" t="s">
        <v>2189</v>
      </c>
      <c r="B765" s="318">
        <v>8.6226851854606775E-11</v>
      </c>
      <c r="C765" s="319" t="s">
        <v>1226</v>
      </c>
    </row>
    <row r="766" spans="1:3" ht="15" x14ac:dyDescent="0.2">
      <c r="A766" s="319" t="s">
        <v>1302</v>
      </c>
      <c r="B766" s="318">
        <v>8.6861047691527155E-11</v>
      </c>
      <c r="C766" s="319" t="s">
        <v>1226</v>
      </c>
    </row>
    <row r="767" spans="1:3" ht="15" x14ac:dyDescent="0.2">
      <c r="A767" s="319" t="s">
        <v>2190</v>
      </c>
      <c r="B767" s="318">
        <v>0</v>
      </c>
      <c r="C767" s="319" t="s">
        <v>1226</v>
      </c>
    </row>
    <row r="768" spans="1:3" ht="15" x14ac:dyDescent="0.2">
      <c r="A768" s="319" t="s">
        <v>1305</v>
      </c>
      <c r="B768" s="318">
        <v>2.7428797247595103E-11</v>
      </c>
      <c r="C768" s="319" t="s">
        <v>1226</v>
      </c>
    </row>
    <row r="769" spans="1:3" ht="15" x14ac:dyDescent="0.2">
      <c r="A769" s="319" t="s">
        <v>3115</v>
      </c>
      <c r="B769" s="318">
        <v>6.3419583967528499E-14</v>
      </c>
      <c r="C769" s="320" t="s">
        <v>1226</v>
      </c>
    </row>
    <row r="770" spans="1:3" ht="15" x14ac:dyDescent="0.2">
      <c r="A770" s="319" t="s">
        <v>2748</v>
      </c>
      <c r="B770" s="318">
        <v>8.9518029439684741E-14</v>
      </c>
      <c r="C770" s="320" t="s">
        <v>1226</v>
      </c>
    </row>
    <row r="771" spans="1:3" ht="15" x14ac:dyDescent="0.2">
      <c r="A771" s="319" t="s">
        <v>3427</v>
      </c>
      <c r="B771" s="318">
        <v>6.3419583967529484E-14</v>
      </c>
      <c r="C771" s="320" t="s">
        <v>1226</v>
      </c>
    </row>
    <row r="772" spans="1:3" ht="15" x14ac:dyDescent="0.2">
      <c r="A772" s="317" t="s">
        <v>2638</v>
      </c>
      <c r="B772" s="318">
        <v>150000000</v>
      </c>
      <c r="C772" s="321" t="s">
        <v>1089</v>
      </c>
    </row>
    <row r="773" spans="1:3" ht="15" x14ac:dyDescent="0.2">
      <c r="A773" s="317" t="s">
        <v>3050</v>
      </c>
      <c r="B773" s="318">
        <f>VOLUME.w2A/TAU.surfA</f>
        <v>536616161.61616164</v>
      </c>
      <c r="C773" s="321" t="s">
        <v>1089</v>
      </c>
    </row>
    <row r="774" spans="1:3" ht="15" x14ac:dyDescent="0.2">
      <c r="A774" s="317" t="s">
        <v>2644</v>
      </c>
      <c r="B774" s="318">
        <f>VOLUME.w2M/TAU.surfM</f>
        <v>816195075.75757575</v>
      </c>
      <c r="C774" s="321" t="s">
        <v>1089</v>
      </c>
    </row>
    <row r="775" spans="1:3" ht="15" x14ac:dyDescent="0.2">
      <c r="A775" s="317" t="s">
        <v>3365</v>
      </c>
      <c r="B775" s="318">
        <f>VOLUME.w2T/TAU.surfT</f>
        <v>1878156565.6565654</v>
      </c>
      <c r="C775" s="321" t="s">
        <v>1089</v>
      </c>
    </row>
    <row r="776" spans="1:3" x14ac:dyDescent="0.2">
      <c r="A776" s="317" t="s">
        <v>793</v>
      </c>
      <c r="B776" s="318">
        <v>3</v>
      </c>
      <c r="C776" s="317" t="s">
        <v>314</v>
      </c>
    </row>
    <row r="777" spans="1:3" x14ac:dyDescent="0.2">
      <c r="A777" s="317" t="s">
        <v>791</v>
      </c>
      <c r="B777" s="318">
        <v>5.6</v>
      </c>
      <c r="C777" s="317" t="s">
        <v>314</v>
      </c>
    </row>
    <row r="778" spans="1:3" x14ac:dyDescent="0.2">
      <c r="A778" s="317" t="s">
        <v>800</v>
      </c>
      <c r="B778" s="318">
        <v>5</v>
      </c>
      <c r="C778" s="317" t="s">
        <v>314</v>
      </c>
    </row>
    <row r="779" spans="1:3" x14ac:dyDescent="0.2">
      <c r="A779" s="317" t="s">
        <v>802</v>
      </c>
      <c r="B779" s="318">
        <v>7</v>
      </c>
      <c r="C779" s="317" t="s">
        <v>314</v>
      </c>
    </row>
    <row r="780" spans="1:3" x14ac:dyDescent="0.2">
      <c r="A780" s="317" t="s">
        <v>804</v>
      </c>
      <c r="B780" s="318">
        <v>7</v>
      </c>
      <c r="C780" s="317" t="s">
        <v>314</v>
      </c>
    </row>
    <row r="781" spans="1:3" x14ac:dyDescent="0.2">
      <c r="A781" s="317" t="s">
        <v>796</v>
      </c>
      <c r="B781" s="318">
        <v>7</v>
      </c>
      <c r="C781" s="317" t="s">
        <v>314</v>
      </c>
    </row>
    <row r="782" spans="1:3" x14ac:dyDescent="0.2">
      <c r="A782" s="317" t="s">
        <v>798</v>
      </c>
      <c r="B782" s="318">
        <v>8</v>
      </c>
      <c r="C782" s="317" t="s">
        <v>314</v>
      </c>
    </row>
    <row r="783" spans="1:3" x14ac:dyDescent="0.2">
      <c r="A783" s="317" t="s">
        <v>566</v>
      </c>
      <c r="B783" s="321">
        <v>7</v>
      </c>
      <c r="C783" s="317"/>
    </row>
    <row r="784" spans="1:3" x14ac:dyDescent="0.2">
      <c r="A784" s="321" t="s">
        <v>4659</v>
      </c>
      <c r="B784" s="323">
        <f>IF(Tm&gt;298,EXP(-6.79*(1-Tm/298))*Pvap25*EXP((H0vap/8.314)*(1/298-1/TEMP.A)),Pvap25*EXP((H0vap/8.314)*(1/298-1/TEMP.A)))</f>
        <v>5.8022068233431984E-45</v>
      </c>
      <c r="C784" s="321" t="s">
        <v>596</v>
      </c>
    </row>
    <row r="785" spans="1:3" x14ac:dyDescent="0.2">
      <c r="A785" s="317" t="s">
        <v>4660</v>
      </c>
      <c r="B785" s="323">
        <f>IF(Tm&gt;298,EXP(-6.79*(1-Tm/298))*Pvap25*EXP((H0vap/8.314)*(1/298-1/TEMP.C)),Pvap25*EXP((H0vap/8.314)*(1/298-1/TEMP.C)))</f>
        <v>4.0184331729414909E-39</v>
      </c>
      <c r="C785" s="317" t="s">
        <v>596</v>
      </c>
    </row>
    <row r="786" spans="1:3" x14ac:dyDescent="0.2">
      <c r="A786" s="317" t="s">
        <v>4661</v>
      </c>
      <c r="B786" s="318">
        <f>IF(Tm&gt;298,EXP(-6.79*(1-Tm/298))*Pvap25*EXP((H0vap/8.314)*(1/298-1/TEMP.M)),Pvap25*EXP((H0vap/8.314)*(1/298-1/TEMP.M)))</f>
        <v>4.0184331729414909E-39</v>
      </c>
      <c r="C786" s="317" t="s">
        <v>596</v>
      </c>
    </row>
    <row r="787" spans="1:3" x14ac:dyDescent="0.2">
      <c r="A787" s="321" t="s">
        <v>4662</v>
      </c>
      <c r="B787" s="323">
        <f>IF(Tm&gt;298,EXP(-6.79*(1-Tm/298))*Pvap25*EXP((H0vap/8.314)*(1/298-1/TEMP.R)),Pvap25*EXP((H0vap/8.314)*(1/298-1/TEMP.R)))</f>
        <v>4.0184331729414909E-39</v>
      </c>
      <c r="C787" s="321" t="s">
        <v>596</v>
      </c>
    </row>
    <row r="788" spans="1:3" x14ac:dyDescent="0.2">
      <c r="A788" s="317" t="s">
        <v>4663</v>
      </c>
      <c r="B788" s="323">
        <f>IF(Tm&gt;298,EXP(-6.79*(1-Tm/298))*Pvap25*EXP((H0vap/8.314)*(1/298-1/TEMP.T)),Pvap25*EXP((H0vap/8.314)*(1/298-1/TEMP.T)))</f>
        <v>4.4658020473390378E-36</v>
      </c>
      <c r="C788" s="317" t="s">
        <v>596</v>
      </c>
    </row>
    <row r="789" spans="1:3" ht="15" x14ac:dyDescent="0.2">
      <c r="A789" s="319" t="s">
        <v>2191</v>
      </c>
      <c r="B789" s="318">
        <v>10</v>
      </c>
      <c r="C789" s="317" t="s">
        <v>1308</v>
      </c>
    </row>
    <row r="790" spans="1:3" ht="15" x14ac:dyDescent="0.2">
      <c r="A790" s="319" t="s">
        <v>1307</v>
      </c>
      <c r="B790" s="318">
        <v>10</v>
      </c>
      <c r="C790" s="317" t="s">
        <v>1308</v>
      </c>
    </row>
    <row r="791" spans="1:3" ht="15" x14ac:dyDescent="0.2">
      <c r="A791" s="319" t="s">
        <v>2192</v>
      </c>
      <c r="B791" s="318">
        <v>5</v>
      </c>
      <c r="C791" s="317" t="s">
        <v>1308</v>
      </c>
    </row>
    <row r="792" spans="1:3" ht="15" x14ac:dyDescent="0.2">
      <c r="A792" s="319" t="s">
        <v>1311</v>
      </c>
      <c r="B792" s="318">
        <v>10</v>
      </c>
      <c r="C792" s="317" t="s">
        <v>1308</v>
      </c>
    </row>
    <row r="793" spans="1:3" ht="15" x14ac:dyDescent="0.2">
      <c r="A793" s="319" t="s">
        <v>3116</v>
      </c>
      <c r="B793" s="318">
        <v>1</v>
      </c>
      <c r="C793" s="317" t="s">
        <v>1308</v>
      </c>
    </row>
    <row r="794" spans="1:3" ht="15" x14ac:dyDescent="0.2">
      <c r="A794" s="319" t="s">
        <v>2750</v>
      </c>
      <c r="B794" s="318">
        <v>1</v>
      </c>
      <c r="C794" s="317" t="s">
        <v>1308</v>
      </c>
    </row>
    <row r="795" spans="1:3" ht="15" x14ac:dyDescent="0.2">
      <c r="A795" s="319" t="s">
        <v>3428</v>
      </c>
      <c r="B795" s="321">
        <v>1</v>
      </c>
      <c r="C795" s="317" t="s">
        <v>1308</v>
      </c>
    </row>
    <row r="796" spans="1:3" ht="38.25" x14ac:dyDescent="0.2">
      <c r="A796" s="321" t="s">
        <v>595</v>
      </c>
      <c r="B796" s="324" t="s">
        <v>4664</v>
      </c>
      <c r="C796" s="321" t="s">
        <v>596</v>
      </c>
    </row>
    <row r="797" spans="1:3" x14ac:dyDescent="0.2">
      <c r="A797" s="317" t="s">
        <v>665</v>
      </c>
      <c r="B797" s="321">
        <v>2</v>
      </c>
      <c r="C797" s="317" t="s">
        <v>314</v>
      </c>
    </row>
    <row r="798" spans="1:3" ht="15" x14ac:dyDescent="0.2">
      <c r="A798" s="319" t="s">
        <v>3097</v>
      </c>
      <c r="B798" s="318">
        <v>250</v>
      </c>
      <c r="C798" s="319" t="s">
        <v>2722</v>
      </c>
    </row>
    <row r="799" spans="1:3" ht="15" x14ac:dyDescent="0.2">
      <c r="A799" s="321" t="s">
        <v>771</v>
      </c>
      <c r="B799" s="321">
        <v>700</v>
      </c>
      <c r="C799" s="321" t="s">
        <v>718</v>
      </c>
    </row>
    <row r="800" spans="1:3" ht="15" x14ac:dyDescent="0.2">
      <c r="A800" s="319" t="s">
        <v>2721</v>
      </c>
      <c r="B800" s="318">
        <v>700</v>
      </c>
      <c r="C800" s="319" t="s">
        <v>2722</v>
      </c>
    </row>
    <row r="801" spans="1:3" ht="15" x14ac:dyDescent="0.2">
      <c r="A801" s="321" t="s">
        <v>717</v>
      </c>
      <c r="B801" s="321">
        <v>700</v>
      </c>
      <c r="C801" s="321" t="s">
        <v>718</v>
      </c>
    </row>
    <row r="802" spans="1:3" ht="15" x14ac:dyDescent="0.2">
      <c r="A802" s="319" t="s">
        <v>3409</v>
      </c>
      <c r="B802" s="321">
        <v>1300</v>
      </c>
      <c r="C802" s="319" t="s">
        <v>2722</v>
      </c>
    </row>
    <row r="803" spans="1:3" ht="15" x14ac:dyDescent="0.2">
      <c r="A803" s="317" t="s">
        <v>4665</v>
      </c>
      <c r="B803" s="318" t="e">
        <f>RESUSPrate.sd1C*SYSTEMAREA.C*AREAFRAC.w1C</f>
        <v>#NAME?</v>
      </c>
      <c r="C803" s="317" t="s">
        <v>1089</v>
      </c>
    </row>
    <row r="804" spans="1:3" ht="15" x14ac:dyDescent="0.2">
      <c r="A804" s="317" t="s">
        <v>4666</v>
      </c>
      <c r="B804" s="318" t="e">
        <f>RESUSPrate.sd1R*SYSTEMAREA.R*AREAFRAC.w1R</f>
        <v>#NAME?</v>
      </c>
      <c r="C804" s="317" t="s">
        <v>1089</v>
      </c>
    </row>
    <row r="805" spans="1:3" ht="15" x14ac:dyDescent="0.2">
      <c r="A805" s="317" t="s">
        <v>4667</v>
      </c>
      <c r="B805" s="318" t="e">
        <f>RESUSPrate.sd2C*SYSTEMAREA.C*AREAFRAC.w2C</f>
        <v>#NAME?</v>
      </c>
      <c r="C805" s="317" t="s">
        <v>1089</v>
      </c>
    </row>
    <row r="806" spans="1:3" ht="15" x14ac:dyDescent="0.2">
      <c r="A806" s="317" t="s">
        <v>4668</v>
      </c>
      <c r="B806" s="318" t="e">
        <f>RESUSPrate.sd2R*SYSTEMAREA.R*AREAFRAC.w2R</f>
        <v>#NAME?</v>
      </c>
      <c r="C806" s="317" t="s">
        <v>1089</v>
      </c>
    </row>
    <row r="807" spans="1:3" ht="15" x14ac:dyDescent="0.2">
      <c r="A807" s="317" t="s">
        <v>4669</v>
      </c>
      <c r="B807" s="318" t="e">
        <f>RESUSPrate.sdA*SYSTEMAREA.A*AREAFRAC.wA</f>
        <v>#NAME?</v>
      </c>
      <c r="C807" s="321" t="s">
        <v>1089</v>
      </c>
    </row>
    <row r="808" spans="1:3" ht="15" x14ac:dyDescent="0.2">
      <c r="A808" s="317" t="s">
        <v>4670</v>
      </c>
      <c r="B808" s="318" t="e">
        <f>RESUSPrate.sdM*SYSTEMAREA.M*AREAFRAC.wM</f>
        <v>#NAME?</v>
      </c>
      <c r="C808" s="321" t="s">
        <v>1089</v>
      </c>
    </row>
    <row r="809" spans="1:3" ht="15" x14ac:dyDescent="0.2">
      <c r="A809" s="317" t="s">
        <v>4671</v>
      </c>
      <c r="B809" s="318" t="e">
        <f>RESUSPrate.sdT*SYSTEMAREA.T*AREAFRAC.wT</f>
        <v>#NAME?</v>
      </c>
      <c r="C809" s="321" t="s">
        <v>1089</v>
      </c>
    </row>
    <row r="810" spans="1:3" ht="15" x14ac:dyDescent="0.2">
      <c r="A810" s="319" t="s">
        <v>4672</v>
      </c>
      <c r="B810" s="318">
        <f>GROSSSEDrate.w1C-NETsedrate.w1C</f>
        <v>7.9608572299569295E-10</v>
      </c>
      <c r="C810" s="319" t="s">
        <v>1226</v>
      </c>
    </row>
    <row r="811" spans="1:3" ht="15" x14ac:dyDescent="0.2">
      <c r="A811" s="319" t="s">
        <v>4673</v>
      </c>
      <c r="B811" s="318">
        <f>GROSSSEDrate.w1R-NETsedrate.w1R</f>
        <v>7.954515271587726E-10</v>
      </c>
      <c r="C811" s="319" t="s">
        <v>1226</v>
      </c>
    </row>
    <row r="812" spans="1:3" ht="15" x14ac:dyDescent="0.2">
      <c r="A812" s="319" t="s">
        <v>4674</v>
      </c>
      <c r="B812" s="318">
        <f>GROSSSEDrate.w2C-NETsedrate.w2C</f>
        <v>2.6670419161676661E-10</v>
      </c>
      <c r="C812" s="319" t="s">
        <v>1226</v>
      </c>
    </row>
    <row r="813" spans="1:3" ht="15" x14ac:dyDescent="0.2">
      <c r="A813" s="319" t="s">
        <v>4675</v>
      </c>
      <c r="B813" s="318">
        <f>GROSSSEDrate.w2R-NETsedrate.w2R</f>
        <v>2.666753943691715E-10</v>
      </c>
      <c r="C813" s="319" t="s">
        <v>1226</v>
      </c>
    </row>
    <row r="814" spans="1:3" ht="15" x14ac:dyDescent="0.2">
      <c r="A814" s="319" t="s">
        <v>4676</v>
      </c>
      <c r="B814" s="318">
        <f>GROSSSEDrate.w3A-NETsedrate.wA</f>
        <v>2.9404077203279906E-10</v>
      </c>
      <c r="C814" s="320" t="s">
        <v>1226</v>
      </c>
    </row>
    <row r="815" spans="1:3" ht="15" x14ac:dyDescent="0.2">
      <c r="A815" s="319" t="s">
        <v>4677</v>
      </c>
      <c r="B815" s="318">
        <f>GROSSSEDrate.w3M-NETsedrate.wM</f>
        <v>2.9401467358732688E-10</v>
      </c>
      <c r="C815" s="320" t="s">
        <v>1226</v>
      </c>
    </row>
    <row r="816" spans="1:3" ht="15" x14ac:dyDescent="0.2">
      <c r="A816" s="319" t="s">
        <v>4678</v>
      </c>
      <c r="B816" s="318">
        <f>GROSSSEDrate.w3T-NETsedrate.wT</f>
        <v>2.9404077203279906E-10</v>
      </c>
      <c r="C816" s="320" t="s">
        <v>1226</v>
      </c>
    </row>
    <row r="817" spans="1:3" ht="15" x14ac:dyDescent="0.2">
      <c r="A817" s="321" t="s">
        <v>816</v>
      </c>
      <c r="B817" s="318">
        <v>2000</v>
      </c>
      <c r="C817" s="317" t="s">
        <v>817</v>
      </c>
    </row>
    <row r="818" spans="1:3" ht="15" x14ac:dyDescent="0.2">
      <c r="A818" s="319" t="s">
        <v>819</v>
      </c>
      <c r="B818" s="321">
        <v>2500</v>
      </c>
      <c r="C818" s="317" t="s">
        <v>817</v>
      </c>
    </row>
    <row r="819" spans="1:3" ht="15" x14ac:dyDescent="0.2">
      <c r="A819" s="317" t="s">
        <v>4679</v>
      </c>
      <c r="B819" s="318">
        <f>(RAINrate.C*FRACrun.s1C/Ks1w.C+EROSION.s1C)*SYSTEMAREA.C*AREAFRAC.s1C*CORRrunoff.s1C</f>
        <v>1.3706152524867785</v>
      </c>
      <c r="C819" s="317" t="s">
        <v>1089</v>
      </c>
    </row>
    <row r="820" spans="1:3" ht="15" x14ac:dyDescent="0.2">
      <c r="A820" s="317" t="s">
        <v>4680</v>
      </c>
      <c r="B820" s="318">
        <f>(RAINrate.R*FRACrun.s1R/Ks1w.R+EROSION.s1R)*SYSTEMAREA.R*AREAFRAC.s1R*CORRrunoff.s1R</f>
        <v>8.987260696443411E-2</v>
      </c>
      <c r="C820" s="317" t="s">
        <v>1089</v>
      </c>
    </row>
    <row r="821" spans="1:3" ht="15" x14ac:dyDescent="0.2">
      <c r="A821" s="317" t="s">
        <v>4681</v>
      </c>
      <c r="B821" s="318">
        <f>(RAINrate.C*FRACrun.s2C/Ks2w.C+EROSION.s2C)*SYSTEMAREA.C*AREAFRAC.s2C*CORRrunoff.s2C</f>
        <v>5.5440379886587898</v>
      </c>
      <c r="C821" s="317" t="s">
        <v>1089</v>
      </c>
    </row>
    <row r="822" spans="1:3" ht="15" x14ac:dyDescent="0.2">
      <c r="A822" s="317" t="s">
        <v>4682</v>
      </c>
      <c r="B822" s="318">
        <f>(RAINrate.R*FRACrun.s2R/Ks2w.R+EROSION.s2R)*SYSTEMAREA.R*AREAFRAC.s2R*CORRrunoff.s2R</f>
        <v>0.36352809167022559</v>
      </c>
      <c r="C822" s="317" t="s">
        <v>1089</v>
      </c>
    </row>
    <row r="823" spans="1:3" ht="15" x14ac:dyDescent="0.2">
      <c r="A823" s="317" t="s">
        <v>4683</v>
      </c>
      <c r="B823" s="318">
        <f>(RAINrate.C*FRACrun.s3C/Ks3w.C+EROSION.s3C)*SYSTEMAREA.C*AREAFRAC.s3C*CORRrunoff.s3C</f>
        <v>0.50763527869880676</v>
      </c>
      <c r="C823" s="317" t="s">
        <v>1089</v>
      </c>
    </row>
    <row r="824" spans="1:3" ht="15" x14ac:dyDescent="0.2">
      <c r="A824" s="317" t="s">
        <v>4684</v>
      </c>
      <c r="B824" s="318">
        <f>(RAINrate.R*FRACrun.s3R/Ks3w.R+EROSION.s3R)*SYSTEMAREA.R*AREAFRAC.s3R*CORRrunoff.s3R</f>
        <v>3.328615072756818E-2</v>
      </c>
      <c r="C824" s="317" t="s">
        <v>1089</v>
      </c>
    </row>
    <row r="825" spans="1:3" ht="15" x14ac:dyDescent="0.2">
      <c r="A825" s="317" t="s">
        <v>4685</v>
      </c>
      <c r="B825" s="318">
        <f>(RAINrate.A*FRACrun.sA/Kslw.A+EROSION.sA)*SYSTEMAREA.A*AREAFRAC.sA*CORRrunoff.sA</f>
        <v>22.052733385606707</v>
      </c>
      <c r="C825" s="321" t="s">
        <v>1089</v>
      </c>
    </row>
    <row r="826" spans="1:3" ht="15" x14ac:dyDescent="0.2">
      <c r="A826" s="317" t="s">
        <v>4686</v>
      </c>
      <c r="B826" s="318">
        <f>(RAINrate.M*FRACrun.sM/Kslw.M+EROSION.sM)*SYSTEMAREA.M*AREAFRAC.sM*CORRrunoff.sM</f>
        <v>56.482609038704169</v>
      </c>
      <c r="C826" s="321" t="s">
        <v>1089</v>
      </c>
    </row>
    <row r="827" spans="1:3" ht="15" x14ac:dyDescent="0.2">
      <c r="A827" s="317" t="s">
        <v>4687</v>
      </c>
      <c r="B827" s="318">
        <f>(RAINrate.T*FRACrun.sT/Kslw.T+EROSION.sT)*SYSTEMAREA.T*AREAFRAC.sT*CORRrunoff.sT</f>
        <v>63.814628842412503</v>
      </c>
      <c r="C827" s="321" t="s">
        <v>1089</v>
      </c>
    </row>
    <row r="828" spans="1:3" ht="15" x14ac:dyDescent="0.2">
      <c r="A828" s="317" t="s">
        <v>4688</v>
      </c>
      <c r="B828" s="318">
        <f>(GROSSSEDrate.w1C*FRACs.sdC*RHOsolid/SUSP.w1C)*((Kp.susp1C*SUSP.w1C/1000)*FRw.w1C)*(SYSTEMAREA.C*AREAFRAC.w1C)</f>
        <v>1656552.027693568</v>
      </c>
      <c r="C828" s="317" t="s">
        <v>1089</v>
      </c>
    </row>
    <row r="829" spans="1:3" ht="15" x14ac:dyDescent="0.2">
      <c r="A829" s="317" t="s">
        <v>4689</v>
      </c>
      <c r="B829" s="318" t="e">
        <f>(GROSSSEDrate.w1R*FRACs.sdR*RHOsolid/SUSP.w1R)*((Kp.susp1R*SUSP.w1R/1000)*FRw.w1R)*(SYSTEMAREA.R*AREAFRAC.w1R)</f>
        <v>#NAME?</v>
      </c>
      <c r="C829" s="317" t="s">
        <v>1089</v>
      </c>
    </row>
    <row r="830" spans="1:3" ht="15" x14ac:dyDescent="0.2">
      <c r="A830" s="317" t="s">
        <v>4690</v>
      </c>
      <c r="B830" s="318">
        <f>(GROSSSEDrate.w2C*FRACs.sdC*RHOsolid/SUSP.w2C)*((Kp.susp2C*SUSP.w2C/1000)*FRw.w2C)*(SYSTEMAREA.C*AREAFRAC.w2C)</f>
        <v>35165025.348152682</v>
      </c>
      <c r="C830" s="317" t="s">
        <v>1089</v>
      </c>
    </row>
    <row r="831" spans="1:3" ht="15" x14ac:dyDescent="0.2">
      <c r="A831" s="317" t="s">
        <v>4691</v>
      </c>
      <c r="B831" s="318" t="e">
        <f>(GROSSSEDrate.w2R*FRACs.sdR*RHOsolid/SUSP.w2R)*((Kp.susp2R*SUSP.w2R/1000)*FRw.w2R)*(SYSTEMAREA.R*AREAFRAC.w2R)</f>
        <v>#NAME?</v>
      </c>
      <c r="C831" s="317" t="s">
        <v>1089</v>
      </c>
    </row>
    <row r="832" spans="1:3" ht="15" x14ac:dyDescent="0.2">
      <c r="A832" s="317" t="s">
        <v>4692</v>
      </c>
      <c r="B832" s="318">
        <f>(GROSSSEDrate.w3A*FRACs.sdA*RHOsolid/SUSP.w3A)*((Kp.susp3A*SUSP.w3A/1000)*FRw.w3A)*(SYSTEMAREA.A*AREAFRAC.wA)</f>
        <v>241478357.19133985</v>
      </c>
      <c r="C832" s="321" t="s">
        <v>1089</v>
      </c>
    </row>
    <row r="833" spans="1:3" ht="15" x14ac:dyDescent="0.2">
      <c r="A833" s="317" t="s">
        <v>4693</v>
      </c>
      <c r="B833" s="318">
        <f>(GROSSSEDrate.w3M*FRACs.sdM*RHOsolid/SUSP.w3M)*((Kp.susp3M*SUSP.w3M/1000)*FRw.w3M)*(SYSTEMAREA.M*AREAFRAC.wM)</f>
        <v>367289433.56458271</v>
      </c>
      <c r="C833" s="321" t="s">
        <v>1089</v>
      </c>
    </row>
    <row r="834" spans="1:3" ht="15" x14ac:dyDescent="0.2">
      <c r="A834" s="317" t="s">
        <v>4694</v>
      </c>
      <c r="B834" s="318">
        <f>(GROSSSEDrate.w3T*FRACs.sdT*RHOsolid/SUSP.w3T)*((Kp.susp3T*SUSP.w3T/1000)*FRw.w3T)*(SYSTEMAREA.T*AREAFRAC.wT)</f>
        <v>845174250.16968954</v>
      </c>
      <c r="C834" s="321" t="s">
        <v>1089</v>
      </c>
    </row>
    <row r="835" spans="1:3" ht="15" x14ac:dyDescent="0.2">
      <c r="A835" s="319" t="s">
        <v>3114</v>
      </c>
      <c r="B835" s="318">
        <f>2.5/(24*3600)</f>
        <v>2.8935185185185186E-5</v>
      </c>
      <c r="C835" s="320" t="s">
        <v>1226</v>
      </c>
    </row>
    <row r="836" spans="1:3" ht="15" x14ac:dyDescent="0.2">
      <c r="A836" s="319" t="s">
        <v>2187</v>
      </c>
      <c r="B836" s="318">
        <f>2.5/(24*3600)</f>
        <v>2.8935185185185186E-5</v>
      </c>
      <c r="C836" s="319" t="s">
        <v>1226</v>
      </c>
    </row>
    <row r="837" spans="1:3" ht="15" x14ac:dyDescent="0.2">
      <c r="A837" s="319" t="s">
        <v>2746</v>
      </c>
      <c r="B837" s="318">
        <f>2.5/(24*3600)</f>
        <v>2.8935185185185186E-5</v>
      </c>
      <c r="C837" s="320" t="s">
        <v>1226</v>
      </c>
    </row>
    <row r="838" spans="1:3" ht="15" x14ac:dyDescent="0.2">
      <c r="A838" s="319" t="s">
        <v>1297</v>
      </c>
      <c r="B838" s="318">
        <f>2.5/(24*3600)</f>
        <v>2.8935185185185186E-5</v>
      </c>
      <c r="C838" s="319" t="s">
        <v>1226</v>
      </c>
    </row>
    <row r="839" spans="1:3" ht="15" x14ac:dyDescent="0.2">
      <c r="A839" s="319" t="s">
        <v>3426</v>
      </c>
      <c r="B839" s="321">
        <f>2.5/(24*3600)</f>
        <v>2.8935185185185186E-5</v>
      </c>
      <c r="C839" s="320" t="s">
        <v>1226</v>
      </c>
    </row>
    <row r="840" spans="1:3" ht="15" x14ac:dyDescent="0.2">
      <c r="A840" s="317" t="s">
        <v>603</v>
      </c>
      <c r="B840" s="321">
        <f>10^(LOG(Kow)*-1.214+0.85)*(Molweight*1000000)</f>
        <v>50.997723320450852</v>
      </c>
      <c r="C840" s="317" t="s">
        <v>604</v>
      </c>
    </row>
    <row r="841" spans="1:3" x14ac:dyDescent="0.2">
      <c r="A841" s="317" t="s">
        <v>4695</v>
      </c>
      <c r="B841" s="318" t="e">
        <f>1-SURFfrac.s1C-DRAINfrac.s1C</f>
        <v>#NAME?</v>
      </c>
      <c r="C841" s="317" t="s">
        <v>314</v>
      </c>
    </row>
    <row r="842" spans="1:3" x14ac:dyDescent="0.2">
      <c r="A842" s="317" t="s">
        <v>4696</v>
      </c>
      <c r="B842" s="318" t="e">
        <f>1-SURFfrac.s1R-DRAINfrac.s1R</f>
        <v>#NAME?</v>
      </c>
      <c r="C842" s="317" t="s">
        <v>314</v>
      </c>
    </row>
    <row r="843" spans="1:3" x14ac:dyDescent="0.2">
      <c r="A843" s="317" t="s">
        <v>4697</v>
      </c>
      <c r="B843" s="318" t="e">
        <f>1-SURFfrac.s2C-DRAINfrac.s2C</f>
        <v>#NAME?</v>
      </c>
      <c r="C843" s="317" t="s">
        <v>314</v>
      </c>
    </row>
    <row r="844" spans="1:3" x14ac:dyDescent="0.2">
      <c r="A844" s="317" t="s">
        <v>4698</v>
      </c>
      <c r="B844" s="318" t="e">
        <f>1-SURFfrac.s2R-DRAINfrac.s2R</f>
        <v>#NAME?</v>
      </c>
      <c r="C844" s="317" t="s">
        <v>314</v>
      </c>
    </row>
    <row r="845" spans="1:3" x14ac:dyDescent="0.2">
      <c r="A845" s="317" t="s">
        <v>4699</v>
      </c>
      <c r="B845" s="318" t="e">
        <f>1-SURFfrac.s3C-DRAINfrac.s3C</f>
        <v>#NAME?</v>
      </c>
      <c r="C845" s="317" t="s">
        <v>314</v>
      </c>
    </row>
    <row r="846" spans="1:3" x14ac:dyDescent="0.2">
      <c r="A846" s="317" t="s">
        <v>4700</v>
      </c>
      <c r="B846" s="318" t="e">
        <f>1-SURFfrac.s3R-DRAINfrac.s3R</f>
        <v>#NAME?</v>
      </c>
      <c r="C846" s="317" t="s">
        <v>314</v>
      </c>
    </row>
    <row r="847" spans="1:3" x14ac:dyDescent="0.2">
      <c r="A847" s="317" t="s">
        <v>4701</v>
      </c>
      <c r="B847" s="318" t="e">
        <f>1-SURFfrac.sA</f>
        <v>#NAME?</v>
      </c>
      <c r="C847" s="317" t="s">
        <v>314</v>
      </c>
    </row>
    <row r="848" spans="1:3" x14ac:dyDescent="0.2">
      <c r="A848" s="317" t="s">
        <v>4702</v>
      </c>
      <c r="B848" s="318" t="e">
        <f>1-SURFfrac.sM</f>
        <v>#NAME?</v>
      </c>
      <c r="C848" s="317" t="s">
        <v>314</v>
      </c>
    </row>
    <row r="849" spans="1:3" x14ac:dyDescent="0.2">
      <c r="A849" s="317" t="s">
        <v>4703</v>
      </c>
      <c r="B849" s="318" t="e">
        <f>1-SURFfrac.sT</f>
        <v>#NAME?</v>
      </c>
      <c r="C849" s="317" t="s">
        <v>314</v>
      </c>
    </row>
    <row r="850" spans="1:3" ht="15" x14ac:dyDescent="0.2">
      <c r="A850" s="321" t="s">
        <v>4704</v>
      </c>
      <c r="B850" s="318">
        <v>1.4999999999999999E-4</v>
      </c>
      <c r="C850" s="317" t="s">
        <v>4705</v>
      </c>
    </row>
    <row r="851" spans="1:3" x14ac:dyDescent="0.2">
      <c r="A851" s="321" t="s">
        <v>4706</v>
      </c>
      <c r="B851" s="318">
        <v>1.4999999999999999E-4</v>
      </c>
      <c r="C851" s="317" t="s">
        <v>4707</v>
      </c>
    </row>
    <row r="852" spans="1:3" ht="15" x14ac:dyDescent="0.2">
      <c r="A852" s="321" t="s">
        <v>4708</v>
      </c>
      <c r="B852" s="318">
        <v>1.4999999999999999E-4</v>
      </c>
      <c r="C852" s="317" t="s">
        <v>4705</v>
      </c>
    </row>
    <row r="853" spans="1:3" ht="15" x14ac:dyDescent="0.2">
      <c r="A853" s="321" t="s">
        <v>4709</v>
      </c>
      <c r="B853" s="318">
        <v>1.4999999999999999E-4</v>
      </c>
      <c r="C853" s="317" t="s">
        <v>4705</v>
      </c>
    </row>
    <row r="854" spans="1:3" ht="15" x14ac:dyDescent="0.2">
      <c r="A854" s="317" t="s">
        <v>4710</v>
      </c>
      <c r="B854" s="323">
        <v>1.4999999999999999E-4</v>
      </c>
      <c r="C854" s="317" t="s">
        <v>4705</v>
      </c>
    </row>
    <row r="855" spans="1:3" x14ac:dyDescent="0.2">
      <c r="A855" s="317" t="s">
        <v>4711</v>
      </c>
      <c r="B855" s="318">
        <v>0.25</v>
      </c>
      <c r="C855" s="317" t="s">
        <v>314</v>
      </c>
    </row>
    <row r="856" spans="1:3" x14ac:dyDescent="0.2">
      <c r="A856" s="317" t="s">
        <v>4712</v>
      </c>
      <c r="B856" s="318">
        <v>0.25</v>
      </c>
      <c r="C856" s="317" t="s">
        <v>314</v>
      </c>
    </row>
    <row r="857" spans="1:3" x14ac:dyDescent="0.2">
      <c r="A857" s="317" t="s">
        <v>4713</v>
      </c>
      <c r="B857" s="318">
        <v>0.25</v>
      </c>
      <c r="C857" s="317" t="s">
        <v>314</v>
      </c>
    </row>
    <row r="858" spans="1:3" x14ac:dyDescent="0.2">
      <c r="A858" s="317" t="s">
        <v>4714</v>
      </c>
      <c r="B858" s="318">
        <v>0.25</v>
      </c>
      <c r="C858" s="317" t="s">
        <v>314</v>
      </c>
    </row>
    <row r="859" spans="1:3" x14ac:dyDescent="0.2">
      <c r="A859" s="317" t="s">
        <v>4715</v>
      </c>
      <c r="B859" s="318">
        <v>0.25</v>
      </c>
      <c r="C859" s="317" t="s">
        <v>314</v>
      </c>
    </row>
    <row r="860" spans="1:3" x14ac:dyDescent="0.2">
      <c r="A860" s="317" t="s">
        <v>4716</v>
      </c>
      <c r="B860" s="318">
        <v>0.25</v>
      </c>
      <c r="C860" s="317" t="s">
        <v>314</v>
      </c>
    </row>
    <row r="861" spans="1:3" x14ac:dyDescent="0.2">
      <c r="A861" s="317" t="s">
        <v>4717</v>
      </c>
      <c r="B861" s="318">
        <v>0.5</v>
      </c>
      <c r="C861" s="317" t="s">
        <v>314</v>
      </c>
    </row>
    <row r="862" spans="1:3" x14ac:dyDescent="0.2">
      <c r="A862" s="317" t="s">
        <v>4718</v>
      </c>
      <c r="B862" s="318">
        <v>0.5</v>
      </c>
      <c r="C862" s="317" t="s">
        <v>314</v>
      </c>
    </row>
    <row r="863" spans="1:3" x14ac:dyDescent="0.2">
      <c r="A863" s="317" t="s">
        <v>4719</v>
      </c>
      <c r="B863" s="318">
        <v>0.5</v>
      </c>
      <c r="C863" s="317" t="s">
        <v>314</v>
      </c>
    </row>
    <row r="864" spans="1:3" ht="15" x14ac:dyDescent="0.2">
      <c r="A864" s="319" t="s">
        <v>785</v>
      </c>
      <c r="B864" s="318">
        <v>0.5</v>
      </c>
      <c r="C864" s="317" t="s">
        <v>604</v>
      </c>
    </row>
    <row r="865" spans="1:3" ht="15" x14ac:dyDescent="0.2">
      <c r="A865" s="319" t="s">
        <v>746</v>
      </c>
      <c r="B865" s="318">
        <v>0.5</v>
      </c>
      <c r="C865" s="317" t="s">
        <v>604</v>
      </c>
    </row>
    <row r="866" spans="1:3" x14ac:dyDescent="0.2">
      <c r="A866" s="319" t="s">
        <v>786</v>
      </c>
      <c r="B866" s="318">
        <v>15</v>
      </c>
      <c r="C866" s="317" t="s">
        <v>741</v>
      </c>
    </row>
    <row r="867" spans="1:3" ht="15" x14ac:dyDescent="0.2">
      <c r="A867" s="319" t="s">
        <v>749</v>
      </c>
      <c r="B867" s="318">
        <v>15</v>
      </c>
      <c r="C867" s="317" t="s">
        <v>604</v>
      </c>
    </row>
    <row r="868" spans="1:3" ht="15" x14ac:dyDescent="0.2">
      <c r="A868" s="319" t="s">
        <v>3066</v>
      </c>
      <c r="B868" s="318">
        <v>5</v>
      </c>
      <c r="C868" s="317" t="s">
        <v>604</v>
      </c>
    </row>
    <row r="869" spans="1:3" x14ac:dyDescent="0.2">
      <c r="A869" s="319" t="s">
        <v>787</v>
      </c>
      <c r="B869" s="318">
        <v>5</v>
      </c>
      <c r="C869" s="317" t="s">
        <v>741</v>
      </c>
    </row>
    <row r="870" spans="1:3" ht="15" x14ac:dyDescent="0.2">
      <c r="A870" s="319" t="s">
        <v>2671</v>
      </c>
      <c r="B870" s="318">
        <v>5</v>
      </c>
      <c r="C870" s="317" t="s">
        <v>604</v>
      </c>
    </row>
    <row r="871" spans="1:3" ht="15" x14ac:dyDescent="0.2">
      <c r="A871" s="319" t="s">
        <v>751</v>
      </c>
      <c r="B871" s="318">
        <v>5</v>
      </c>
      <c r="C871" s="317" t="s">
        <v>604</v>
      </c>
    </row>
    <row r="872" spans="1:3" ht="15" x14ac:dyDescent="0.2">
      <c r="A872" s="319" t="s">
        <v>3381</v>
      </c>
      <c r="B872" s="323">
        <v>5</v>
      </c>
      <c r="C872" s="317" t="s">
        <v>604</v>
      </c>
    </row>
    <row r="873" spans="1:3" ht="15" x14ac:dyDescent="0.2">
      <c r="A873" s="319" t="s">
        <v>3067</v>
      </c>
      <c r="B873" s="318">
        <v>5</v>
      </c>
      <c r="C873" s="317" t="s">
        <v>604</v>
      </c>
    </row>
    <row r="874" spans="1:3" ht="15" x14ac:dyDescent="0.2">
      <c r="A874" s="319" t="s">
        <v>2673</v>
      </c>
      <c r="B874" s="318">
        <v>5</v>
      </c>
      <c r="C874" s="317" t="s">
        <v>604</v>
      </c>
    </row>
    <row r="875" spans="1:3" ht="15" x14ac:dyDescent="0.2">
      <c r="A875" s="319" t="s">
        <v>3382</v>
      </c>
      <c r="B875" s="323">
        <v>5</v>
      </c>
      <c r="C875" s="317" t="s">
        <v>604</v>
      </c>
    </row>
    <row r="876" spans="1:3" ht="15" x14ac:dyDescent="0.2">
      <c r="A876" s="317" t="s">
        <v>3017</v>
      </c>
      <c r="B876" s="318">
        <v>42500000</v>
      </c>
      <c r="C876" s="321" t="s">
        <v>697</v>
      </c>
    </row>
    <row r="877" spans="1:3" ht="15" x14ac:dyDescent="0.2">
      <c r="A877" s="317" t="s">
        <v>1986</v>
      </c>
      <c r="B877" s="318">
        <f>(AREAland.C+AREAsea.C-SYSTEMAREA.R)/1000000</f>
        <v>6969680</v>
      </c>
      <c r="C877" s="321" t="s">
        <v>697</v>
      </c>
    </row>
    <row r="878" spans="1:3" ht="15" x14ac:dyDescent="0.2">
      <c r="A878" s="317" t="s">
        <v>2590</v>
      </c>
      <c r="B878" s="318">
        <f>85000000-((SYSTEMAREA.C+SYSTEMAREA.R)/1000000)</f>
        <v>77571180</v>
      </c>
      <c r="C878" s="321" t="s">
        <v>697</v>
      </c>
    </row>
    <row r="879" spans="1:3" ht="15" x14ac:dyDescent="0.2">
      <c r="A879" s="317" t="s">
        <v>1005</v>
      </c>
      <c r="B879" s="318">
        <f>(AREAland.R+AREAsea.R)/1000000</f>
        <v>229570</v>
      </c>
      <c r="C879" s="317" t="s">
        <v>697</v>
      </c>
    </row>
    <row r="880" spans="1:3" ht="15" x14ac:dyDescent="0.2">
      <c r="A880" s="317" t="s">
        <v>3337</v>
      </c>
      <c r="B880" s="321">
        <v>127500000</v>
      </c>
      <c r="C880" s="317" t="s">
        <v>697</v>
      </c>
    </row>
    <row r="881" spans="1:3" x14ac:dyDescent="0.2">
      <c r="A881" s="317" t="s">
        <v>3039</v>
      </c>
      <c r="B881" s="318">
        <f>(SQRT(SYSTEMAREA.A*PI()/4)/WINDspeed.A)/(3600*24)</f>
        <v>22.289709506045405</v>
      </c>
      <c r="C881" s="321" t="s">
        <v>1075</v>
      </c>
    </row>
    <row r="882" spans="1:3" x14ac:dyDescent="0.2">
      <c r="A882" s="317" t="s">
        <v>2024</v>
      </c>
      <c r="B882" s="318">
        <f>(SQRT(SYSTEMAREA.C*PI()/4)/WINDspeed.C)/(3600*24)</f>
        <v>9.1738909003087361</v>
      </c>
      <c r="C882" s="321" t="s">
        <v>1075</v>
      </c>
    </row>
    <row r="883" spans="1:3" x14ac:dyDescent="0.2">
      <c r="A883" s="317" t="s">
        <v>1074</v>
      </c>
      <c r="B883" s="318">
        <f>(SQRT(SYSTEMAREA.R*PI()/4)/WINDspeed.R)/(3600*24)</f>
        <v>1.6382022217645165</v>
      </c>
      <c r="C883" s="317" t="s">
        <v>1075</v>
      </c>
    </row>
    <row r="884" spans="1:3" x14ac:dyDescent="0.2">
      <c r="A884" s="317" t="s">
        <v>3356</v>
      </c>
      <c r="B884" s="318">
        <f>(SQRT(SYSTEMAREA.T*PI()/4)/WINDspeed.T)/(3600*24)</f>
        <v>38.606909350421624</v>
      </c>
      <c r="C884" s="321" t="s">
        <v>1075</v>
      </c>
    </row>
    <row r="885" spans="1:3" x14ac:dyDescent="0.2">
      <c r="A885" s="317" t="s">
        <v>3051</v>
      </c>
      <c r="B885" s="318">
        <v>55</v>
      </c>
      <c r="C885" s="321" t="s">
        <v>1075</v>
      </c>
    </row>
    <row r="886" spans="1:3" x14ac:dyDescent="0.2">
      <c r="A886" s="317" t="s">
        <v>2646</v>
      </c>
      <c r="B886" s="318">
        <v>55</v>
      </c>
      <c r="C886" s="321" t="s">
        <v>1075</v>
      </c>
    </row>
    <row r="887" spans="1:3" x14ac:dyDescent="0.2">
      <c r="A887" s="317" t="s">
        <v>3366</v>
      </c>
      <c r="B887" s="318">
        <v>55</v>
      </c>
      <c r="C887" s="321" t="s">
        <v>1075</v>
      </c>
    </row>
    <row r="888" spans="1:3" x14ac:dyDescent="0.2">
      <c r="A888" s="317" t="s">
        <v>2054</v>
      </c>
      <c r="B888" s="318">
        <v>365</v>
      </c>
      <c r="C888" s="317" t="s">
        <v>1075</v>
      </c>
    </row>
    <row r="889" spans="1:3" x14ac:dyDescent="0.2">
      <c r="A889" s="321" t="s">
        <v>3090</v>
      </c>
      <c r="B889" s="318">
        <f>(80/24)*(1-RAINrate.A/(0.0013/3600))*(3600*24)</f>
        <v>281677.55532139097</v>
      </c>
      <c r="C889" s="321" t="s">
        <v>1669</v>
      </c>
    </row>
    <row r="890" spans="1:3" x14ac:dyDescent="0.2">
      <c r="A890" s="321" t="s">
        <v>2144</v>
      </c>
      <c r="B890" s="318">
        <f>(80/24)*(1-RAINrate.C/(0.0013/3600))*(3600*24)</f>
        <v>270297.15489989461</v>
      </c>
      <c r="C890" s="321" t="s">
        <v>1669</v>
      </c>
    </row>
    <row r="891" spans="1:3" x14ac:dyDescent="0.2">
      <c r="A891" s="321" t="s">
        <v>2714</v>
      </c>
      <c r="B891" s="318">
        <f>(80/24)*(1-RAINrate.M/(0.0013/3600))*(3600*24)</f>
        <v>270297.15489989461</v>
      </c>
      <c r="C891" s="321" t="s">
        <v>1669</v>
      </c>
    </row>
    <row r="892" spans="1:3" x14ac:dyDescent="0.2">
      <c r="A892" s="321" t="s">
        <v>1220</v>
      </c>
      <c r="B892" s="318">
        <f>(80/24)*(1-RAINrate.R/(0.0013/3600))*(3600*24)</f>
        <v>270297.15489989461</v>
      </c>
      <c r="C892" s="321" t="s">
        <v>1669</v>
      </c>
    </row>
    <row r="893" spans="1:3" x14ac:dyDescent="0.2">
      <c r="A893" s="321" t="s">
        <v>3403</v>
      </c>
      <c r="B893" s="318">
        <f>(80/24)*(1-RAINrate.T/(0.0013/3600))*(3600*24)</f>
        <v>255123.28767123289</v>
      </c>
      <c r="C893" s="321" t="s">
        <v>1669</v>
      </c>
    </row>
    <row r="894" spans="1:3" ht="15" x14ac:dyDescent="0.2">
      <c r="A894" s="321" t="s">
        <v>3057</v>
      </c>
      <c r="B894" s="318">
        <v>-10</v>
      </c>
      <c r="C894" s="321" t="s">
        <v>610</v>
      </c>
    </row>
    <row r="895" spans="1:3" ht="15" x14ac:dyDescent="0.2">
      <c r="A895" s="321" t="s">
        <v>769</v>
      </c>
      <c r="B895" s="321">
        <v>12</v>
      </c>
      <c r="C895" s="321" t="s">
        <v>610</v>
      </c>
    </row>
    <row r="896" spans="1:3" ht="15" x14ac:dyDescent="0.2">
      <c r="A896" s="317" t="s">
        <v>2653</v>
      </c>
      <c r="B896" s="318">
        <v>12</v>
      </c>
      <c r="C896" s="317" t="s">
        <v>610</v>
      </c>
    </row>
    <row r="897" spans="1:3" ht="15" x14ac:dyDescent="0.2">
      <c r="A897" s="321" t="s">
        <v>712</v>
      </c>
      <c r="B897" s="321">
        <v>12</v>
      </c>
      <c r="C897" s="321" t="s">
        <v>610</v>
      </c>
    </row>
    <row r="898" spans="1:3" ht="15" x14ac:dyDescent="0.2">
      <c r="A898" s="317" t="s">
        <v>3372</v>
      </c>
      <c r="B898" s="323">
        <v>25</v>
      </c>
      <c r="C898" s="317" t="s">
        <v>610</v>
      </c>
    </row>
    <row r="899" spans="1:3" x14ac:dyDescent="0.2">
      <c r="A899" s="317" t="s">
        <v>3136</v>
      </c>
      <c r="B899" s="318">
        <f>EXP((Ea.OHrad/8.314)*(TEMP.A-298)/298^2)</f>
        <v>0.75244236176784551</v>
      </c>
      <c r="C899" s="317" t="s">
        <v>314</v>
      </c>
    </row>
    <row r="900" spans="1:3" x14ac:dyDescent="0.2">
      <c r="A900" s="317" t="s">
        <v>2229</v>
      </c>
      <c r="B900" s="318">
        <f>EXP((Ea.OHrad/8.314)*(TEMP.C-298)/298^2)</f>
        <v>0.89974332049812744</v>
      </c>
      <c r="C900" s="317" t="s">
        <v>314</v>
      </c>
    </row>
    <row r="901" spans="1:3" x14ac:dyDescent="0.2">
      <c r="A901" s="317" t="s">
        <v>2778</v>
      </c>
      <c r="B901" s="318">
        <f>EXP((Ea.OHrad/8.314)*(TEMP.M-298)/298^2)</f>
        <v>0.89974332049812744</v>
      </c>
      <c r="C901" s="317" t="s">
        <v>314</v>
      </c>
    </row>
    <row r="902" spans="1:3" x14ac:dyDescent="0.2">
      <c r="A902" s="317" t="s">
        <v>1380</v>
      </c>
      <c r="B902" s="318">
        <f>EXP((Ea.OHrad/8.314)*(TEMP.R-298)/298^2)</f>
        <v>0.89974332049812744</v>
      </c>
      <c r="C902" s="317" t="s">
        <v>314</v>
      </c>
    </row>
    <row r="903" spans="1:3" x14ac:dyDescent="0.2">
      <c r="A903" s="317" t="s">
        <v>3446</v>
      </c>
      <c r="B903" s="318">
        <f>EXP((Ea.OHrad/8.314)*(TEMP.T-298)/298^2)</f>
        <v>1</v>
      </c>
      <c r="C903" s="317" t="s">
        <v>314</v>
      </c>
    </row>
    <row r="904" spans="1:3" x14ac:dyDescent="0.2">
      <c r="A904" s="317" t="s">
        <v>3142</v>
      </c>
      <c r="B904" s="323">
        <f>Q.10^((TEMP.A-298)/10)</f>
        <v>8.8388347648318447E-2</v>
      </c>
      <c r="C904" s="317" t="s">
        <v>314</v>
      </c>
    </row>
    <row r="905" spans="1:3" x14ac:dyDescent="0.2">
      <c r="A905" s="317" t="s">
        <v>2236</v>
      </c>
      <c r="B905" s="318">
        <f>Q.10^((TEMP.C-298)/10)</f>
        <v>0.40612619817811774</v>
      </c>
      <c r="C905" s="317" t="s">
        <v>314</v>
      </c>
    </row>
    <row r="906" spans="1:3" x14ac:dyDescent="0.2">
      <c r="A906" s="317" t="s">
        <v>2787</v>
      </c>
      <c r="B906" s="318">
        <f>Q.10^((TEMP.M-298)/10)</f>
        <v>0.40612619817811774</v>
      </c>
      <c r="C906" s="317" t="s">
        <v>314</v>
      </c>
    </row>
    <row r="907" spans="1:3" x14ac:dyDescent="0.2">
      <c r="A907" s="317" t="s">
        <v>1396</v>
      </c>
      <c r="B907" s="318">
        <f>Q.10^((TEMP.R-298)/10)</f>
        <v>0.40612619817811774</v>
      </c>
      <c r="C907" s="317" t="s">
        <v>314</v>
      </c>
    </row>
    <row r="908" spans="1:3" x14ac:dyDescent="0.2">
      <c r="A908" s="317" t="s">
        <v>3451</v>
      </c>
      <c r="B908" s="318">
        <f>Q.10^((TEMP.T-298)/10)</f>
        <v>1</v>
      </c>
      <c r="C908" s="317" t="s">
        <v>314</v>
      </c>
    </row>
    <row r="909" spans="1:3" ht="38.25" x14ac:dyDescent="0.2">
      <c r="A909" s="321" t="s">
        <v>609</v>
      </c>
      <c r="B909" s="324" t="s">
        <v>4720</v>
      </c>
      <c r="C909" s="321" t="s">
        <v>610</v>
      </c>
    </row>
    <row r="910" spans="1:3" x14ac:dyDescent="0.2">
      <c r="A910" s="321" t="s">
        <v>3091</v>
      </c>
      <c r="B910" s="318">
        <f>(80/24)*(RAINrate.A/(0.0013/3600))*(3600*24)</f>
        <v>6322.444678609063</v>
      </c>
      <c r="C910" s="321" t="s">
        <v>1669</v>
      </c>
    </row>
    <row r="911" spans="1:3" x14ac:dyDescent="0.2">
      <c r="A911" s="321" t="s">
        <v>2145</v>
      </c>
      <c r="B911" s="318">
        <f>(80/24)*(RAINrate.C/(0.0013/3600))*(3600*24)</f>
        <v>17702.845100105376</v>
      </c>
      <c r="C911" s="321" t="s">
        <v>1669</v>
      </c>
    </row>
    <row r="912" spans="1:3" x14ac:dyDescent="0.2">
      <c r="A912" s="321" t="s">
        <v>2715</v>
      </c>
      <c r="B912" s="318">
        <f>(80/24)*(RAINrate.M/(0.0013/3600))*(3600*24)</f>
        <v>17702.845100105376</v>
      </c>
      <c r="C912" s="321" t="s">
        <v>1669</v>
      </c>
    </row>
    <row r="913" spans="1:3" x14ac:dyDescent="0.2">
      <c r="A913" s="321" t="s">
        <v>1223</v>
      </c>
      <c r="B913" s="318">
        <f>(80/24)*(RAINrate.R/(0.0013/3600))*(3600*24)</f>
        <v>17702.845100105376</v>
      </c>
      <c r="C913" s="321" t="s">
        <v>1669</v>
      </c>
    </row>
    <row r="914" spans="1:3" x14ac:dyDescent="0.2">
      <c r="A914" s="321" t="s">
        <v>3404</v>
      </c>
      <c r="B914" s="318">
        <f>(80/24)*(RAINrate.T/(0.0013/3600))*(3600*24)</f>
        <v>32876.712328767127</v>
      </c>
      <c r="C914" s="321" t="s">
        <v>1669</v>
      </c>
    </row>
    <row r="915" spans="1:3" ht="15" x14ac:dyDescent="0.2">
      <c r="A915" s="317" t="s">
        <v>4721</v>
      </c>
      <c r="B915" s="318">
        <f>(MTCas.air.aC*MTCas.soil.sC)/(MTCas.air.aC+MTCas.soil.sC/((Kaw.C*FRorig.s1w)/Ks1w.C))*SYSTEMAREA.C*AREAFRAC.s1C*CORRvolat.s1C</f>
        <v>4.9731230715261738E-19</v>
      </c>
      <c r="C915" s="317" t="s">
        <v>1089</v>
      </c>
    </row>
    <row r="916" spans="1:3" ht="15" x14ac:dyDescent="0.2">
      <c r="A916" s="317" t="s">
        <v>4722</v>
      </c>
      <c r="B916" s="318">
        <v>3.1223453934029976E-20</v>
      </c>
      <c r="C916" s="317" t="s">
        <v>1089</v>
      </c>
    </row>
    <row r="917" spans="1:3" ht="15" x14ac:dyDescent="0.2">
      <c r="A917" s="317" t="s">
        <v>4723</v>
      </c>
      <c r="B917" s="318">
        <f>(MTCas.air.aC*MTCas.soil.sC)/(MTCas.air.aC+MTCas.soil.sC/((Kaw.C*FRorig.s2w)/Ks2w.C))*SYSTEMAREA.C*AREAFRAC.s2C*CORRvolat.s2C</f>
        <v>2.0115917417957198E-18</v>
      </c>
      <c r="C917" s="317" t="s">
        <v>1089</v>
      </c>
    </row>
    <row r="918" spans="1:3" ht="15" x14ac:dyDescent="0.2">
      <c r="A918" s="317" t="s">
        <v>4724</v>
      </c>
      <c r="B918" s="318">
        <v>1.2629657698127048E-19</v>
      </c>
      <c r="C918" s="317" t="s">
        <v>1089</v>
      </c>
    </row>
    <row r="919" spans="1:3" ht="15" x14ac:dyDescent="0.2">
      <c r="A919" s="317" t="s">
        <v>4725</v>
      </c>
      <c r="B919" s="318">
        <f>(MTCas.air.aC*MTCas.soil.sC)/(MTCas.air.aC+MTCas.soil.sC/((Kaw.C*FRorig.s3w)/Ks3w.C))*SYSTEMAREA.C*AREAFRAC.s3C*CORRvolat.s3C</f>
        <v>1.8418974338985822E-19</v>
      </c>
      <c r="C919" s="317" t="s">
        <v>1089</v>
      </c>
    </row>
    <row r="920" spans="1:3" ht="15" x14ac:dyDescent="0.2">
      <c r="A920" s="317" t="s">
        <v>4726</v>
      </c>
      <c r="B920" s="318">
        <v>1.1564242197788877E-20</v>
      </c>
      <c r="C920" s="317" t="s">
        <v>1089</v>
      </c>
    </row>
    <row r="921" spans="1:3" ht="15" x14ac:dyDescent="0.2">
      <c r="A921" s="317" t="s">
        <v>4727</v>
      </c>
      <c r="B921" s="318">
        <f>(MTCas.air.aA*MTCas.soil.sA/(MTCas.air.aA+MTCas.soil.sA/((Kaw.A*FRorig.s1w)/Ksw.A)*(SYSTEMAREA.A*AREAFRAC.sA*CORRvolat.sA)))</f>
        <v>4.2868230882584352E-50</v>
      </c>
      <c r="C921" s="321" t="s">
        <v>1089</v>
      </c>
    </row>
    <row r="922" spans="1:3" ht="15" x14ac:dyDescent="0.2">
      <c r="A922" s="317" t="s">
        <v>4728</v>
      </c>
      <c r="B922" s="318">
        <f>(MTCas.air.aM*MTCas.soil.sM/(MTCas.air.aM+MTCas.soil.sM/((Kaw.M*FRorig.s1w)/Ksw.M)*(SYSTEMAREA.M*AREAFRAC.sM*CORRvolat.sM)))</f>
        <v>8.436637276761781E-45</v>
      </c>
      <c r="C922" s="321" t="s">
        <v>1089</v>
      </c>
    </row>
    <row r="923" spans="1:3" ht="15" x14ac:dyDescent="0.2">
      <c r="A923" s="317" t="s">
        <v>4729</v>
      </c>
      <c r="B923" s="318">
        <f>(MTCas.air.aT*MTCas.soil.sT/(MTCas.air.aT+MTCas.soil.sT/((Kaw.T*FRorig.s1w)/Ksw.T)*(SYSTEMAREA.T*AREAFRAC.sT*CORRvolat.sT)))</f>
        <v>7.5634971766479648E-42</v>
      </c>
      <c r="C923" s="321" t="s">
        <v>1089</v>
      </c>
    </row>
    <row r="924" spans="1:3" ht="15" x14ac:dyDescent="0.2">
      <c r="A924" s="317" t="s">
        <v>4730</v>
      </c>
      <c r="B924" s="318">
        <f>(MTCaw.air.aC*MTCaw.water.wC/(FRorig.w1*MTCaw.air.aC*Kaw.C+MTCaw.water.wC))*Kaw.C*(FRw.w0C*FRorig.w1)*(SYSTEMAREA.C*AREAFRAC.w0C)</f>
        <v>4.6475597939825327E-16</v>
      </c>
      <c r="C924" s="317" t="s">
        <v>1089</v>
      </c>
    </row>
    <row r="925" spans="1:3" ht="15" x14ac:dyDescent="0.2">
      <c r="A925" s="317" t="s">
        <v>4731</v>
      </c>
      <c r="B925" s="318" t="e">
        <v>#NAME?</v>
      </c>
      <c r="C925" s="317" t="s">
        <v>1089</v>
      </c>
    </row>
    <row r="926" spans="1:3" ht="15" x14ac:dyDescent="0.2">
      <c r="A926" s="317" t="s">
        <v>4732</v>
      </c>
      <c r="B926" s="318">
        <f>(MTCaw.air.aC*MTCaw.water.wC/(FRorig.w1*MTCaw.air.aC*Kaw.C+MTCaw.water.wC))*Kaw.C*(FRw.w1C*FRorig.w1)*(SYSTEMAREA.C*AREAFRAC.w1C)</f>
        <v>2.2085730292866289E-15</v>
      </c>
      <c r="C926" s="317" t="s">
        <v>1089</v>
      </c>
    </row>
    <row r="927" spans="1:3" ht="15" x14ac:dyDescent="0.2">
      <c r="A927" s="317" t="s">
        <v>4733</v>
      </c>
      <c r="B927" s="318" t="e">
        <v>#NAME?</v>
      </c>
      <c r="C927" s="317" t="s">
        <v>1089</v>
      </c>
    </row>
    <row r="928" spans="1:3" ht="15" x14ac:dyDescent="0.2">
      <c r="A928" s="317" t="s">
        <v>4734</v>
      </c>
      <c r="B928" s="318">
        <f>(MTCaw.air.aA*MTCaw.water.wA/(FRorig.w1*MTCaw.air.aA*Kaw.A+MTCaw.water.wA))*Kaw.A*(FRw.w2A*FRorig.w1)*(SYSTEMAREA.A*AREAFRAC.wA)</f>
        <v>2.1510517262191325E-18</v>
      </c>
      <c r="C928" s="321" t="s">
        <v>1089</v>
      </c>
    </row>
    <row r="929" spans="1:3" ht="15" x14ac:dyDescent="0.2">
      <c r="A929" s="317" t="s">
        <v>4735</v>
      </c>
      <c r="B929" s="318">
        <f>(MTCaw.air.aC*MTCaw.water.wC/(FRorig.w2*MTCaw.air.aC*Kaw.C+MTCaw.water.wC))*Kaw.C*(FRw.w2C*FRorig.w2)*(SYSTEMAREA.C*AREAFRAC.w2C)</f>
        <v>1.4064972049126101E-13</v>
      </c>
      <c r="C929" s="317" t="s">
        <v>1089</v>
      </c>
    </row>
    <row r="930" spans="1:3" ht="15" x14ac:dyDescent="0.2">
      <c r="A930" s="317" t="s">
        <v>4736</v>
      </c>
      <c r="B930" s="318">
        <f>(MTCaw.air.aM*MTCaw.water.wM/(FRorig.w1*MTCaw.air.aM*Kaw.M+MTCaw.water.wM))*Kaw.M*(FRw.w2M*FRorig.w1)*(SYSTEMAREA.M*AREAFRAC.wM)</f>
        <v>1.4690493084762113E-12</v>
      </c>
      <c r="C930" s="321" t="s">
        <v>1089</v>
      </c>
    </row>
    <row r="931" spans="1:3" ht="15" x14ac:dyDescent="0.2">
      <c r="A931" s="317" t="s">
        <v>4737</v>
      </c>
      <c r="B931" s="318" t="e">
        <v>#NAME?</v>
      </c>
      <c r="C931" s="317" t="s">
        <v>1089</v>
      </c>
    </row>
    <row r="932" spans="1:3" ht="15" x14ac:dyDescent="0.2">
      <c r="A932" s="317" t="s">
        <v>4738</v>
      </c>
      <c r="B932" s="318">
        <f>(MTCaw.air.aT*MTCaw.water.wT/(FRorig.w1*MTCaw.air.aT*Kaw.T+MTCaw.water.wT))*Kaw.T*(FRw.w2T*FRorig.w1)*(SYSTEMAREA.T*AREAFRAC.wT)</f>
        <v>2.9887425354296049E-9</v>
      </c>
      <c r="C932" s="321" t="s">
        <v>1089</v>
      </c>
    </row>
    <row r="933" spans="1:3" ht="15" x14ac:dyDescent="0.2">
      <c r="A933" s="317" t="s">
        <v>3008</v>
      </c>
      <c r="B933" s="318">
        <f>SYSTEMAREA.A*HEIGHT.aA</f>
        <v>4.25E+16</v>
      </c>
      <c r="C933" s="321" t="s">
        <v>981</v>
      </c>
    </row>
    <row r="934" spans="1:3" ht="15" x14ac:dyDescent="0.2">
      <c r="A934" s="317" t="s">
        <v>1972</v>
      </c>
      <c r="B934" s="318">
        <f>SYSTEMAREA.C*HEIGHT.aC</f>
        <v>7199250000000000</v>
      </c>
      <c r="C934" s="321" t="s">
        <v>981</v>
      </c>
    </row>
    <row r="935" spans="1:3" ht="15" x14ac:dyDescent="0.2">
      <c r="A935" s="317" t="s">
        <v>2579</v>
      </c>
      <c r="B935" s="318">
        <f>SYSTEMAREA.M*HEIGHT.aM</f>
        <v>7.757118E+16</v>
      </c>
      <c r="C935" s="321" t="s">
        <v>981</v>
      </c>
    </row>
    <row r="936" spans="1:3" ht="15" x14ac:dyDescent="0.2">
      <c r="A936" s="317" t="s">
        <v>980</v>
      </c>
      <c r="B936" s="318">
        <f>SYSTEMAREA.R*HEIGHT.aR</f>
        <v>229570000000000</v>
      </c>
      <c r="C936" s="317" t="s">
        <v>981</v>
      </c>
    </row>
    <row r="937" spans="1:3" ht="15" x14ac:dyDescent="0.2">
      <c r="A937" s="317" t="s">
        <v>3330</v>
      </c>
      <c r="B937" s="318">
        <f>SYSTEMAREA.T*HEIGHT.aT</f>
        <v>1.275E+17</v>
      </c>
      <c r="C937" s="317" t="s">
        <v>981</v>
      </c>
    </row>
    <row r="938" spans="1:3" ht="15" x14ac:dyDescent="0.2">
      <c r="A938" s="317" t="s">
        <v>1982</v>
      </c>
      <c r="B938" s="318">
        <f>SYSTEMAREA.C*AREAFRAC.s1C*DEPTH.s1C</f>
        <v>47058840000.000015</v>
      </c>
      <c r="C938" s="321" t="s">
        <v>981</v>
      </c>
    </row>
    <row r="939" spans="1:3" ht="15" x14ac:dyDescent="0.2">
      <c r="A939" s="317" t="s">
        <v>999</v>
      </c>
      <c r="B939" s="318">
        <f>SYSTEMAREA.R*AREAFRAC.s1R*DEPTH.s1R</f>
        <v>3085695000.0000005</v>
      </c>
      <c r="C939" s="317" t="s">
        <v>981</v>
      </c>
    </row>
    <row r="940" spans="1:3" ht="15" x14ac:dyDescent="0.2">
      <c r="A940" s="317" t="s">
        <v>1983</v>
      </c>
      <c r="B940" s="318">
        <f>SYSTEMAREA.C*AREAFRAC.s2C*DEPTH.s2C</f>
        <v>418300800000.00006</v>
      </c>
      <c r="C940" s="321" t="s">
        <v>981</v>
      </c>
    </row>
    <row r="941" spans="1:3" ht="15" x14ac:dyDescent="0.2">
      <c r="A941" s="317" t="s">
        <v>1001</v>
      </c>
      <c r="B941" s="318">
        <f>SYSTEMAREA.R*AREAFRAC.s2R*DEPTH.s2R</f>
        <v>27428400000</v>
      </c>
      <c r="C941" s="317" t="s">
        <v>981</v>
      </c>
    </row>
    <row r="942" spans="1:3" ht="15" x14ac:dyDescent="0.2">
      <c r="A942" s="317" t="s">
        <v>1984</v>
      </c>
      <c r="B942" s="318">
        <f>SYSTEMAREA.C*AREAFRAC.s3C*DEPTH.s3C</f>
        <v>17429200000</v>
      </c>
      <c r="C942" s="321" t="s">
        <v>981</v>
      </c>
    </row>
    <row r="943" spans="1:3" ht="15" x14ac:dyDescent="0.2">
      <c r="A943" s="317" t="s">
        <v>1003</v>
      </c>
      <c r="B943" s="318">
        <f>SYSTEMAREA.R*AREAFRAC.s3R*DEPTH.s3R</f>
        <v>1142850000</v>
      </c>
      <c r="C943" s="317" t="s">
        <v>981</v>
      </c>
    </row>
    <row r="944" spans="1:3" ht="15" x14ac:dyDescent="0.2">
      <c r="A944" s="317" t="s">
        <v>3015</v>
      </c>
      <c r="B944" s="318">
        <f>SYSTEMAREA.A*DEPTH.sA*AREAFRAC.sA</f>
        <v>850000000000</v>
      </c>
      <c r="C944" s="321" t="s">
        <v>981</v>
      </c>
    </row>
    <row r="945" spans="1:3" ht="15" x14ac:dyDescent="0.2">
      <c r="A945" s="317" t="s">
        <v>1980</v>
      </c>
      <c r="B945" s="318">
        <f>SYSTEMAREA.C*AREAFRAC.w1C*DEPTH.sd1C</f>
        <v>2875818000</v>
      </c>
      <c r="C945" s="321" t="s">
        <v>981</v>
      </c>
    </row>
    <row r="946" spans="1:3" ht="15" x14ac:dyDescent="0.2">
      <c r="A946" s="317" t="s">
        <v>995</v>
      </c>
      <c r="B946" s="318">
        <f>SYSTEMAREA.R*AREAFRAC.w1R*DEPTH.sd1R</f>
        <v>188570250</v>
      </c>
      <c r="C946" s="317" t="s">
        <v>981</v>
      </c>
    </row>
    <row r="947" spans="1:3" ht="15" x14ac:dyDescent="0.2">
      <c r="A947" s="317" t="s">
        <v>1981</v>
      </c>
      <c r="B947" s="318">
        <f>SYSTEMAREA.C*AREAFRAC.w2C*DEPTH.sd2C</f>
        <v>111402300000</v>
      </c>
      <c r="C947" s="321" t="s">
        <v>981</v>
      </c>
    </row>
    <row r="948" spans="1:3" ht="15" x14ac:dyDescent="0.2">
      <c r="A948" s="317" t="s">
        <v>997</v>
      </c>
      <c r="B948" s="318">
        <f>SYSTEMAREA.R*AREAFRAC.w2R*DEPTH.sd2R</f>
        <v>30000000.00000003</v>
      </c>
      <c r="C948" s="317" t="s">
        <v>981</v>
      </c>
    </row>
    <row r="949" spans="1:3" ht="15" x14ac:dyDescent="0.2">
      <c r="A949" s="317" t="s">
        <v>3014</v>
      </c>
      <c r="B949" s="318">
        <f>SYSTEMAREA.A*DEPTH.sdA*AREAFRAC.wA</f>
        <v>765000000000</v>
      </c>
      <c r="C949" s="321" t="s">
        <v>981</v>
      </c>
    </row>
    <row r="950" spans="1:3" ht="15" x14ac:dyDescent="0.2">
      <c r="A950" s="317" t="s">
        <v>2586</v>
      </c>
      <c r="B950" s="318">
        <f>SYSTEMAREA.M*DEPTH.sdM*AREAFRAC.wM</f>
        <v>1163567700000</v>
      </c>
      <c r="C950" s="321" t="s">
        <v>981</v>
      </c>
    </row>
    <row r="951" spans="1:3" ht="15" x14ac:dyDescent="0.2">
      <c r="A951" s="317" t="s">
        <v>3334</v>
      </c>
      <c r="B951" s="318">
        <f>SYSTEMAREA.T*DEPTH.sdT*AREAFRAC.wT</f>
        <v>2677500000000</v>
      </c>
      <c r="C951" s="317" t="s">
        <v>981</v>
      </c>
    </row>
    <row r="952" spans="1:3" ht="15" x14ac:dyDescent="0.2">
      <c r="A952" s="317" t="s">
        <v>2588</v>
      </c>
      <c r="B952" s="318">
        <f>SYSTEMAREA.M*DEPTH.sM*AREAFRAC.sM</f>
        <v>1939279500000</v>
      </c>
      <c r="C952" s="321" t="s">
        <v>981</v>
      </c>
    </row>
    <row r="953" spans="1:3" ht="15" x14ac:dyDescent="0.2">
      <c r="A953" s="317" t="s">
        <v>3335</v>
      </c>
      <c r="B953" s="318">
        <f>SYSTEMAREA.T*DEPTH.sT*AREAFRAC.sT</f>
        <v>1912500000000.0002</v>
      </c>
      <c r="C953" s="317" t="s">
        <v>981</v>
      </c>
    </row>
    <row r="954" spans="1:3" ht="15" x14ac:dyDescent="0.2">
      <c r="A954" s="317" t="s">
        <v>1975</v>
      </c>
      <c r="B954" s="318">
        <f>SYSTEMAREA.C*AREAFRAC.w0C*DEPTH.w0C</f>
        <v>871460000000</v>
      </c>
      <c r="C954" s="317" t="s">
        <v>981</v>
      </c>
    </row>
    <row r="955" spans="1:3" ht="15" x14ac:dyDescent="0.2">
      <c r="A955" s="317" t="s">
        <v>987</v>
      </c>
      <c r="B955" s="318">
        <f>SYSTEMAREA.R*AREAFRAC.w0R*DEPTH.w0R</f>
        <v>57142500000</v>
      </c>
      <c r="C955" s="317" t="s">
        <v>981</v>
      </c>
    </row>
    <row r="956" spans="1:3" ht="15" x14ac:dyDescent="0.2">
      <c r="A956" s="317" t="s">
        <v>1976</v>
      </c>
      <c r="B956" s="318">
        <f>SYSTEMAREA.C*AREAFRAC.w1C*DEPTH.w1C</f>
        <v>287581800000</v>
      </c>
      <c r="C956" s="321" t="s">
        <v>981</v>
      </c>
    </row>
    <row r="957" spans="1:3" ht="15" x14ac:dyDescent="0.2">
      <c r="A957" s="317" t="s">
        <v>989</v>
      </c>
      <c r="B957" s="318">
        <f>SYSTEMAREA.R*AREAFRAC.w1R*DEPTH.w1R</f>
        <v>18857025000</v>
      </c>
      <c r="C957" s="317" t="s">
        <v>981</v>
      </c>
    </row>
    <row r="958" spans="1:3" ht="15" x14ac:dyDescent="0.2">
      <c r="A958" s="317" t="s">
        <v>3011</v>
      </c>
      <c r="B958" s="318">
        <f>SYSTEMAREA.A*DEPTH.w2A*AREAFRAC.wA</f>
        <v>2550000000000000</v>
      </c>
      <c r="C958" s="321" t="s">
        <v>981</v>
      </c>
    </row>
    <row r="959" spans="1:3" ht="15" x14ac:dyDescent="0.2">
      <c r="A959" s="317" t="s">
        <v>1977</v>
      </c>
      <c r="B959" s="318">
        <f>SYSTEMAREA.C*AREAFRAC.w2C*DEPTH.w2C</f>
        <v>742682000000000</v>
      </c>
      <c r="C959" s="321" t="s">
        <v>981</v>
      </c>
    </row>
    <row r="960" spans="1:3" ht="15" x14ac:dyDescent="0.2">
      <c r="A960" s="317" t="s">
        <v>2582</v>
      </c>
      <c r="B960" s="318">
        <f>SYSTEMAREA.M*DEPTH.w2M*AREAFRAC.wM</f>
        <v>3878559000000000</v>
      </c>
      <c r="C960" s="321" t="s">
        <v>981</v>
      </c>
    </row>
    <row r="961" spans="1:3" ht="15" x14ac:dyDescent="0.2">
      <c r="A961" s="317" t="s">
        <v>991</v>
      </c>
      <c r="B961" s="318">
        <f>SYSTEMAREA.R*AREAFRAC.w2R*DEPTH.w2R</f>
        <v>10000000000.000011</v>
      </c>
      <c r="C961" s="317" t="s">
        <v>981</v>
      </c>
    </row>
    <row r="962" spans="1:3" ht="15" x14ac:dyDescent="0.2">
      <c r="A962" s="317" t="s">
        <v>3332</v>
      </c>
      <c r="B962" s="318">
        <f>SYSTEMAREA.T*DEPTH.w2T*AREAFRAC.wT</f>
        <v>8924999999999999</v>
      </c>
      <c r="C962" s="321" t="s">
        <v>981</v>
      </c>
    </row>
    <row r="963" spans="1:3" ht="15" x14ac:dyDescent="0.2">
      <c r="A963" s="317" t="s">
        <v>3013</v>
      </c>
      <c r="B963" s="318">
        <f>SYSTEMAREA.A*DEPTH.w3A*AREAFRAC.wA</f>
        <v>7.65E+16</v>
      </c>
      <c r="C963" s="321" t="s">
        <v>981</v>
      </c>
    </row>
    <row r="964" spans="1:3" ht="15" x14ac:dyDescent="0.2">
      <c r="A964" s="317" t="s">
        <v>2584</v>
      </c>
      <c r="B964" s="318">
        <f>SYSTEMAREA.M*DEPTH.w3M*AREAFRAC.wM</f>
        <v>1.1635677E+17</v>
      </c>
      <c r="C964" s="321" t="s">
        <v>981</v>
      </c>
    </row>
    <row r="965" spans="1:3" ht="15" x14ac:dyDescent="0.2">
      <c r="A965" s="317" t="s">
        <v>3333</v>
      </c>
      <c r="B965" s="318">
        <f>SYSTEMAREA.T*DEPTH.w3T*AREAFRAC.wT</f>
        <v>2.6774999999999997E+17</v>
      </c>
      <c r="C965" s="321" t="s">
        <v>981</v>
      </c>
    </row>
    <row r="966" spans="1:3" ht="15" x14ac:dyDescent="0.2">
      <c r="A966" s="319" t="s">
        <v>2036</v>
      </c>
      <c r="B966" s="318">
        <f>0.1*WATERflow.w1C.w2C</f>
        <v>2089.1164383561645</v>
      </c>
      <c r="C966" s="317" t="s">
        <v>1089</v>
      </c>
    </row>
    <row r="967" spans="1:3" ht="15" x14ac:dyDescent="0.2">
      <c r="A967" s="319" t="s">
        <v>2038</v>
      </c>
      <c r="B967" s="318">
        <v>0</v>
      </c>
      <c r="C967" s="317" t="s">
        <v>1089</v>
      </c>
    </row>
    <row r="968" spans="1:3" ht="15" x14ac:dyDescent="0.2">
      <c r="A968" s="319" t="s">
        <v>1088</v>
      </c>
      <c r="B968" s="318">
        <f>0.1*WATERflow.w2R.w2C</f>
        <v>1369.8544520547946</v>
      </c>
      <c r="C968" s="317" t="s">
        <v>1089</v>
      </c>
    </row>
    <row r="969" spans="1:3" ht="15" x14ac:dyDescent="0.2">
      <c r="A969" s="319" t="s">
        <v>1092</v>
      </c>
      <c r="B969" s="318">
        <v>0</v>
      </c>
      <c r="C969" s="317" t="s">
        <v>1089</v>
      </c>
    </row>
    <row r="970" spans="1:3" ht="15" x14ac:dyDescent="0.2">
      <c r="A970" s="319" t="s">
        <v>2040</v>
      </c>
      <c r="B970" s="318">
        <v>0</v>
      </c>
      <c r="C970" s="317" t="s">
        <v>1089</v>
      </c>
    </row>
    <row r="971" spans="1:3" ht="15" x14ac:dyDescent="0.2">
      <c r="A971" s="319" t="s">
        <v>2042</v>
      </c>
      <c r="B971" s="318">
        <f>((AREAFRAC.w1C+AREAFRAC.s1C*FRACrun.s1C+AREAFRAC.s2C*FRACrun.s2C+AREAFRAC.s3C*FRACrun.s3C)*RAINrate.C*SYSTEMAREA.C+WATERflow.w0C.w1C)*FRAC.w1C.w1R</f>
        <v>0</v>
      </c>
      <c r="C971" s="321" t="s">
        <v>1089</v>
      </c>
    </row>
    <row r="972" spans="1:3" ht="15" x14ac:dyDescent="0.2">
      <c r="A972" s="319" t="s">
        <v>2044</v>
      </c>
      <c r="B972" s="318">
        <f>((AREAFRAC.w1C+AREAFRAC.s1C*FRACrun.s1C+AREAFRAC.s2C*FRACrun.s2C+AREAFRAC.s3C*FRACrun.s3C)*RAINrate.C*SYSTEMAREA.C)*(1-FRAC.w1C.w1R)</f>
        <v>20891.164383561645</v>
      </c>
      <c r="C972" s="321" t="s">
        <v>1089</v>
      </c>
    </row>
    <row r="973" spans="1:3" ht="15" x14ac:dyDescent="0.2">
      <c r="A973" s="319" t="s">
        <v>1094</v>
      </c>
      <c r="B973" s="318">
        <v>0</v>
      </c>
      <c r="C973" s="317" t="s">
        <v>1089</v>
      </c>
    </row>
    <row r="974" spans="1:3" ht="15" x14ac:dyDescent="0.2">
      <c r="A974" s="319" t="s">
        <v>1096</v>
      </c>
      <c r="B974" s="318" t="e">
        <f>((AREAFRAC.w1R+AREAFRAC.s1R*FRACrun.s1R+AREAFRACs2R*FRACrun.s2R+AREAFRAC.s3R*FRACrun.s3R)*RAINrate.R*SYSTEMAREA.R+WATERflow.w1C.w1R)*(1-FRAC.w1R.w1C)</f>
        <v>#NAME?</v>
      </c>
      <c r="C974" s="317" t="s">
        <v>1089</v>
      </c>
    </row>
    <row r="975" spans="1:3" ht="15" x14ac:dyDescent="0.2">
      <c r="A975" s="319" t="s">
        <v>3045</v>
      </c>
      <c r="B975" s="318">
        <f>0</f>
        <v>0</v>
      </c>
      <c r="C975" s="321" t="s">
        <v>1089</v>
      </c>
    </row>
    <row r="976" spans="1:3" ht="15" x14ac:dyDescent="0.2">
      <c r="A976" s="319" t="s">
        <v>2052</v>
      </c>
      <c r="B976" s="318">
        <f>(VOLUME.w2C/TAU.w2C)-WATERflow.w2R.w2C</f>
        <v>23536593.185565703</v>
      </c>
      <c r="C976" s="321" t="s">
        <v>1089</v>
      </c>
    </row>
    <row r="977" spans="1:3" ht="15" x14ac:dyDescent="0.2">
      <c r="A977" s="319" t="s">
        <v>2050</v>
      </c>
      <c r="B977" s="318">
        <f>(10-1)*WATERflow.w1R.w2R</f>
        <v>12328.69006849315</v>
      </c>
      <c r="C977" s="321" t="s">
        <v>1089</v>
      </c>
    </row>
    <row r="978" spans="1:3" ht="15" x14ac:dyDescent="0.2">
      <c r="A978" s="319" t="s">
        <v>2634</v>
      </c>
      <c r="B978" s="318">
        <f>OceanCurrent</f>
        <v>150000000</v>
      </c>
      <c r="C978" s="321" t="s">
        <v>1089</v>
      </c>
    </row>
    <row r="979" spans="1:3" ht="15" x14ac:dyDescent="0.2">
      <c r="A979" s="319" t="s">
        <v>2632</v>
      </c>
      <c r="B979" s="318">
        <f>WATERflow.w2C.w2M</f>
        <v>23536593.185565703</v>
      </c>
      <c r="C979" s="321" t="s">
        <v>1089</v>
      </c>
    </row>
    <row r="980" spans="1:3" ht="15" x14ac:dyDescent="0.2">
      <c r="A980" s="319" t="s">
        <v>2636</v>
      </c>
      <c r="B980" s="318">
        <f>0</f>
        <v>0</v>
      </c>
      <c r="C980" s="321" t="s">
        <v>1089</v>
      </c>
    </row>
    <row r="981" spans="1:3" ht="15" x14ac:dyDescent="0.2">
      <c r="A981" s="319" t="s">
        <v>1098</v>
      </c>
      <c r="B981" s="318">
        <f>WATERflow.w1R.w2R+WATERflow.w2C.w2R</f>
        <v>13698.544520547945</v>
      </c>
      <c r="C981" s="317" t="s">
        <v>1089</v>
      </c>
    </row>
    <row r="982" spans="1:3" ht="15" x14ac:dyDescent="0.2">
      <c r="A982" s="319" t="s">
        <v>3362</v>
      </c>
      <c r="B982" s="318">
        <f>OceanCurrent</f>
        <v>150000000</v>
      </c>
      <c r="C982" s="321" t="s">
        <v>1089</v>
      </c>
    </row>
    <row r="983" spans="1:3" ht="15" x14ac:dyDescent="0.2">
      <c r="A983" s="317" t="s">
        <v>3105</v>
      </c>
      <c r="B983" s="318">
        <v>3</v>
      </c>
      <c r="C983" s="320" t="s">
        <v>1226</v>
      </c>
    </row>
    <row r="984" spans="1:3" ht="15" x14ac:dyDescent="0.2">
      <c r="A984" s="321" t="s">
        <v>770</v>
      </c>
      <c r="B984" s="321">
        <v>3</v>
      </c>
      <c r="C984" s="321" t="s">
        <v>715</v>
      </c>
    </row>
    <row r="985" spans="1:3" ht="15" x14ac:dyDescent="0.2">
      <c r="A985" s="317" t="s">
        <v>2733</v>
      </c>
      <c r="B985" s="318">
        <v>3</v>
      </c>
      <c r="C985" s="320" t="s">
        <v>1226</v>
      </c>
    </row>
    <row r="986" spans="1:3" ht="15" x14ac:dyDescent="0.2">
      <c r="A986" s="321" t="s">
        <v>714</v>
      </c>
      <c r="B986" s="321">
        <v>3</v>
      </c>
      <c r="C986" s="321" t="s">
        <v>715</v>
      </c>
    </row>
    <row r="987" spans="1:3" ht="15" x14ac:dyDescent="0.2">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2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8.9621887827510443E-15</v>
      </c>
      <c r="AH3" s="685">
        <f>SUM(C20,C36,C52)</f>
        <v>2843753.0585123319</v>
      </c>
      <c r="AI3" s="685">
        <f>SUM(C28,C44,C68)</f>
        <v>189985849.6510407</v>
      </c>
      <c r="AJ3" s="961">
        <f>SUM(C76,C84,C92)</f>
        <v>25874643457.017735</v>
      </c>
      <c r="AK3" s="11"/>
      <c r="AL3"/>
      <c r="AM3" s="11"/>
      <c r="AN3" s="11"/>
      <c r="AO3" s="11"/>
      <c r="AP3" s="11"/>
      <c r="AQ3" s="11"/>
      <c r="AR3" s="11"/>
      <c r="AS3"/>
    </row>
    <row r="4" spans="1:45" ht="12.75" customHeight="1" x14ac:dyDescent="0.2">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33452.734739918604</v>
      </c>
      <c r="R4" s="11">
        <f>$E$11</f>
        <v>123524.4925784465</v>
      </c>
      <c r="S4" s="685">
        <f>SUM(T4:V4)</f>
        <v>164578.52730337816</v>
      </c>
      <c r="T4" s="11">
        <f>$G$11</f>
        <v>98891.857421306893</v>
      </c>
      <c r="U4" s="11">
        <f>$I$11</f>
        <v>23759.071616656522</v>
      </c>
      <c r="V4" s="962">
        <f>$K$11</f>
        <v>41927.598265414745</v>
      </c>
      <c r="W4" s="11"/>
      <c r="X4" s="11"/>
      <c r="Y4" s="11"/>
      <c r="Z4" s="11"/>
      <c r="AA4" s="11"/>
      <c r="AB4" s="11"/>
      <c r="AC4" s="11"/>
      <c r="AD4" s="11"/>
      <c r="AE4" s="960"/>
      <c r="AF4" s="410" t="s">
        <v>4750</v>
      </c>
      <c r="AG4" s="685">
        <f>C15</f>
        <v>6088.0683598167625</v>
      </c>
      <c r="AH4" s="685">
        <f>SUM(C23,C39,C55)</f>
        <v>224.09794798563408</v>
      </c>
      <c r="AI4" s="685">
        <f>SUM(C31,C47,C71)</f>
        <v>4.226789715355598E-6</v>
      </c>
      <c r="AJ4" s="961">
        <f>SUM(C79,C87,C95)</f>
        <v>17.580102109050454</v>
      </c>
      <c r="AK4" s="11"/>
      <c r="AL4" s="11"/>
      <c r="AM4" s="11"/>
      <c r="AN4" s="11"/>
      <c r="AO4" s="11"/>
      <c r="AP4" s="11"/>
      <c r="AQ4" s="11"/>
      <c r="AR4" s="11"/>
      <c r="AS4" s="11"/>
    </row>
    <row r="5" spans="1:45" ht="12.75" customHeight="1" x14ac:dyDescent="0.3">
      <c r="A5" s="17"/>
      <c r="B5" s="21" t="s">
        <v>85</v>
      </c>
      <c r="C5" s="918" t="str">
        <f>ChemName</f>
        <v>nAg_10nm</v>
      </c>
      <c r="D5" s="38"/>
      <c r="E5" s="38"/>
      <c r="F5" s="38"/>
      <c r="G5" s="447"/>
      <c r="H5" s="448"/>
      <c r="I5" s="448"/>
      <c r="J5" s="448"/>
      <c r="K5" s="38"/>
      <c r="L5" s="38"/>
      <c r="M5" s="17"/>
      <c r="N5" s="156"/>
      <c r="O5" s="11"/>
      <c r="P5" s="467" t="s">
        <v>4744</v>
      </c>
      <c r="Q5" s="685">
        <f>SUM(C19,C35,C51)</f>
        <v>4045267.4283665479</v>
      </c>
      <c r="R5" s="685">
        <f>SUM(E19,E35,E51)</f>
        <v>79774903.889732376</v>
      </c>
      <c r="S5" s="685">
        <f>SUM(T5:V5)</f>
        <v>55689538225.667175</v>
      </c>
      <c r="T5" s="685">
        <f>SUM(G51,G59)</f>
        <v>13478106819.103445</v>
      </c>
      <c r="U5" s="685">
        <f>SUM(I51,I59)</f>
        <v>8931674246.871439</v>
      </c>
      <c r="V5" s="961">
        <f>SUM(K51,K59)</f>
        <v>33279757159.692287</v>
      </c>
      <c r="W5" s="11"/>
      <c r="X5" s="11"/>
      <c r="Y5" s="11"/>
      <c r="Z5" s="11"/>
      <c r="AA5" s="11"/>
      <c r="AB5" s="11"/>
      <c r="AC5" s="11"/>
      <c r="AD5" s="11"/>
      <c r="AE5" s="960"/>
      <c r="AF5" s="410" t="s">
        <v>4751</v>
      </c>
      <c r="AG5" s="685">
        <f>C16</f>
        <v>27342.755103268799</v>
      </c>
      <c r="AH5" s="685">
        <f>SUM(C24,C40,C56)</f>
        <v>1193573.608516034</v>
      </c>
      <c r="AI5" s="685">
        <f>SUM(C32,C48,C72)</f>
        <v>119909.55311835518</v>
      </c>
      <c r="AJ5" s="961">
        <f>SUM(C80,C88,C96)</f>
        <v>55554.836489796617</v>
      </c>
      <c r="AK5" s="11"/>
      <c r="AL5" s="11"/>
      <c r="AM5" s="11"/>
      <c r="AN5" s="11"/>
      <c r="AO5" s="11"/>
      <c r="AP5" s="11"/>
      <c r="AQ5" s="11"/>
      <c r="AR5" s="11"/>
      <c r="AS5" s="11"/>
    </row>
    <row r="6" spans="1:45" ht="12.75" customHeight="1" x14ac:dyDescent="0.2">
      <c r="A6" s="17"/>
      <c r="B6" s="21" t="s">
        <v>87</v>
      </c>
      <c r="C6" s="934" t="str">
        <f>ScenarioName</f>
        <v>default scenario</v>
      </c>
      <c r="D6" s="38"/>
      <c r="E6" s="38"/>
      <c r="F6" s="38"/>
      <c r="G6" s="21"/>
      <c r="H6" s="21"/>
      <c r="I6" s="21"/>
      <c r="J6" s="21"/>
      <c r="K6" s="38"/>
      <c r="L6" s="38"/>
      <c r="M6" s="17"/>
      <c r="N6" s="156"/>
      <c r="O6" s="11"/>
      <c r="P6" s="467" t="s">
        <v>4745</v>
      </c>
      <c r="Q6" s="685">
        <f>SUM(C27,C43,C67)</f>
        <v>190571935.24840343</v>
      </c>
      <c r="R6" s="685">
        <f>SUM(E27,E43,E67)</f>
        <v>392957008.46157879</v>
      </c>
      <c r="S6" s="685">
        <f>SUM(T6:V6)</f>
        <v>17330335210.394119</v>
      </c>
      <c r="T6" s="685">
        <f>G67</f>
        <v>4193472339.4608021</v>
      </c>
      <c r="U6" s="685">
        <f>I67</f>
        <v>2759475820.8908558</v>
      </c>
      <c r="V6" s="961">
        <f>K67</f>
        <v>10377387050.042461</v>
      </c>
      <c r="W6" s="11"/>
      <c r="X6" s="11"/>
      <c r="Y6" s="11"/>
      <c r="Z6" s="11"/>
      <c r="AA6" s="11"/>
      <c r="AB6" s="11"/>
      <c r="AC6" s="11"/>
      <c r="AD6" s="11"/>
      <c r="AE6" s="963"/>
      <c r="AF6" s="479" t="s">
        <v>4752</v>
      </c>
      <c r="AG6" s="964">
        <f>C17</f>
        <v>21.911276833047808</v>
      </c>
      <c r="AH6" s="964">
        <f>SUM(C25,C41,C57)</f>
        <v>7716.663390196034</v>
      </c>
      <c r="AI6" s="964">
        <f>SUM(C33,C49,C73)</f>
        <v>466176.0442401474</v>
      </c>
      <c r="AJ6" s="965">
        <f>SUM(C81,C89,C97)</f>
        <v>16495.388903676085</v>
      </c>
      <c r="AK6" s="11"/>
      <c r="AL6" s="11"/>
      <c r="AM6" s="11"/>
      <c r="AN6" s="11"/>
      <c r="AO6" s="11"/>
      <c r="AP6" s="11"/>
      <c r="AQ6" s="11"/>
      <c r="AR6" s="11"/>
      <c r="AS6" s="11"/>
    </row>
    <row r="7" spans="1:45" ht="12.75" customHeight="1" x14ac:dyDescent="0.2">
      <c r="A7" s="17"/>
      <c r="B7" s="21" t="s">
        <v>89</v>
      </c>
      <c r="C7" s="934" t="str">
        <f>CaseName</f>
        <v>defaults only</v>
      </c>
      <c r="D7" s="38"/>
      <c r="E7" s="38"/>
      <c r="F7" s="38"/>
      <c r="G7" s="449"/>
      <c r="H7" s="21"/>
      <c r="I7" s="21"/>
      <c r="J7" s="21"/>
      <c r="K7" s="38"/>
      <c r="L7" s="38"/>
      <c r="M7" s="17"/>
      <c r="N7" s="156"/>
      <c r="O7" s="11"/>
      <c r="P7" s="464" t="s">
        <v>4746</v>
      </c>
      <c r="Q7" s="964">
        <f>SUM(C75,C83,C91)</f>
        <v>25874715524.823238</v>
      </c>
      <c r="R7" s="964">
        <f>SUM(E75,E83,E91)</f>
        <v>1668012726.4229722</v>
      </c>
      <c r="S7" s="964">
        <f>SUM(T7:V7)</f>
        <v>1058378070.5789132</v>
      </c>
      <c r="T7" s="964">
        <f>G91</f>
        <v>741426463.94036877</v>
      </c>
      <c r="U7" s="964">
        <f>I91</f>
        <v>133136260.43409361</v>
      </c>
      <c r="V7" s="965">
        <f>K91</f>
        <v>183815346.20445079</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3.5783883767191585E-14</v>
      </c>
      <c r="AH8" s="966">
        <f>SUM(E20,E36,E52)</f>
        <v>79751389.099673212</v>
      </c>
      <c r="AI8" s="966">
        <f>SUM(E28,E44,E68)</f>
        <v>392955453.91215622</v>
      </c>
      <c r="AJ8" s="967">
        <f>SUM(E76,E84,E92)</f>
        <v>1668007003.2183437</v>
      </c>
      <c r="AK8" s="11"/>
      <c r="AL8" s="11"/>
      <c r="AM8" s="11"/>
      <c r="AN8" s="11"/>
      <c r="AO8" s="11"/>
      <c r="AP8" s="11"/>
      <c r="AQ8" s="11"/>
      <c r="AR8" s="11"/>
      <c r="AS8" s="11"/>
    </row>
    <row r="9" spans="1:45" ht="12.75" customHeight="1" x14ac:dyDescent="0.2">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1256.9291759152388</v>
      </c>
      <c r="AH9" s="685">
        <f>SUM(E23,E39,E55)</f>
        <v>1.2557658801242957</v>
      </c>
      <c r="AI9" s="685">
        <f>SUM(E31,E47,E71)</f>
        <v>1.7996319787907408E-9</v>
      </c>
      <c r="AJ9" s="961">
        <f>SUM(E79,E87,E95)</f>
        <v>0.11799381996831002</v>
      </c>
      <c r="AK9" s="11"/>
      <c r="AL9" s="11"/>
      <c r="AM9" s="11"/>
      <c r="AN9" s="11"/>
      <c r="AO9" s="11"/>
      <c r="AP9" s="11"/>
      <c r="AQ9" s="11"/>
      <c r="AR9" s="11"/>
      <c r="AS9" s="11"/>
    </row>
    <row r="10" spans="1:45" ht="12.75" customHeight="1" x14ac:dyDescent="0.2">
      <c r="A10" s="17"/>
      <c r="B10" s="158"/>
      <c r="C10" s="43" t="s">
        <v>127</v>
      </c>
      <c r="D10" s="43"/>
      <c r="E10" s="43" t="s">
        <v>128</v>
      </c>
      <c r="F10" s="43"/>
      <c r="G10" s="43" t="s">
        <v>129</v>
      </c>
      <c r="H10" s="43"/>
      <c r="I10" s="43" t="s">
        <v>130</v>
      </c>
      <c r="J10" s="43"/>
      <c r="K10" s="43" t="s">
        <v>131</v>
      </c>
      <c r="L10" s="44"/>
      <c r="M10" s="17"/>
      <c r="N10" s="156"/>
      <c r="O10" s="11"/>
      <c r="P10" s="467" t="s">
        <v>242</v>
      </c>
      <c r="Q10" s="685">
        <f>C99</f>
        <v>26067473059.727287</v>
      </c>
      <c r="R10" s="685">
        <f>E99</f>
        <v>2140713846.2301731</v>
      </c>
      <c r="S10" s="685">
        <f>SUM(T10:V10)</f>
        <v>74078234371.598145</v>
      </c>
      <c r="T10" s="685">
        <f>G99</f>
        <v>18412995514.634041</v>
      </c>
      <c r="U10" s="685">
        <f>I99</f>
        <v>11824284110.848379</v>
      </c>
      <c r="V10" s="961">
        <f>K99</f>
        <v>43840954746.115715</v>
      </c>
      <c r="W10" s="11"/>
      <c r="X10" s="11"/>
      <c r="Y10" s="11"/>
      <c r="Z10" s="11"/>
      <c r="AA10" s="11"/>
      <c r="AB10" s="11"/>
      <c r="AC10" s="11"/>
      <c r="AD10" s="11"/>
      <c r="AE10" s="467"/>
      <c r="AF10" s="410" t="s">
        <v>4751</v>
      </c>
      <c r="AG10" s="685">
        <f>E16</f>
        <v>122259.89672923597</v>
      </c>
      <c r="AH10" s="685">
        <f>SUM(E24,E40,E56)</f>
        <v>23488.119165694701</v>
      </c>
      <c r="AI10" s="685">
        <f>SUM(E32,E48,E72)</f>
        <v>1351.5910287270297</v>
      </c>
      <c r="AJ10" s="961">
        <f>SUM(E80,E88,E96)</f>
        <v>5575.3346789808638</v>
      </c>
      <c r="AK10" s="11"/>
      <c r="AL10" s="11"/>
      <c r="AM10" s="11"/>
      <c r="AN10" s="11"/>
      <c r="AO10" s="11"/>
      <c r="AP10" s="11"/>
      <c r="AQ10" s="11"/>
      <c r="AR10" s="11"/>
      <c r="AS10" s="11"/>
    </row>
    <row r="11" spans="1:45" ht="12.75" customHeight="1" x14ac:dyDescent="0.2">
      <c r="A11" s="17"/>
      <c r="B11" s="452" t="s">
        <v>136</v>
      </c>
      <c r="C11" s="453">
        <f>SUM(C12,C15:C17)</f>
        <v>33452.734739918604</v>
      </c>
      <c r="D11" s="446">
        <f t="shared" ref="D11:D17" si="0">C11/$C$103</f>
        <v>1.2832201024235786E-6</v>
      </c>
      <c r="E11" s="453">
        <f>SUM(E12,E15:E17)</f>
        <v>123524.4925784465</v>
      </c>
      <c r="F11" s="446">
        <f t="shared" ref="F11:F17" si="1">E11/$E$103</f>
        <v>5.7698318232708959E-5</v>
      </c>
      <c r="G11" s="445">
        <f>SUM(G12,G15:G17)</f>
        <v>98891.857421306893</v>
      </c>
      <c r="H11" s="446">
        <f t="shared" ref="H11:H17" si="2">G11/$G$103</f>
        <v>5.3707324228878533E-6</v>
      </c>
      <c r="I11" s="445">
        <f>SUM(I12,I15:I17)</f>
        <v>23759.071616656522</v>
      </c>
      <c r="J11" s="446">
        <f t="shared" ref="J11:J17" si="3">I11/$I$103</f>
        <v>2.0093410474949776E-6</v>
      </c>
      <c r="K11" s="445">
        <f>SUM(K12,K15:K17)</f>
        <v>41927.598265414745</v>
      </c>
      <c r="L11" s="461">
        <f t="shared" ref="L11:L17" si="4">K11/$K$103</f>
        <v>9.5635585061073003E-7</v>
      </c>
      <c r="M11" s="17"/>
      <c r="N11" s="156"/>
      <c r="O11" s="11"/>
      <c r="P11" s="467" t="s">
        <v>243</v>
      </c>
      <c r="Q11" s="685">
        <f>C100</f>
        <v>6329.7464141382379</v>
      </c>
      <c r="R11" s="685">
        <f>E100</f>
        <v>1258.302935617131</v>
      </c>
      <c r="S11" s="685">
        <f>SUM(T11:V11)</f>
        <v>39.494548650931002</v>
      </c>
      <c r="T11" s="685">
        <f>G100</f>
        <v>38.595941045063171</v>
      </c>
      <c r="U11" s="685">
        <f>I100</f>
        <v>0.34151502563731573</v>
      </c>
      <c r="V11" s="961">
        <f>K100</f>
        <v>0.55709258023051866</v>
      </c>
      <c r="W11" s="11"/>
      <c r="X11" s="11"/>
      <c r="Y11" s="11"/>
      <c r="Z11" s="11"/>
      <c r="AA11" s="11"/>
      <c r="AB11" s="11"/>
      <c r="AC11" s="11"/>
      <c r="AD11" s="11"/>
      <c r="AE11" s="464"/>
      <c r="AF11" s="479" t="s">
        <v>4752</v>
      </c>
      <c r="AG11" s="964">
        <f>E17</f>
        <v>7.6666732952935508</v>
      </c>
      <c r="AH11" s="964">
        <f>SUM(E25,E41,E57)</f>
        <v>25.41512758451335</v>
      </c>
      <c r="AI11" s="964">
        <f>SUM(E33,E49,E73)</f>
        <v>202.95839381183973</v>
      </c>
      <c r="AJ11" s="965">
        <f>SUM(E81,E89,E97)</f>
        <v>147.75195567386024</v>
      </c>
      <c r="AK11" s="11"/>
      <c r="AL11" s="11"/>
      <c r="AM11" s="11"/>
      <c r="AN11" s="11"/>
      <c r="AO11" s="11"/>
      <c r="AP11" s="11"/>
      <c r="AQ11" s="11"/>
      <c r="AR11" s="11"/>
      <c r="AS11" s="11"/>
    </row>
    <row r="12" spans="1:45" ht="12.75" customHeight="1" x14ac:dyDescent="0.2">
      <c r="A12" s="17"/>
      <c r="B12" s="443" t="s">
        <v>140</v>
      </c>
      <c r="C12" s="295">
        <f>(M.aRG)*Molweight</f>
        <v>8.9621887827510443E-15</v>
      </c>
      <c r="D12" s="446">
        <f t="shared" si="0"/>
        <v>3.437823812358734E-25</v>
      </c>
      <c r="E12" s="296">
        <f>(M.aCG)*Molweight</f>
        <v>3.5783883767191585E-14</v>
      </c>
      <c r="F12" s="446">
        <f t="shared" si="1"/>
        <v>1.6714660146371227E-23</v>
      </c>
      <c r="G12" s="296">
        <f>(M.aMG)*Molweight</f>
        <v>1.7872937137083668E-12</v>
      </c>
      <c r="H12" s="446">
        <f t="shared" si="2"/>
        <v>9.7066397049682502E-23</v>
      </c>
      <c r="I12" s="296">
        <f>(M.aAG)*Molweight</f>
        <v>7.784082476533806E-14</v>
      </c>
      <c r="J12" s="446">
        <f t="shared" si="3"/>
        <v>6.5831176779738117E-24</v>
      </c>
      <c r="K12" s="296">
        <f>(M.aTG)*Molweight</f>
        <v>3.9880035552856886E-11</v>
      </c>
      <c r="L12" s="461">
        <f t="shared" si="4"/>
        <v>9.0965156368136476E-22</v>
      </c>
      <c r="M12" s="17"/>
      <c r="N12" s="156"/>
      <c r="O12" s="11"/>
      <c r="P12" s="467" t="s">
        <v>244</v>
      </c>
      <c r="Q12" s="685">
        <f>C101</f>
        <v>1396380.7532274546</v>
      </c>
      <c r="R12" s="685">
        <f>E101</f>
        <v>152674.94160263852</v>
      </c>
      <c r="S12" s="685">
        <f>SUM(T12:V12)</f>
        <v>181667.95902838506</v>
      </c>
      <c r="T12" s="685">
        <f>G101</f>
        <v>108955.1298198697</v>
      </c>
      <c r="U12" s="685">
        <f>I101</f>
        <v>25976.028860473736</v>
      </c>
      <c r="V12" s="961">
        <f>K101</f>
        <v>46736.800348041623</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142</v>
      </c>
      <c r="C13" s="295">
        <f>FRgas.aR*C12</f>
        <v>3.7934483037281149E-27</v>
      </c>
      <c r="D13" s="446">
        <f t="shared" si="0"/>
        <v>1.4551363763512706E-37</v>
      </c>
      <c r="E13" s="296">
        <f>FRgas.aC*E12</f>
        <v>1.5146334948747722E-26</v>
      </c>
      <c r="F13" s="446">
        <f t="shared" si="1"/>
        <v>7.0748564571277225E-36</v>
      </c>
      <c r="G13" s="296">
        <f>FRgas.aC*G12</f>
        <v>7.565123287271045E-25</v>
      </c>
      <c r="H13" s="446">
        <f t="shared" si="2"/>
        <v>4.1085539276499105E-35</v>
      </c>
      <c r="I13" s="296">
        <f>FRgas.aC*I12</f>
        <v>3.2947882690798217E-26</v>
      </c>
      <c r="J13" s="446">
        <f t="shared" si="3"/>
        <v>2.7864528625881799E-36</v>
      </c>
      <c r="K13" s="296">
        <f>FRgas.aC*K12</f>
        <v>1.6880123470704653E-23</v>
      </c>
      <c r="L13" s="461">
        <f t="shared" si="4"/>
        <v>3.850305170844063E-34</v>
      </c>
      <c r="M13" s="17"/>
      <c r="N13" s="156"/>
      <c r="O13" s="11"/>
      <c r="P13" s="464" t="s">
        <v>246</v>
      </c>
      <c r="Q13" s="964">
        <f>C102</f>
        <v>490410.00781085255</v>
      </c>
      <c r="R13" s="964">
        <f>E102</f>
        <v>383.79215036550687</v>
      </c>
      <c r="S13" s="964">
        <f>SUM(T13:V13)</f>
        <v>6.115792362146192</v>
      </c>
      <c r="T13" s="964">
        <f>G102</f>
        <v>6.0022355522398625</v>
      </c>
      <c r="U13" s="964">
        <f>I102</f>
        <v>4.9249190938222866E-2</v>
      </c>
      <c r="V13" s="965">
        <f>K102</f>
        <v>6.4307618968106398E-2</v>
      </c>
      <c r="W13" s="11"/>
      <c r="X13" s="11"/>
      <c r="Y13" s="11"/>
      <c r="Z13" s="11"/>
      <c r="AA13" s="11"/>
      <c r="AB13" s="11"/>
      <c r="AC13" s="11"/>
      <c r="AD13" s="11"/>
      <c r="AE13" s="471" t="s">
        <v>4747</v>
      </c>
      <c r="AF13" s="465" t="s">
        <v>4749</v>
      </c>
      <c r="AG13" s="966">
        <f t="shared" ref="AG13:AJ16" si="5">SUM(AG18,AG23,AG28)</f>
        <v>4.174517009133059E-11</v>
      </c>
      <c r="AH13" s="966">
        <f t="shared" si="5"/>
        <v>55689527501.1987</v>
      </c>
      <c r="AI13" s="966">
        <f t="shared" si="5"/>
        <v>17330335210.393791</v>
      </c>
      <c r="AJ13" s="967">
        <f t="shared" si="5"/>
        <v>1058371660.0056478</v>
      </c>
      <c r="AK13" s="11"/>
      <c r="AL13" s="11"/>
      <c r="AM13" s="11"/>
      <c r="AN13" s="11"/>
      <c r="AO13" s="11"/>
      <c r="AP13" s="11"/>
      <c r="AQ13" s="11"/>
      <c r="AR13" s="11"/>
      <c r="AS13" s="11"/>
    </row>
    <row r="14" spans="1:45" ht="12.75" customHeight="1" x14ac:dyDescent="0.2">
      <c r="A14" s="17"/>
      <c r="B14" s="159" t="s">
        <v>145</v>
      </c>
      <c r="C14" s="295">
        <f>(1-FRgas.aR)*C12</f>
        <v>8.9621887827472515E-15</v>
      </c>
      <c r="D14" s="446">
        <f t="shared" si="0"/>
        <v>3.4378238123572788E-25</v>
      </c>
      <c r="E14" s="296">
        <f>(1-FRgas.aC)*E12</f>
        <v>3.5783883767176439E-14</v>
      </c>
      <c r="F14" s="446">
        <f t="shared" si="1"/>
        <v>1.6714660146364154E-23</v>
      </c>
      <c r="G14" s="296">
        <f>(1-FRgas.aC)*G12</f>
        <v>1.7872937137076103E-12</v>
      </c>
      <c r="H14" s="446">
        <f t="shared" si="2"/>
        <v>9.7066397049641407E-23</v>
      </c>
      <c r="I14" s="296">
        <f>(1-FRgas.aC)*I12</f>
        <v>7.7840824765305117E-14</v>
      </c>
      <c r="J14" s="446">
        <f t="shared" si="3"/>
        <v>6.5831176779710257E-24</v>
      </c>
      <c r="K14" s="296">
        <f>(1-FRgas.aC)*K12</f>
        <v>3.9880035552840007E-11</v>
      </c>
      <c r="L14" s="461">
        <f t="shared" si="4"/>
        <v>9.0965156368097976E-22</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39.456503082230284</v>
      </c>
      <c r="AH14" s="685">
        <f t="shared" si="5"/>
        <v>3.5348375578065451E-2</v>
      </c>
      <c r="AI14" s="685">
        <f t="shared" si="5"/>
        <v>3.6865647760774935E-17</v>
      </c>
      <c r="AJ14" s="961">
        <f t="shared" si="5"/>
        <v>2.6971931226574615E-3</v>
      </c>
      <c r="AK14" s="11"/>
      <c r="AL14" s="11"/>
      <c r="AM14" s="11"/>
      <c r="AN14" s="11"/>
      <c r="AO14" s="11"/>
      <c r="AP14" s="11"/>
      <c r="AQ14" s="11"/>
      <c r="AR14" s="11"/>
      <c r="AS14" s="11"/>
    </row>
    <row r="15" spans="1:45" ht="12.75" customHeight="1" x14ac:dyDescent="0.2">
      <c r="A15" s="17"/>
      <c r="B15" s="159" t="s">
        <v>147</v>
      </c>
      <c r="C15" s="295">
        <f>(M.aRS+M.cwRS)*Molweight</f>
        <v>6088.0683598167625</v>
      </c>
      <c r="D15" s="446">
        <f t="shared" si="0"/>
        <v>2.3353342454611002E-7</v>
      </c>
      <c r="E15" s="296">
        <f>(M.aCS+M.cwCS)*Molweight</f>
        <v>1256.9291759152388</v>
      </c>
      <c r="F15" s="446">
        <f t="shared" si="1"/>
        <v>5.8711190043445996E-7</v>
      </c>
      <c r="G15" s="296">
        <f>(M.aMS+M.cwMS)*Molweight</f>
        <v>38.559002500769992</v>
      </c>
      <c r="H15" s="446">
        <f t="shared" si="2"/>
        <v>2.0941065354130997E-9</v>
      </c>
      <c r="I15" s="296">
        <f>(M.aAS+M.cwAS)*Molweight</f>
        <v>0.34113600913169323</v>
      </c>
      <c r="J15" s="446">
        <f t="shared" si="3"/>
        <v>2.8850394366688365E-11</v>
      </c>
      <c r="K15" s="296">
        <f>(M.aTS+M.cwTS)*Molweight</f>
        <v>0.55636457232859671</v>
      </c>
      <c r="L15" s="461">
        <f t="shared" si="4"/>
        <v>1.2690507823766633E-11</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164538.76797755584</v>
      </c>
      <c r="AH15" s="685">
        <f t="shared" si="5"/>
        <v>10723.748648511715</v>
      </c>
      <c r="AI15" s="685">
        <f t="shared" si="5"/>
        <v>3.0210220421392361E-4</v>
      </c>
      <c r="AJ15" s="961">
        <f t="shared" si="5"/>
        <v>6405.4421002153067</v>
      </c>
      <c r="AK15" s="11"/>
      <c r="AL15" s="11"/>
      <c r="AM15" s="11"/>
      <c r="AN15" s="11"/>
      <c r="AO15" s="11"/>
      <c r="AP15" s="11"/>
      <c r="AQ15" s="11"/>
      <c r="AR15" s="11"/>
      <c r="AS15" s="11"/>
    </row>
    <row r="16" spans="1:45" ht="12.75" customHeight="1" x14ac:dyDescent="0.2">
      <c r="A16" s="17"/>
      <c r="B16" s="159" t="s">
        <v>150</v>
      </c>
      <c r="C16" s="295">
        <f>(M.aRA+M.cwRA)*Molweight</f>
        <v>27342.755103268799</v>
      </c>
      <c r="D16" s="446">
        <f t="shared" si="0"/>
        <v>1.0488461788533821E-6</v>
      </c>
      <c r="E16" s="296">
        <f>(M.aCA+M.cwCA)*Molweight</f>
        <v>122259.89672923597</v>
      </c>
      <c r="F16" s="446">
        <f t="shared" si="1"/>
        <v>5.7107625227455977E-5</v>
      </c>
      <c r="G16" s="296">
        <f>(M.aMA+M.cwMA)*Molweight</f>
        <v>98853.005599950135</v>
      </c>
      <c r="H16" s="446">
        <f t="shared" si="2"/>
        <v>5.3686224136101429E-6</v>
      </c>
      <c r="I16" s="296">
        <f>(M.aAA+M.cwAA)*Molweight</f>
        <v>23758.723130855171</v>
      </c>
      <c r="J16" s="446">
        <f t="shared" si="3"/>
        <v>2.0093115755174348E-6</v>
      </c>
      <c r="K16" s="296">
        <f>(M.aTA+M.cwTA)*Molweight</f>
        <v>41927.03924675053</v>
      </c>
      <c r="L16" s="461">
        <f t="shared" si="4"/>
        <v>9.5634309956387218E-7</v>
      </c>
      <c r="M16" s="17"/>
      <c r="N16" s="156"/>
      <c r="O16" s="11"/>
      <c r="P16" s="472" t="s">
        <v>243</v>
      </c>
      <c r="Q16" s="968">
        <f t="shared" ref="Q16:V18" si="6">Q11</f>
        <v>6329.7464141382379</v>
      </c>
      <c r="R16" s="968">
        <f t="shared" si="6"/>
        <v>1258.302935617131</v>
      </c>
      <c r="S16" s="968">
        <f t="shared" si="6"/>
        <v>39.494548650931002</v>
      </c>
      <c r="T16" s="968">
        <f t="shared" si="6"/>
        <v>38.595941045063171</v>
      </c>
      <c r="U16" s="968">
        <f t="shared" si="6"/>
        <v>0.34151502563731573</v>
      </c>
      <c r="V16" s="969">
        <f t="shared" si="6"/>
        <v>0.55709258023051866</v>
      </c>
      <c r="W16" s="11"/>
      <c r="X16" s="11"/>
      <c r="Y16" s="11"/>
      <c r="Z16" s="11"/>
      <c r="AA16" s="11"/>
      <c r="AB16" s="11"/>
      <c r="AC16" s="11"/>
      <c r="AD16" s="11"/>
      <c r="AE16" s="464"/>
      <c r="AF16" s="479" t="s">
        <v>4752</v>
      </c>
      <c r="AG16" s="964">
        <f t="shared" si="5"/>
        <v>0.30282274004838539</v>
      </c>
      <c r="AH16" s="964">
        <f t="shared" si="5"/>
        <v>0.68447675970763444</v>
      </c>
      <c r="AI16" s="964">
        <f t="shared" si="5"/>
        <v>2.4970366273836314E-5</v>
      </c>
      <c r="AJ16" s="965">
        <f t="shared" si="5"/>
        <v>5.128467892023898</v>
      </c>
      <c r="AK16" s="11"/>
      <c r="AL16" s="11"/>
      <c r="AM16" s="11"/>
      <c r="AN16" s="11"/>
      <c r="AO16" s="11"/>
      <c r="AP16" s="11"/>
      <c r="AQ16" s="11"/>
      <c r="AR16" s="11"/>
      <c r="AS16" s="11"/>
    </row>
    <row r="17" spans="1:45" ht="12.75" customHeight="1" x14ac:dyDescent="0.2">
      <c r="A17" s="17"/>
      <c r="B17" s="159" t="s">
        <v>152</v>
      </c>
      <c r="C17" s="295">
        <f>(M.aRP+M.cwRP)*Molweight</f>
        <v>21.911276833047808</v>
      </c>
      <c r="D17" s="446">
        <f t="shared" si="0"/>
        <v>8.4049902408676463E-10</v>
      </c>
      <c r="E17" s="296">
        <f>(M.aCP+M.cwCP)*Molweight</f>
        <v>7.6666732952935508</v>
      </c>
      <c r="F17" s="446">
        <f t="shared" si="1"/>
        <v>3.5811048185211817E-9</v>
      </c>
      <c r="G17" s="296">
        <f>(M.aMP+M.cwMP)*Molweight</f>
        <v>0.29281885598445917</v>
      </c>
      <c r="H17" s="446">
        <f t="shared" si="2"/>
        <v>1.590274229726244E-11</v>
      </c>
      <c r="I17" s="296">
        <f>(M.aAP+M.cwAP)*Molweight</f>
        <v>7.3497922188262574E-3</v>
      </c>
      <c r="J17" s="446">
        <f t="shared" si="3"/>
        <v>6.2158317606540548E-13</v>
      </c>
      <c r="K17" s="296">
        <f>(M.aTP+M.cwTP)*Molweight</f>
        <v>2.6540918450999396E-3</v>
      </c>
      <c r="L17" s="461">
        <f t="shared" si="4"/>
        <v>6.0539033217490836E-14</v>
      </c>
      <c r="M17" s="17"/>
      <c r="N17" s="156"/>
      <c r="O17" s="11"/>
      <c r="P17" s="472" t="s">
        <v>244</v>
      </c>
      <c r="Q17" s="968">
        <f t="shared" si="6"/>
        <v>1396380.7532274546</v>
      </c>
      <c r="R17" s="968">
        <f t="shared" si="6"/>
        <v>152674.94160263852</v>
      </c>
      <c r="S17" s="968">
        <f t="shared" si="6"/>
        <v>181667.95902838506</v>
      </c>
      <c r="T17" s="968">
        <f t="shared" si="6"/>
        <v>108955.1298198697</v>
      </c>
      <c r="U17" s="968">
        <f t="shared" si="6"/>
        <v>25976.028860473736</v>
      </c>
      <c r="V17" s="969">
        <f t="shared" si="6"/>
        <v>46736.800348041623</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246</v>
      </c>
      <c r="Q18" s="970">
        <f t="shared" si="6"/>
        <v>490410.00781085255</v>
      </c>
      <c r="R18" s="970">
        <f t="shared" si="6"/>
        <v>383.79215036550687</v>
      </c>
      <c r="S18" s="970">
        <f t="shared" si="6"/>
        <v>6.115792362146192</v>
      </c>
      <c r="T18" s="970">
        <f t="shared" si="6"/>
        <v>6.0022355522398625</v>
      </c>
      <c r="U18" s="970">
        <f t="shared" si="6"/>
        <v>4.9249190938222866E-2</v>
      </c>
      <c r="V18" s="971">
        <f t="shared" si="6"/>
        <v>6.4307618968106398E-2</v>
      </c>
      <c r="W18" s="11"/>
      <c r="X18" s="11"/>
      <c r="Y18" s="11"/>
      <c r="Z18" s="11"/>
      <c r="AA18" s="11"/>
      <c r="AB18" s="11"/>
      <c r="AC18" s="11"/>
      <c r="AD18" s="11"/>
      <c r="AE18" s="471" t="s">
        <v>272</v>
      </c>
      <c r="AF18" s="465" t="s">
        <v>4749</v>
      </c>
      <c r="AG18" s="966">
        <f>G12</f>
        <v>1.7872937137083668E-12</v>
      </c>
      <c r="AH18" s="966">
        <f>SUM(G52,G60)</f>
        <v>13478101150.464178</v>
      </c>
      <c r="AI18" s="966">
        <f>G68</f>
        <v>4193472339.4606152</v>
      </c>
      <c r="AJ18" s="967">
        <f>G92</f>
        <v>741422024.70924795</v>
      </c>
      <c r="AK18" s="11"/>
      <c r="AL18" s="11"/>
      <c r="AM18" s="11"/>
      <c r="AN18" s="11"/>
      <c r="AO18" s="11"/>
      <c r="AP18" s="11"/>
      <c r="AQ18" s="11"/>
      <c r="AR18" s="11"/>
      <c r="AS18" s="11"/>
    </row>
    <row r="19" spans="1:45" ht="12.75" customHeight="1" x14ac:dyDescent="0.2">
      <c r="A19" s="17"/>
      <c r="B19" s="104" t="s">
        <v>157</v>
      </c>
      <c r="C19" s="295">
        <f>SUM(C20,C23:C25)</f>
        <v>1885666.1513064757</v>
      </c>
      <c r="D19" s="446">
        <f t="shared" ref="D19:D25" si="7">C19/$C$103</f>
        <v>7.2332642775801319E-5</v>
      </c>
      <c r="E19" s="295">
        <f>SUM(E20,E23:E25)</f>
        <v>165295.85755706334</v>
      </c>
      <c r="F19" s="446">
        <f t="shared" ref="F19:F25" si="8">E19/$E$103</f>
        <v>7.7209732198002247E-5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38.559002500769992</v>
      </c>
      <c r="AH19" s="685">
        <f>SUM(G55,G63)</f>
        <v>3.4283177777673798E-2</v>
      </c>
      <c r="AI19" s="335">
        <f>G71</f>
        <v>3.5776480837316561E-17</v>
      </c>
      <c r="AJ19" s="961">
        <f>G95</f>
        <v>2.6553665155046053E-3</v>
      </c>
      <c r="AK19" s="11"/>
      <c r="AL19" s="11"/>
      <c r="AM19" s="11"/>
      <c r="AN19" s="11"/>
      <c r="AO19" s="11"/>
      <c r="AP19" s="11"/>
      <c r="AQ19" s="11"/>
      <c r="AR19" s="11"/>
      <c r="AS19" s="11"/>
    </row>
    <row r="20" spans="1:45" ht="12.75" customHeight="1" x14ac:dyDescent="0.2">
      <c r="A20" s="17"/>
      <c r="B20" s="443" t="s">
        <v>140</v>
      </c>
      <c r="C20" s="295">
        <f>M.w0RD*Molweight</f>
        <v>1881838.8066155233</v>
      </c>
      <c r="D20" s="446">
        <f t="shared" si="7"/>
        <v>7.218582889990992E-5</v>
      </c>
      <c r="E20" s="295">
        <f>M.w0CD*Molweight</f>
        <v>163330.57926433985</v>
      </c>
      <c r="F20" s="446">
        <f t="shared" si="8"/>
        <v>7.6291750265978662E-5</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98853.005599950135</v>
      </c>
      <c r="AH20" s="685">
        <f>SUM(G56,G64)</f>
        <v>5667.9430214742115</v>
      </c>
      <c r="AI20" s="335">
        <f>G72</f>
        <v>1.6248026175937289E-4</v>
      </c>
      <c r="AJ20" s="961">
        <f>G96</f>
        <v>4434.1810359651017</v>
      </c>
      <c r="AK20" s="11"/>
      <c r="AL20" s="11"/>
      <c r="AM20" s="11"/>
      <c r="AN20" s="11"/>
      <c r="AO20" s="11"/>
      <c r="AP20" s="11"/>
      <c r="AQ20" s="11"/>
      <c r="AR20" s="11"/>
      <c r="AS20" s="11"/>
    </row>
    <row r="21" spans="1:45" ht="12.75" customHeight="1" x14ac:dyDescent="0.2">
      <c r="A21" s="17"/>
      <c r="B21" s="159" t="s">
        <v>161</v>
      </c>
      <c r="C21" s="295">
        <f>FRwD.w0R*C20</f>
        <v>1796127.5976554069</v>
      </c>
      <c r="D21" s="446">
        <f t="shared" si="7"/>
        <v>6.8898015595683873E-5</v>
      </c>
      <c r="E21" s="295">
        <f>FRw.w0C*E20</f>
        <v>155891.43975903851</v>
      </c>
      <c r="F21" s="446">
        <f t="shared" si="8"/>
        <v>7.2816926531877455E-5</v>
      </c>
      <c r="G21" s="296"/>
      <c r="H21" s="446"/>
      <c r="I21" s="296"/>
      <c r="J21" s="446"/>
      <c r="K21" s="296"/>
      <c r="L21" s="461"/>
      <c r="M21" s="17"/>
      <c r="N21" s="156"/>
      <c r="O21" s="11"/>
      <c r="P21" s="464" t="s">
        <v>4754</v>
      </c>
      <c r="Q21" s="964">
        <f>$C$103</f>
        <v>26069366180.234741</v>
      </c>
      <c r="R21" s="964">
        <f>$E$103</f>
        <v>2140868163.2668617</v>
      </c>
      <c r="S21" s="964">
        <f>SUM(T21:V21)</f>
        <v>74078416085.167511</v>
      </c>
      <c r="T21" s="964">
        <f>$G$103</f>
        <v>18413104514.362038</v>
      </c>
      <c r="U21" s="964">
        <f>$I$103</f>
        <v>11824310087.268003</v>
      </c>
      <c r="V21" s="965">
        <f>$K$103</f>
        <v>43841001483.53746</v>
      </c>
      <c r="W21" s="410">
        <v>2</v>
      </c>
      <c r="X21" s="410" t="s">
        <v>4755</v>
      </c>
      <c r="Y21" s="11"/>
      <c r="Z21" s="11"/>
      <c r="AA21" s="11"/>
      <c r="AB21" s="11"/>
      <c r="AC21" s="11"/>
      <c r="AD21" s="11"/>
      <c r="AE21" s="467"/>
      <c r="AF21" s="410" t="s">
        <v>4752</v>
      </c>
      <c r="AG21" s="685">
        <f>G17</f>
        <v>0.29281885598445917</v>
      </c>
      <c r="AH21" s="685">
        <f>SUM(G57,G65)</f>
        <v>0.66196314204734819</v>
      </c>
      <c r="AI21" s="335">
        <f>G73</f>
        <v>2.4154696542862233E-5</v>
      </c>
      <c r="AJ21" s="961">
        <f>G97</f>
        <v>5.047429399511512</v>
      </c>
      <c r="AK21" s="410">
        <v>6</v>
      </c>
      <c r="AL21" s="410" t="s">
        <v>4756</v>
      </c>
      <c r="AM21" s="11"/>
      <c r="AN21" s="11"/>
      <c r="AO21" s="11"/>
      <c r="AP21" s="11"/>
      <c r="AQ21" s="11"/>
      <c r="AR21" s="11"/>
      <c r="AS21" s="11"/>
    </row>
    <row r="22" spans="1:45" ht="12.75" customHeight="1" x14ac:dyDescent="0.2">
      <c r="A22" s="17"/>
      <c r="B22" s="159" t="s">
        <v>163</v>
      </c>
      <c r="C22" s="295">
        <f>(1-FRwD.w0R)*C20</f>
        <v>85711.208960116288</v>
      </c>
      <c r="D22" s="446">
        <f t="shared" si="7"/>
        <v>3.2878133042260448E-6</v>
      </c>
      <c r="E22" s="295">
        <f>(1-FRw.w0C)*E20</f>
        <v>7439.1395053013403</v>
      </c>
      <c r="F22" s="446">
        <f t="shared" si="8"/>
        <v>3.4748237341012032E-6</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2">
      <c r="A23" s="17"/>
      <c r="B23" s="159" t="s">
        <v>147</v>
      </c>
      <c r="C23" s="295">
        <f>M.w0RS*Molweight</f>
        <v>0.20211887180655064</v>
      </c>
      <c r="D23" s="446">
        <f t="shared" si="7"/>
        <v>7.7531179856529473E-12</v>
      </c>
      <c r="E23" s="295">
        <f>M.w0CS*Molweight</f>
        <v>2.0276722699537262E-2</v>
      </c>
      <c r="F23" s="446">
        <f t="shared" si="8"/>
        <v>9.4712617280439919E-12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7.784082476533806E-14</v>
      </c>
      <c r="AH23" s="685">
        <f>SUM(I52,I60)</f>
        <v>8931672739.1141014</v>
      </c>
      <c r="AI23" s="685">
        <f>I68</f>
        <v>2759475820.8908086</v>
      </c>
      <c r="AJ23" s="961">
        <f>I92</f>
        <v>133135550.84346941</v>
      </c>
      <c r="AK23" s="11"/>
      <c r="AL23"/>
      <c r="AM23" s="11"/>
      <c r="AN23" s="11"/>
      <c r="AO23" s="11"/>
      <c r="AP23" s="11"/>
      <c r="AQ23" s="11"/>
      <c r="AR23" s="410" t="s">
        <v>4758</v>
      </c>
      <c r="AS23" s="410" t="s">
        <v>4759</v>
      </c>
    </row>
    <row r="24" spans="1:45" ht="12.75" customHeight="1" x14ac:dyDescent="0.2">
      <c r="A24" s="17"/>
      <c r="B24" s="159" t="s">
        <v>150</v>
      </c>
      <c r="C24" s="295">
        <f>M.w0RA*Molweight</f>
        <v>3820.4969736415601</v>
      </c>
      <c r="D24" s="446">
        <f t="shared" si="7"/>
        <v>1.4655120294171873E-7</v>
      </c>
      <c r="E24" s="295">
        <f>M.w0CA*Molweight</f>
        <v>1964.2612461343579</v>
      </c>
      <c r="F24" s="446">
        <f t="shared" si="8"/>
        <v>9.1750686933332212E-7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0.34113600913169323</v>
      </c>
      <c r="AH24" s="685">
        <f>SUM(I55,I63)</f>
        <v>3.6116623271206837E-4</v>
      </c>
      <c r="AI24" s="685">
        <f>I71</f>
        <v>4.7060270387092892E-19</v>
      </c>
      <c r="AJ24" s="961">
        <f>I95</f>
        <v>1.7850272910450878E-5</v>
      </c>
      <c r="AK24" s="11"/>
      <c r="AL24" s="11"/>
      <c r="AM24" s="11"/>
      <c r="AN24" s="11"/>
      <c r="AO24" s="11"/>
      <c r="AP24" s="11"/>
      <c r="AQ24" s="11"/>
      <c r="AR24" s="11"/>
      <c r="AS24"/>
    </row>
    <row r="25" spans="1:45" ht="12.75" customHeight="1" x14ac:dyDescent="0.2">
      <c r="A25" s="17"/>
      <c r="B25" s="159" t="s">
        <v>152</v>
      </c>
      <c r="C25" s="295">
        <f>M.w0RP*Molweight</f>
        <v>6.645598439271823</v>
      </c>
      <c r="D25" s="446">
        <f t="shared" si="7"/>
        <v>2.5491983170309602E-10</v>
      </c>
      <c r="E25" s="295">
        <f>M.w0CP*Molweight</f>
        <v>0.99676986644767229</v>
      </c>
      <c r="F25" s="446">
        <f t="shared" si="8"/>
        <v>4.6559142853834094E-10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23758.723130855171</v>
      </c>
      <c r="AH25" s="685">
        <f>SUM(I56,I64)</f>
        <v>1507.7483426631002</v>
      </c>
      <c r="AI25" s="685">
        <f>I72</f>
        <v>4.6625495259286532E-5</v>
      </c>
      <c r="AJ25" s="961">
        <f>I96</f>
        <v>709.55734032996668</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7.3497922188262574E-3</v>
      </c>
      <c r="AH26" s="685">
        <f>SUM(I57,I65)</f>
        <v>8.633053647392315E-3</v>
      </c>
      <c r="AI26" s="685">
        <f>I73</f>
        <v>3.2611670809061197E-7</v>
      </c>
      <c r="AJ26" s="961">
        <f>I97</f>
        <v>3.3266018955296205E-2</v>
      </c>
      <c r="AK26" s="11"/>
      <c r="AL26" s="11"/>
      <c r="AM26" s="11"/>
      <c r="AN26" s="11"/>
      <c r="AO26" s="11"/>
      <c r="AP26" s="11"/>
      <c r="AQ26" s="11"/>
      <c r="AR26" s="11"/>
      <c r="AS26" s="11"/>
    </row>
    <row r="27" spans="1:45" ht="12.75" customHeight="1" x14ac:dyDescent="0.2">
      <c r="A27" s="17"/>
      <c r="B27" s="104" t="s">
        <v>174</v>
      </c>
      <c r="C27" s="295">
        <f>SUM(C28,C31:C33)</f>
        <v>8707650.5229822248</v>
      </c>
      <c r="D27" s="446">
        <f t="shared" ref="D27:D33" si="9">C27/$C$103</f>
        <v>3.3401849752619559E-4</v>
      </c>
      <c r="E27" s="295">
        <f>SUM(E28,E31:E33)</f>
        <v>761644.08686654421</v>
      </c>
      <c r="F27" s="446">
        <f t="shared" ref="F27:F33" si="10">E27/$E$103</f>
        <v>3.557641240758665E-4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2">
      <c r="A28" s="17"/>
      <c r="B28" s="443" t="s">
        <v>140</v>
      </c>
      <c r="C28" s="295">
        <f>M.sd0RD*Molweight</f>
        <v>8707622.1373652499</v>
      </c>
      <c r="D28" s="446">
        <f t="shared" si="9"/>
        <v>3.3401740867667088E-4</v>
      </c>
      <c r="E28" s="295">
        <f>M.sd0CD*Molweight</f>
        <v>761634.76743643754</v>
      </c>
      <c r="F28" s="446">
        <f t="shared" si="10"/>
        <v>3.5575977096797011E-4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3.9880035552856886E-11</v>
      </c>
      <c r="AH28" s="685">
        <f>SUM(K52,K60)</f>
        <v>33279753611.620419</v>
      </c>
      <c r="AI28" s="685">
        <f>K68</f>
        <v>10377387050.042368</v>
      </c>
      <c r="AJ28" s="961">
        <f>K92</f>
        <v>183814084.45293042</v>
      </c>
      <c r="AK28" s="11"/>
      <c r="AL28" s="11"/>
      <c r="AM28" s="11"/>
      <c r="AN28" s="11"/>
      <c r="AO28" s="11"/>
      <c r="AP28" s="11"/>
      <c r="AQ28" s="11"/>
      <c r="AR28" s="11"/>
      <c r="AS28" s="11"/>
    </row>
    <row r="29" spans="1:45" ht="12.75" customHeight="1" x14ac:dyDescent="0.2">
      <c r="A29" s="17"/>
      <c r="B29" s="159" t="s">
        <v>178</v>
      </c>
      <c r="C29" s="295">
        <f>C28*FRACw.sdR</f>
        <v>6966097.7098922003</v>
      </c>
      <c r="D29" s="446">
        <f t="shared" si="9"/>
        <v>2.6721392694133671E-4</v>
      </c>
      <c r="E29" s="295">
        <f>E28*FRACw.sdC</f>
        <v>609307.81394915003</v>
      </c>
      <c r="F29" s="446">
        <f t="shared" si="10"/>
        <v>2.8460781677437609E-4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0.55636457232859671</v>
      </c>
      <c r="AH29" s="335">
        <f>SUM(K55,K63)</f>
        <v>7.0403156767958621E-4</v>
      </c>
      <c r="AI29" s="335">
        <f>K71</f>
        <v>6.1856421958744799E-19</v>
      </c>
      <c r="AJ29" s="468">
        <f>K95</f>
        <v>2.3976334242405372E-5</v>
      </c>
      <c r="AK29" s="11"/>
      <c r="AL29" s="11"/>
      <c r="AM29" s="11"/>
      <c r="AN29" s="11"/>
      <c r="AO29" s="11"/>
      <c r="AP29" s="11"/>
      <c r="AQ29" s="11"/>
      <c r="AR29" s="11"/>
      <c r="AS29" s="11"/>
    </row>
    <row r="30" spans="1:45" ht="12.75" customHeight="1" x14ac:dyDescent="0.2">
      <c r="A30" s="17"/>
      <c r="B30" s="159" t="s">
        <v>179</v>
      </c>
      <c r="C30" s="295">
        <f>C28*FRACs.sdR</f>
        <v>1741524.4274730496</v>
      </c>
      <c r="D30" s="446">
        <f t="shared" si="9"/>
        <v>6.6803481735334163E-5</v>
      </c>
      <c r="E30" s="295">
        <f>E28*FRACs.sdC</f>
        <v>152326.95348728748</v>
      </c>
      <c r="F30" s="446">
        <f t="shared" si="10"/>
        <v>7.1151954193594008E-5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41927.03924675053</v>
      </c>
      <c r="AH30" s="335">
        <f>SUM(K56,K64)</f>
        <v>3548.0572843744021</v>
      </c>
      <c r="AI30" s="335">
        <f>K72</f>
        <v>9.2996447195264166E-5</v>
      </c>
      <c r="AJ30" s="468">
        <f>K96</f>
        <v>1261.703723920238</v>
      </c>
      <c r="AK30" s="11"/>
      <c r="AL30" s="11"/>
      <c r="AM30" s="11"/>
      <c r="AN30" s="11"/>
      <c r="AO30" s="11"/>
      <c r="AP30" s="11"/>
      <c r="AQ30" s="11"/>
      <c r="AR30" s="11"/>
      <c r="AS30" s="11"/>
    </row>
    <row r="31" spans="1:45" ht="12.75" customHeight="1" x14ac:dyDescent="0.2">
      <c r="A31" s="17"/>
      <c r="B31" s="159" t="s">
        <v>147</v>
      </c>
      <c r="C31" s="295">
        <f>M.sd0RS*Molweight</f>
        <v>1.3189736069516908E-10</v>
      </c>
      <c r="D31" s="446">
        <f t="shared" si="9"/>
        <v>5.0594770806192809E-21</v>
      </c>
      <c r="E31" s="295">
        <f>M.sd0CS*Molweight</f>
        <v>1.3232046027425181E-11</v>
      </c>
      <c r="F31" s="446">
        <f t="shared" si="10"/>
        <v>6.1806916719400956E-21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2.6540918450999396E-3</v>
      </c>
      <c r="AH31" s="469">
        <f>SUM(K57,K65)</f>
        <v>1.3880564012893977E-2</v>
      </c>
      <c r="AI31" s="469">
        <f>K73</f>
        <v>4.8955302288346774E-7</v>
      </c>
      <c r="AJ31" s="470">
        <f>K97</f>
        <v>4.7772473557089593E-2</v>
      </c>
      <c r="AK31" s="11"/>
      <c r="AL31" s="11"/>
      <c r="AM31" s="11"/>
      <c r="AN31" s="11"/>
      <c r="AO31" s="11"/>
      <c r="AP31" s="11"/>
      <c r="AQ31" s="11"/>
      <c r="AR31" s="11"/>
      <c r="AS31" s="11"/>
    </row>
    <row r="32" spans="1:45" ht="12.75" customHeight="1" x14ac:dyDescent="0.2">
      <c r="A32" s="17"/>
      <c r="B32" s="159" t="s">
        <v>150</v>
      </c>
      <c r="C32" s="295">
        <f>M.sd0RA*Molweight</f>
        <v>13.896614554470014</v>
      </c>
      <c r="D32" s="446">
        <f t="shared" si="9"/>
        <v>5.3306300039646316E-10</v>
      </c>
      <c r="E32" s="295">
        <f>M.sd0CA*Molweight</f>
        <v>7.1458918530906059</v>
      </c>
      <c r="F32" s="446">
        <f t="shared" si="10"/>
        <v>3.3378476898765775E-9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2">
      <c r="A33" s="17"/>
      <c r="B33" s="159" t="s">
        <v>152</v>
      </c>
      <c r="C33" s="295">
        <f>M.sd0RP*Molweight</f>
        <v>14.489002419950253</v>
      </c>
      <c r="D33" s="446">
        <f t="shared" si="9"/>
        <v>5.5578652429745372E-10</v>
      </c>
      <c r="E33" s="295">
        <f>M.sd0CP*Molweight</f>
        <v>2.1735382535322478</v>
      </c>
      <c r="F33" s="446">
        <f t="shared" si="10"/>
        <v>1.0152602065021758E-9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2">
      <c r="A35" s="17"/>
      <c r="B35" s="104" t="s">
        <v>204</v>
      </c>
      <c r="C35" s="295">
        <f>SUM(C36,C39:C41)</f>
        <v>2055676.0138778354</v>
      </c>
      <c r="D35" s="446">
        <f t="shared" ref="D35:D41" si="11">C35/$C$103</f>
        <v>7.8854084892804443E-5</v>
      </c>
      <c r="E35" s="295">
        <f>SUM(E36,E39:E41)</f>
        <v>57102.83429945205</v>
      </c>
      <c r="F35" s="446">
        <f t="shared" ref="F35:F41" si="12">E35/$E$103</f>
        <v>2.6672746729212825E-5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6088.0683598167625</v>
      </c>
      <c r="AH35" s="968">
        <f t="shared" si="13"/>
        <v>224.09794798563408</v>
      </c>
      <c r="AI35" s="968">
        <f t="shared" si="13"/>
        <v>4.226789715355598E-6</v>
      </c>
      <c r="AJ35" s="969">
        <f t="shared" si="13"/>
        <v>17.580102109050454</v>
      </c>
      <c r="AK35" s="11"/>
      <c r="AL35" s="11"/>
      <c r="AM35" s="11"/>
      <c r="AN35" s="11"/>
      <c r="AO35" s="11"/>
      <c r="AP35" s="11"/>
      <c r="AQ35" s="11"/>
      <c r="AR35" s="11"/>
      <c r="AS35" s="11"/>
    </row>
    <row r="36" spans="1:45" ht="12.75" customHeight="1" x14ac:dyDescent="0.2">
      <c r="A36" s="17"/>
      <c r="B36" s="443" t="s">
        <v>140</v>
      </c>
      <c r="C36" s="295">
        <f>M.w1RD*Molweight</f>
        <v>864572.01622565172</v>
      </c>
      <c r="D36" s="446">
        <f t="shared" si="11"/>
        <v>3.3164289850711923E-5</v>
      </c>
      <c r="E36" s="295">
        <f>M.w1CD*Molweight</f>
        <v>43833.012002147967</v>
      </c>
      <c r="F36" s="446">
        <f t="shared" si="12"/>
        <v>2.0474409753125995E-5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27342.755103268799</v>
      </c>
      <c r="AH36" s="968">
        <f t="shared" si="13"/>
        <v>1193573.608516034</v>
      </c>
      <c r="AI36" s="968">
        <f t="shared" si="13"/>
        <v>119909.55311835518</v>
      </c>
      <c r="AJ36" s="969">
        <f t="shared" si="13"/>
        <v>55554.836489796617</v>
      </c>
      <c r="AK36" s="11"/>
      <c r="AL36" s="11"/>
      <c r="AM36" s="11"/>
      <c r="AN36" s="11"/>
      <c r="AO36" s="11"/>
      <c r="AP36" s="11"/>
      <c r="AQ36" s="11"/>
      <c r="AR36" s="11"/>
      <c r="AS36" s="11"/>
    </row>
    <row r="37" spans="1:45" ht="12.75" customHeight="1" x14ac:dyDescent="0.2">
      <c r="A37" s="17"/>
      <c r="B37" s="159" t="s">
        <v>161</v>
      </c>
      <c r="C37" s="295">
        <f>FRwD.w1R*C36</f>
        <v>356492.20121294219</v>
      </c>
      <c r="D37" s="446">
        <f t="shared" si="11"/>
        <v>1.3674755218376858E-5</v>
      </c>
      <c r="E37" s="295">
        <f>FRw.w1C*E36</f>
        <v>18073.829179269494</v>
      </c>
      <c r="F37" s="446">
        <f t="shared" si="12"/>
        <v>8.4422896698551036E-6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21.911276833047808</v>
      </c>
      <c r="AH37" s="970">
        <f t="shared" si="13"/>
        <v>7716.663390196034</v>
      </c>
      <c r="AI37" s="970">
        <f t="shared" si="13"/>
        <v>466176.0442401474</v>
      </c>
      <c r="AJ37" s="971">
        <f t="shared" si="13"/>
        <v>16495.388903676085</v>
      </c>
      <c r="AK37" s="11"/>
      <c r="AL37" s="11"/>
      <c r="AM37" s="11"/>
      <c r="AN37" s="11"/>
      <c r="AO37" s="11"/>
      <c r="AP37" s="11"/>
      <c r="AQ37" s="11"/>
      <c r="AR37" s="11"/>
      <c r="AS37" s="11"/>
    </row>
    <row r="38" spans="1:45" ht="12.75" customHeight="1" x14ac:dyDescent="0.2">
      <c r="A38" s="17"/>
      <c r="B38" s="159" t="s">
        <v>163</v>
      </c>
      <c r="C38" s="295">
        <f>(1-FRwD.w1R)*C36</f>
        <v>508079.81501270947</v>
      </c>
      <c r="D38" s="446">
        <f t="shared" si="11"/>
        <v>1.9489534632335066E-5</v>
      </c>
      <c r="E38" s="295">
        <f>(1-FRw.w1C)*E36</f>
        <v>25759.182822878469</v>
      </c>
      <c r="F38" s="446">
        <f t="shared" si="12"/>
        <v>1.203212008327089E-5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2">
      <c r="A39" s="17"/>
      <c r="B39" s="159" t="s">
        <v>147</v>
      </c>
      <c r="C39" s="295">
        <f>M.w1RS*Molweight</f>
        <v>223.84334269431812</v>
      </c>
      <c r="D39" s="446">
        <f t="shared" si="11"/>
        <v>8.5864512833469483E-9</v>
      </c>
      <c r="E39" s="295">
        <f>M.w1CS*Molweight</f>
        <v>8.2994512148115054E-2</v>
      </c>
      <c r="F39" s="446">
        <f t="shared" si="12"/>
        <v>3.8766755268792185E-11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1256.9291759152388</v>
      </c>
      <c r="AH39" s="973">
        <f t="shared" si="14"/>
        <v>1.2557658801242957</v>
      </c>
      <c r="AI39" s="973">
        <f t="shared" si="14"/>
        <v>1.7996319787907408E-9</v>
      </c>
      <c r="AJ39" s="974">
        <f t="shared" si="14"/>
        <v>0.11799381996831002</v>
      </c>
      <c r="AK39" s="11"/>
      <c r="AL39" s="11"/>
      <c r="AM39" s="11"/>
      <c r="AN39" s="11"/>
      <c r="AO39" s="11"/>
      <c r="AP39" s="11"/>
      <c r="AQ39" s="11"/>
      <c r="AR39" s="11"/>
      <c r="AS39" s="11"/>
    </row>
    <row r="40" spans="1:45" ht="12.75" customHeight="1" x14ac:dyDescent="0.2">
      <c r="A40" s="17"/>
      <c r="B40" s="159" t="s">
        <v>150</v>
      </c>
      <c r="C40" s="295">
        <f>M.w1RA*Molweight</f>
        <v>1183205.1299714774</v>
      </c>
      <c r="D40" s="446">
        <f t="shared" si="11"/>
        <v>4.5386800806402393E-5</v>
      </c>
      <c r="E40" s="295">
        <f>M.w1CA*Molweight</f>
        <v>13266.437787656305</v>
      </c>
      <c r="F40" s="446">
        <f t="shared" si="12"/>
        <v>6.1967560708700339E-6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122259.89672923597</v>
      </c>
      <c r="AH40" s="968">
        <f t="shared" si="14"/>
        <v>23488.119165694701</v>
      </c>
      <c r="AI40" s="968">
        <f t="shared" si="14"/>
        <v>1351.5910287270297</v>
      </c>
      <c r="AJ40" s="969">
        <f t="shared" si="14"/>
        <v>5575.3346789808638</v>
      </c>
      <c r="AK40" s="11"/>
      <c r="AL40" s="11"/>
      <c r="AM40" s="11"/>
      <c r="AN40" s="11"/>
      <c r="AO40" s="11"/>
      <c r="AP40" s="11"/>
      <c r="AQ40" s="11"/>
      <c r="AR40" s="11"/>
      <c r="AS40" s="11"/>
    </row>
    <row r="41" spans="1:45" ht="12.75" customHeight="1" x14ac:dyDescent="0.2">
      <c r="A41" s="17"/>
      <c r="B41" s="159" t="s">
        <v>152</v>
      </c>
      <c r="C41" s="295">
        <f>M.w1RP*Molweight</f>
        <v>7675.0243380118891</v>
      </c>
      <c r="D41" s="446">
        <f t="shared" si="11"/>
        <v>2.9440778440677763E-7</v>
      </c>
      <c r="E41" s="295">
        <f>M.w1CP*Molweight</f>
        <v>3.3015151356197534</v>
      </c>
      <c r="F41" s="446">
        <f t="shared" si="12"/>
        <v>1.5421384615210497E-9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7.6666732952935508</v>
      </c>
      <c r="AH41" s="970">
        <f t="shared" si="14"/>
        <v>25.41512758451335</v>
      </c>
      <c r="AI41" s="970">
        <f t="shared" si="14"/>
        <v>202.95839381183973</v>
      </c>
      <c r="AJ41" s="971">
        <f t="shared" si="14"/>
        <v>147.75195567386024</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2">
      <c r="A43" s="17"/>
      <c r="B43" s="104" t="s">
        <v>209</v>
      </c>
      <c r="C43" s="295">
        <f>SUM(C44,C47:C49)</f>
        <v>172461817.13056991</v>
      </c>
      <c r="D43" s="446">
        <f t="shared" ref="D43:D49" si="15">C43/$C$103</f>
        <v>6.615497129398064E-3</v>
      </c>
      <c r="E43" s="295">
        <f>SUM(E44,E47:E49)</f>
        <v>8589235.0862156916</v>
      </c>
      <c r="F43" s="446">
        <f t="shared" ref="F43:F49" si="16">E43/$E$103</f>
        <v>4.0120336383109795E-3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39.456503082230284</v>
      </c>
      <c r="AH43" s="973">
        <f t="shared" si="17"/>
        <v>3.5348375578065451E-2</v>
      </c>
      <c r="AI43" s="973">
        <f t="shared" si="17"/>
        <v>3.6865647760774935E-17</v>
      </c>
      <c r="AJ43" s="974">
        <f t="shared" si="17"/>
        <v>2.6971931226574615E-3</v>
      </c>
      <c r="AK43" s="685"/>
      <c r="AL43"/>
      <c r="AM43" s="11"/>
      <c r="AN43" s="11"/>
      <c r="AO43" s="11"/>
      <c r="AP43" s="11"/>
      <c r="AQ43" s="11"/>
      <c r="AR43" s="410" t="s">
        <v>4762</v>
      </c>
      <c r="AS43" s="410" t="s">
        <v>4764</v>
      </c>
    </row>
    <row r="44" spans="1:45" ht="12.75" customHeight="1" x14ac:dyDescent="0.2">
      <c r="A44" s="17"/>
      <c r="B44" s="443" t="s">
        <v>140</v>
      </c>
      <c r="C44" s="295">
        <f>M.sd1RD*Molweight</f>
        <v>171875771.35389617</v>
      </c>
      <c r="D44" s="446">
        <f t="shared" si="15"/>
        <v>6.5930168829424346E-3</v>
      </c>
      <c r="E44" s="295">
        <f>M.sd1CD*Molweight</f>
        <v>8587690.2907010708</v>
      </c>
      <c r="F44" s="446">
        <f t="shared" si="16"/>
        <v>4.0113120639790681E-3</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164538.76797755584</v>
      </c>
      <c r="AH44" s="968">
        <f t="shared" si="17"/>
        <v>10723.748648511715</v>
      </c>
      <c r="AI44" s="968">
        <f t="shared" si="17"/>
        <v>3.0210220421392361E-4</v>
      </c>
      <c r="AJ44" s="969">
        <f t="shared" si="17"/>
        <v>6405.4421002153067</v>
      </c>
      <c r="AK44" s="11"/>
      <c r="AL44"/>
      <c r="AM44" s="11"/>
      <c r="AN44" s="11"/>
      <c r="AO44" s="11"/>
      <c r="AP44" s="11"/>
      <c r="AQ44" s="11"/>
      <c r="AR44" s="11"/>
      <c r="AS44"/>
    </row>
    <row r="45" spans="1:45" ht="12.75" customHeight="1" x14ac:dyDescent="0.2">
      <c r="A45" s="17"/>
      <c r="B45" s="159" t="s">
        <v>178</v>
      </c>
      <c r="C45" s="295">
        <f>C44*FRACw.sdR</f>
        <v>137500617.08311695</v>
      </c>
      <c r="D45" s="446">
        <f t="shared" si="15"/>
        <v>5.2744135063539479E-3</v>
      </c>
      <c r="E45" s="295">
        <f>E44*FRACw.sdC</f>
        <v>6870152.2325608572</v>
      </c>
      <c r="F45" s="446">
        <f t="shared" si="16"/>
        <v>3.2090496511832543E-3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0.30282274004838539</v>
      </c>
      <c r="AH45" s="970">
        <f t="shared" si="17"/>
        <v>0.68447675970763444</v>
      </c>
      <c r="AI45" s="970">
        <f t="shared" si="17"/>
        <v>2.4970366273836314E-5</v>
      </c>
      <c r="AJ45" s="971">
        <f t="shared" si="17"/>
        <v>5.128467892023898</v>
      </c>
      <c r="AK45" s="11"/>
      <c r="AL45" s="11"/>
      <c r="AM45" s="11"/>
      <c r="AN45" s="11"/>
      <c r="AO45" s="11"/>
      <c r="AP45" s="11"/>
      <c r="AQ45" s="11"/>
      <c r="AR45" s="11"/>
      <c r="AS45"/>
    </row>
    <row r="46" spans="1:45" ht="12.75" customHeight="1" x14ac:dyDescent="0.2">
      <c r="A46" s="17"/>
      <c r="B46" s="159" t="s">
        <v>179</v>
      </c>
      <c r="C46" s="295">
        <f>C44*FRACs.sdR</f>
        <v>34375154.27077923</v>
      </c>
      <c r="D46" s="446">
        <f t="shared" si="15"/>
        <v>1.3186033765884867E-3</v>
      </c>
      <c r="E46" s="295">
        <f>E44*FRACs.sdC</f>
        <v>1717538.0581402138</v>
      </c>
      <c r="F46" s="446">
        <f t="shared" si="16"/>
        <v>8.0226241279581336E-4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147</v>
      </c>
      <c r="C47" s="295">
        <f>M.sd1RS*Molweight</f>
        <v>4.2264580235586224E-6</v>
      </c>
      <c r="D47" s="446">
        <f t="shared" si="15"/>
        <v>1.6212354356213831E-16</v>
      </c>
      <c r="E47" s="295">
        <f>M.sd1CS*Molweight</f>
        <v>1.5670460312002756E-9</v>
      </c>
      <c r="F47" s="446">
        <f t="shared" si="16"/>
        <v>7.3196755320469565E-19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2">
      <c r="A48" s="17"/>
      <c r="B48" s="159" t="s">
        <v>150</v>
      </c>
      <c r="C48" s="295">
        <f>M.sd1RA*Molweight</f>
        <v>119892.93598988524</v>
      </c>
      <c r="D48" s="446">
        <f t="shared" si="15"/>
        <v>4.5989969668225229E-6</v>
      </c>
      <c r="E48" s="295">
        <f>M.sd1CA*Molweight</f>
        <v>1344.2735997389248</v>
      </c>
      <c r="F48" s="446">
        <f t="shared" si="16"/>
        <v>6.2791050042410276E-7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152</v>
      </c>
      <c r="C49" s="295">
        <f>M.sd1RP*Molweight</f>
        <v>466152.84067961731</v>
      </c>
      <c r="D49" s="446">
        <f t="shared" si="15"/>
        <v>1.7881249488644832E-5</v>
      </c>
      <c r="E49" s="295">
        <f>M.sd1CP*Molweight</f>
        <v>200.52191488142324</v>
      </c>
      <c r="F49" s="446">
        <f t="shared" si="16"/>
        <v>9.3663831487613171E-8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220</v>
      </c>
      <c r="C51" s="295">
        <f>SUM(C52,C55:C57)</f>
        <v>103925.26318223659</v>
      </c>
      <c r="D51" s="446">
        <f t="shared" ref="D51:D57" si="18">C51/$C$103</f>
        <v>3.9864898311578665E-6</v>
      </c>
      <c r="E51" s="295">
        <f>SUM(E52,E55:E57)</f>
        <v>79552505.197875857</v>
      </c>
      <c r="F51" s="446">
        <f t="shared" ref="F51:F57" si="19">E51/$E$103</f>
        <v>3.7158993049101433E-2</v>
      </c>
      <c r="G51" s="296">
        <f>SUM(G52,G55:G57)</f>
        <v>434768602.36094302</v>
      </c>
      <c r="H51" s="446">
        <f t="shared" ref="H51:H57" si="20">G51/$G$103</f>
        <v>2.3611911941401727E-2</v>
      </c>
      <c r="I51" s="296">
        <f>SUM(I52,I55:I57)</f>
        <v>348625799.73137939</v>
      </c>
      <c r="J51" s="446">
        <f t="shared" ref="J51:J57" si="21">I51/$I$103</f>
        <v>2.9483817420076563E-2</v>
      </c>
      <c r="K51" s="296">
        <f>SUM(K52,K55:K57)</f>
        <v>1002027103.9368832</v>
      </c>
      <c r="L51" s="461">
        <f t="shared" ref="L51:L57" si="22">K51/$K$103</f>
        <v>2.2855935540458627E-2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140</v>
      </c>
      <c r="C52" s="295">
        <f>M.w2RD*Molweight</f>
        <v>97342.235671157032</v>
      </c>
      <c r="D52" s="446">
        <f t="shared" si="18"/>
        <v>3.7339701701286437E-6</v>
      </c>
      <c r="E52" s="295">
        <f>M.w2CD*Molweight</f>
        <v>79544225.508406729</v>
      </c>
      <c r="F52" s="446">
        <f t="shared" si="19"/>
        <v>3.71551256042904E-2</v>
      </c>
      <c r="G52" s="296">
        <f>M.w2MD*Molweight</f>
        <v>434763051.07248425</v>
      </c>
      <c r="H52" s="446">
        <f t="shared" si="20"/>
        <v>2.3611610455660719E-2</v>
      </c>
      <c r="I52" s="296">
        <f>M.w2AD*Molweight</f>
        <v>348624325.64118779</v>
      </c>
      <c r="J52" s="446">
        <f t="shared" si="21"/>
        <v>2.9483692754013111E-2</v>
      </c>
      <c r="K52" s="296">
        <f>M.w2TD*Molweight</f>
        <v>1002023623.0153067</v>
      </c>
      <c r="L52" s="461">
        <f t="shared" si="22"/>
        <v>2.2855856141689012E-2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161</v>
      </c>
      <c r="C53" s="295">
        <f>FRwD.w2R*C52</f>
        <v>65984.894233508909</v>
      </c>
      <c r="D53" s="446">
        <f t="shared" si="18"/>
        <v>2.5311276759592762E-6</v>
      </c>
      <c r="E53" s="295">
        <f>FRw.w2C*E52</f>
        <v>53920246.138478816</v>
      </c>
      <c r="F53" s="446">
        <f t="shared" si="19"/>
        <v>2.5186159084265664E-2</v>
      </c>
      <c r="G53" s="296">
        <f>FRw.w2M*G52</f>
        <v>294710654.05328304</v>
      </c>
      <c r="H53" s="446">
        <f t="shared" si="20"/>
        <v>1.6005484236697384E-2</v>
      </c>
      <c r="I53" s="296">
        <f>FRw.w2A*I52</f>
        <v>236320227.24826655</v>
      </c>
      <c r="J53" s="446">
        <f t="shared" si="21"/>
        <v>1.9985963282773491E-2</v>
      </c>
      <c r="K53" s="296">
        <f>FRw.w2T*K52</f>
        <v>679236739.61531615</v>
      </c>
      <c r="L53" s="461">
        <f t="shared" si="22"/>
        <v>1.5493184841372142E-2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163</v>
      </c>
      <c r="C54" s="295">
        <f>(1-FRwD.w2R)*C52</f>
        <v>31357.341437648116</v>
      </c>
      <c r="D54" s="446">
        <f t="shared" si="18"/>
        <v>1.2028424941693676E-6</v>
      </c>
      <c r="E54" s="295">
        <f>(1-FRw.w2C)*E52</f>
        <v>25623979.369927909</v>
      </c>
      <c r="F54" s="446">
        <f t="shared" si="19"/>
        <v>1.1968966520024733E-2</v>
      </c>
      <c r="G54" s="296">
        <f>(1-FRw.w2M)*G52</f>
        <v>140052397.01920122</v>
      </c>
      <c r="H54" s="446">
        <f t="shared" si="20"/>
        <v>7.606126218963334E-3</v>
      </c>
      <c r="I54" s="296">
        <f>(1-FRw.w2A)*I52</f>
        <v>112304098.39292125</v>
      </c>
      <c r="J54" s="446">
        <f t="shared" si="21"/>
        <v>9.4977294712396219E-3</v>
      </c>
      <c r="K54" s="296">
        <f>(1-FRw.w2T)*K52</f>
        <v>322786883.39999062</v>
      </c>
      <c r="L54" s="461">
        <f t="shared" si="22"/>
        <v>7.3626713003168706E-3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147</v>
      </c>
      <c r="C55" s="295">
        <f>M.w2RS*Molweight</f>
        <v>5.2486419509383833E-2</v>
      </c>
      <c r="D55" s="446">
        <f t="shared" si="18"/>
        <v>2.0133370004667761E-12</v>
      </c>
      <c r="E55" s="295">
        <f>M.w2CS*Molweight</f>
        <v>1.1524946452766434</v>
      </c>
      <c r="F55" s="446">
        <f t="shared" si="19"/>
        <v>5.3833050771234417E-10</v>
      </c>
      <c r="G55" s="296">
        <f>M.w2MS*Molweight</f>
        <v>3.4280358210597627E-2</v>
      </c>
      <c r="H55" s="446">
        <f t="shared" si="20"/>
        <v>1.8617370136502124E-12</v>
      </c>
      <c r="I55" s="296">
        <f>M.w2AS*Molweight</f>
        <v>3.6113147491108186E-4</v>
      </c>
      <c r="J55" s="446">
        <f t="shared" si="21"/>
        <v>3.054144150870463E-14</v>
      </c>
      <c r="K55" s="296">
        <f>M.w2TS*Molweight</f>
        <v>7.0398102543726472E-4</v>
      </c>
      <c r="L55" s="461">
        <f t="shared" si="22"/>
        <v>1.6057594526019517E-14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150</v>
      </c>
      <c r="C56" s="295">
        <f>M.w2RA*Molweight</f>
        <v>6547.9815709151862</v>
      </c>
      <c r="D56" s="446">
        <f t="shared" si="18"/>
        <v>2.5117532684318698E-7</v>
      </c>
      <c r="E56" s="295">
        <f>M.w2CA*Molweight</f>
        <v>8257.4201319040385</v>
      </c>
      <c r="F56" s="446">
        <f t="shared" si="19"/>
        <v>3.8570427986110141E-6</v>
      </c>
      <c r="G56" s="296">
        <f>M.w2MA*Molweight</f>
        <v>5550.6213133158917</v>
      </c>
      <c r="H56" s="446">
        <f t="shared" si="20"/>
        <v>3.0144950890744482E-7</v>
      </c>
      <c r="I56" s="296">
        <f>M.w2AA*Molweight</f>
        <v>1474.081590228717</v>
      </c>
      <c r="J56" s="446">
        <f t="shared" si="21"/>
        <v>1.2466533601955819E-7</v>
      </c>
      <c r="K56" s="296">
        <f>M.w2TA*Molweight</f>
        <v>3480.9075817617454</v>
      </c>
      <c r="L56" s="461">
        <f t="shared" si="22"/>
        <v>7.9398450399652603E-8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152</v>
      </c>
      <c r="C57" s="295">
        <f>M.w2RP*Molweight</f>
        <v>34.993453744873172</v>
      </c>
      <c r="D57" s="446">
        <f t="shared" si="18"/>
        <v>1.3423208490356199E-9</v>
      </c>
      <c r="E57" s="295">
        <f>M.w2CP*Molweight</f>
        <v>21.116842582445923</v>
      </c>
      <c r="F57" s="446">
        <f t="shared" si="19"/>
        <v>9.8636819140804249E-9</v>
      </c>
      <c r="G57" s="296">
        <f>M.w2MP*Molweight</f>
        <v>0.63286506533854847</v>
      </c>
      <c r="H57" s="446">
        <f t="shared" si="20"/>
        <v>3.437036187161812E-11</v>
      </c>
      <c r="I57" s="296">
        <f>M.w2AP*Molweight</f>
        <v>8.2401955143209665E-3</v>
      </c>
      <c r="J57" s="446">
        <f t="shared" si="21"/>
        <v>6.9688594543826417E-13</v>
      </c>
      <c r="K57" s="296">
        <f>M.w2TP*Molweight</f>
        <v>1.3290821543171604E-2</v>
      </c>
      <c r="L57" s="461">
        <f t="shared" si="22"/>
        <v>3.0315962440233901E-13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233</v>
      </c>
      <c r="C59" s="295"/>
      <c r="D59" s="446"/>
      <c r="E59" s="296"/>
      <c r="F59" s="446"/>
      <c r="G59" s="296">
        <f>SUM(G60,G63:G65)</f>
        <v>13043338216.742502</v>
      </c>
      <c r="H59" s="446">
        <f t="shared" ref="H59:H65" si="23">G59/$G$103</f>
        <v>0.70837257272769127</v>
      </c>
      <c r="I59" s="296">
        <f>SUM(I60,I63:I65)</f>
        <v>8583048447.1400595</v>
      </c>
      <c r="J59" s="446">
        <f t="shared" ref="J59:J65" si="24">I59/$I$103</f>
        <v>0.72588154266877525</v>
      </c>
      <c r="K59" s="296">
        <f>SUM(K60,K63:K65)</f>
        <v>32277730055.755405</v>
      </c>
      <c r="L59" s="461">
        <f t="shared" ref="L59:L65" si="25">K59/$K$103</f>
        <v>0.73624527185757549</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140</v>
      </c>
      <c r="C60" s="295"/>
      <c r="D60" s="446"/>
      <c r="E60" s="296"/>
      <c r="F60" s="446"/>
      <c r="G60" s="296">
        <f>M.w3MD*Molweight</f>
        <v>13043338099.391693</v>
      </c>
      <c r="H60" s="446">
        <f t="shared" si="23"/>
        <v>0.70837256635446888</v>
      </c>
      <c r="I60" s="296">
        <f>M.w3AD*Molweight</f>
        <v>8583048413.4729137</v>
      </c>
      <c r="J60" s="446">
        <f t="shared" si="24"/>
        <v>0.72588153982149328</v>
      </c>
      <c r="K60" s="296">
        <f>M.w3TD*Molweight</f>
        <v>32277729988.60511</v>
      </c>
      <c r="L60" s="461">
        <f t="shared" si="25"/>
        <v>0.73624527032589748</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161</v>
      </c>
      <c r="C61" s="295"/>
      <c r="D61" s="446"/>
      <c r="E61" s="296"/>
      <c r="F61" s="446"/>
      <c r="G61" s="296">
        <f>FRw.w3M*G60</f>
        <v>8841622333.8835506</v>
      </c>
      <c r="H61" s="446">
        <f t="shared" si="23"/>
        <v>0.48018096714691288</v>
      </c>
      <c r="I61" s="296">
        <f>FRw.w3A*I60</f>
        <v>5818148081.9626312</v>
      </c>
      <c r="J61" s="446">
        <f t="shared" si="24"/>
        <v>0.49204968738323313</v>
      </c>
      <c r="K61" s="296">
        <f>FRw.w3T*K60</f>
        <v>21879943322.7621</v>
      </c>
      <c r="L61" s="461">
        <f t="shared" si="25"/>
        <v>0.49907489752436746</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163</v>
      </c>
      <c r="C62" s="295"/>
      <c r="D62" s="446"/>
      <c r="E62" s="296"/>
      <c r="F62" s="446"/>
      <c r="G62" s="296">
        <f>(1-FRw.w3M)*G60</f>
        <v>4201715765.5081425</v>
      </c>
      <c r="H62" s="446">
        <f t="shared" si="23"/>
        <v>0.22819159920755602</v>
      </c>
      <c r="I62" s="296">
        <f>(1-FRw.w3A)*I60</f>
        <v>2764900331.5102825</v>
      </c>
      <c r="J62" s="446">
        <f t="shared" si="24"/>
        <v>0.23383185243826013</v>
      </c>
      <c r="K62" s="296">
        <f>(1-FRw.w3T)*K60</f>
        <v>10397786665.843008</v>
      </c>
      <c r="L62" s="461">
        <f t="shared" si="25"/>
        <v>0.23717037280152997</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147</v>
      </c>
      <c r="C63" s="295"/>
      <c r="D63" s="446"/>
      <c r="E63" s="296"/>
      <c r="F63" s="446"/>
      <c r="G63" s="296">
        <f>M.w3MS*Molweight</f>
        <v>2.8195670761753062E-6</v>
      </c>
      <c r="H63" s="446">
        <f t="shared" si="23"/>
        <v>1.5312828284747269E-16</v>
      </c>
      <c r="I63" s="296">
        <f>M.w3AS*Molweight</f>
        <v>3.4757800986499968E-8</v>
      </c>
      <c r="J63" s="446">
        <f t="shared" si="24"/>
        <v>2.939520422753961E-18</v>
      </c>
      <c r="K63" s="296">
        <f>M.w3TS*Molweight</f>
        <v>5.0542242321483554E-8</v>
      </c>
      <c r="L63" s="461">
        <f t="shared" si="25"/>
        <v>1.1528532791492559E-18</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2">
      <c r="A64" s="17"/>
      <c r="B64" s="159" t="s">
        <v>150</v>
      </c>
      <c r="C64" s="295"/>
      <c r="D64" s="446"/>
      <c r="E64" s="296"/>
      <c r="F64" s="446"/>
      <c r="G64" s="296">
        <f>M.w3MA*Molweight</f>
        <v>117.32170815831999</v>
      </c>
      <c r="H64" s="446">
        <f t="shared" si="23"/>
        <v>6.3716418959556889E-9</v>
      </c>
      <c r="I64" s="296">
        <f>M.w3AA*Molweight</f>
        <v>33.666752434383227</v>
      </c>
      <c r="J64" s="446">
        <f t="shared" si="24"/>
        <v>2.8472487769611514E-9</v>
      </c>
      <c r="K64" s="296">
        <f>M.w3TA*Molweight</f>
        <v>67.149702612656895</v>
      </c>
      <c r="L64" s="461">
        <f t="shared" si="25"/>
        <v>1.5316644314768215E-9</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2">
      <c r="A65" s="17"/>
      <c r="B65" s="454" t="s">
        <v>152</v>
      </c>
      <c r="C65" s="295"/>
      <c r="D65" s="446"/>
      <c r="E65" s="296"/>
      <c r="F65" s="446"/>
      <c r="G65" s="296">
        <f>M.w3MP*Molweight</f>
        <v>2.9098076708799686E-2</v>
      </c>
      <c r="H65" s="446">
        <f t="shared" si="23"/>
        <v>1.5802917257165122E-12</v>
      </c>
      <c r="I65" s="296">
        <f>M.w3AP*Molweight</f>
        <v>3.9285813307134864E-4</v>
      </c>
      <c r="J65" s="446">
        <f t="shared" si="24"/>
        <v>3.3224613543784199E-14</v>
      </c>
      <c r="K65" s="296">
        <f>M.w3TP*Molweight</f>
        <v>5.897424697223735E-4</v>
      </c>
      <c r="L65" s="461">
        <f t="shared" si="25"/>
        <v>1.345184758025715E-14</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6088.0683598167625</v>
      </c>
      <c r="AI65" s="968" t="s">
        <v>4750</v>
      </c>
      <c r="AJ65" s="968">
        <f>AH35</f>
        <v>224.09794798563408</v>
      </c>
      <c r="AK65" s="968" t="s">
        <v>4750</v>
      </c>
      <c r="AL65" s="968">
        <f>AI35</f>
        <v>4.226789715355598E-6</v>
      </c>
      <c r="AM65" s="968" t="s">
        <v>4750</v>
      </c>
      <c r="AN65" s="969">
        <f>AJ35</f>
        <v>17.580102109050454</v>
      </c>
      <c r="AO65" s="11"/>
      <c r="AP65" s="11"/>
      <c r="AQ65" t="s">
        <v>4766</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27342.755103268799</v>
      </c>
      <c r="AI66" s="968" t="s">
        <v>4751</v>
      </c>
      <c r="AJ66" s="968">
        <f>AH36</f>
        <v>1193573.608516034</v>
      </c>
      <c r="AK66" s="968" t="s">
        <v>4751</v>
      </c>
      <c r="AL66" s="968">
        <f>AI36</f>
        <v>119909.55311835518</v>
      </c>
      <c r="AM66" s="968" t="s">
        <v>4751</v>
      </c>
      <c r="AN66" s="969">
        <f>AJ36</f>
        <v>55554.836489796617</v>
      </c>
      <c r="AO66" s="11"/>
      <c r="AP66" s="11"/>
      <c r="AQ66" s="977" t="s">
        <v>4747</v>
      </c>
      <c r="AR66" s="978"/>
      <c r="AS66" s="973" t="s">
        <v>136</v>
      </c>
      <c r="AT66" s="978"/>
      <c r="AU66" s="973" t="s">
        <v>4744</v>
      </c>
      <c r="AV66" s="978"/>
      <c r="AW66" s="973" t="s">
        <v>4745</v>
      </c>
      <c r="AX66" s="978"/>
      <c r="AY66" s="974" t="s">
        <v>4746</v>
      </c>
    </row>
    <row r="67" spans="1:51" ht="12.75" customHeight="1" x14ac:dyDescent="0.2">
      <c r="A67" s="17"/>
      <c r="B67" s="104" t="s">
        <v>236</v>
      </c>
      <c r="C67" s="295">
        <f>SUM(C68,C71:C73)</f>
        <v>9402467.5948513094</v>
      </c>
      <c r="D67" s="446">
        <f t="shared" ref="D67:D73" si="26">C67/$C$103</f>
        <v>3.6067112371838435E-4</v>
      </c>
      <c r="E67" s="295">
        <f>SUM(E68,E71:E73)</f>
        <v>383606129.28849655</v>
      </c>
      <c r="F67" s="446">
        <f t="shared" ref="F67:F73" si="27">E67/$E$103</f>
        <v>0.1791825091663431</v>
      </c>
      <c r="G67" s="296">
        <f>SUM(G68,G71:G73)</f>
        <v>4193472339.4608021</v>
      </c>
      <c r="H67" s="446">
        <f t="shared" ref="H67:H73" si="28">G67/$G$103</f>
        <v>0.22774390577047643</v>
      </c>
      <c r="I67" s="296">
        <f>SUM(I68,I71:I73)</f>
        <v>2759475820.8908558</v>
      </c>
      <c r="J67" s="446">
        <f t="shared" ref="J67:J73" si="29">I67/$I$103</f>
        <v>0.23337309327350619</v>
      </c>
      <c r="K67" s="296">
        <f>SUM(K68,K71:K73)</f>
        <v>10377387050.042461</v>
      </c>
      <c r="L67" s="461">
        <f t="shared" ref="L67:L73" si="30">K67/$K$103</f>
        <v>0.2367050637275982</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21.911276833047808</v>
      </c>
      <c r="AI67" s="970" t="s">
        <v>4752</v>
      </c>
      <c r="AJ67" s="970">
        <f>AH37</f>
        <v>7716.663390196034</v>
      </c>
      <c r="AK67" s="970" t="s">
        <v>4752</v>
      </c>
      <c r="AL67" s="970">
        <f>AI37</f>
        <v>466176.0442401474</v>
      </c>
      <c r="AM67" s="970" t="s">
        <v>4752</v>
      </c>
      <c r="AN67" s="971">
        <f>AJ37</f>
        <v>16495.388903676085</v>
      </c>
      <c r="AO67" s="11"/>
      <c r="AP67" s="11"/>
      <c r="AQ67" s="979"/>
      <c r="AR67" s="980" t="s">
        <v>4750</v>
      </c>
      <c r="AS67" s="968">
        <f>AG43</f>
        <v>39.456503082230284</v>
      </c>
      <c r="AT67" s="980" t="s">
        <v>4750</v>
      </c>
      <c r="AU67" s="968">
        <f>AH43</f>
        <v>3.5348375578065451E-2</v>
      </c>
      <c r="AV67" s="980" t="s">
        <v>4750</v>
      </c>
      <c r="AW67" s="968">
        <f>AI43</f>
        <v>3.6865647760774935E-17</v>
      </c>
      <c r="AX67" s="980" t="s">
        <v>4750</v>
      </c>
      <c r="AY67" s="969">
        <f>AJ43</f>
        <v>2.6971931226574615E-3</v>
      </c>
    </row>
    <row r="68" spans="1:51" ht="12.75" customHeight="1" x14ac:dyDescent="0.2">
      <c r="A68" s="17"/>
      <c r="B68" s="443" t="s">
        <v>140</v>
      </c>
      <c r="C68" s="295">
        <f>M.sd2RD*Molweight</f>
        <v>9402456.1597792841</v>
      </c>
      <c r="D68" s="446">
        <f t="shared" si="26"/>
        <v>3.606706850781832E-4</v>
      </c>
      <c r="E68" s="295">
        <f>M.sd2CD*Molweight</f>
        <v>383606128.85401869</v>
      </c>
      <c r="F68" s="446">
        <f t="shared" si="27"/>
        <v>0.17918250896339838</v>
      </c>
      <c r="G68" s="296">
        <f>M.sdMD*Molweight</f>
        <v>4193472339.4606152</v>
      </c>
      <c r="H68" s="446">
        <f t="shared" si="28"/>
        <v>0.22774390577046627</v>
      </c>
      <c r="I68" s="296">
        <f>M.sdAD*Molweight</f>
        <v>2759475820.8908086</v>
      </c>
      <c r="J68" s="446">
        <f t="shared" si="29"/>
        <v>0.2333730932735022</v>
      </c>
      <c r="K68" s="296">
        <f>M.sdTD*Molweight</f>
        <v>10377387050.042368</v>
      </c>
      <c r="L68" s="461">
        <f t="shared" si="30"/>
        <v>0.23670506372759606</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164538.76797755584</v>
      </c>
      <c r="AT68" s="980" t="s">
        <v>4751</v>
      </c>
      <c r="AU68" s="968">
        <f>AH44</f>
        <v>10723.748648511715</v>
      </c>
      <c r="AV68" s="980" t="s">
        <v>4751</v>
      </c>
      <c r="AW68" s="968">
        <f>AI44</f>
        <v>3.0210220421392361E-4</v>
      </c>
      <c r="AX68" s="980" t="s">
        <v>4751</v>
      </c>
      <c r="AY68" s="969">
        <f>AJ44</f>
        <v>6405.4421002153067</v>
      </c>
    </row>
    <row r="69" spans="1:51" ht="12.75" customHeight="1" x14ac:dyDescent="0.2">
      <c r="A69" s="17"/>
      <c r="B69" s="159" t="s">
        <v>178</v>
      </c>
      <c r="C69" s="295">
        <f>C68*FRACw.sdR</f>
        <v>7521964.9278234281</v>
      </c>
      <c r="D69" s="446">
        <f t="shared" si="26"/>
        <v>2.8853654806254662E-4</v>
      </c>
      <c r="E69" s="295">
        <f>E68*FRACw.sdC</f>
        <v>306884903.08321494</v>
      </c>
      <c r="F69" s="446">
        <f t="shared" si="27"/>
        <v>0.14334600717071871</v>
      </c>
      <c r="G69" s="296">
        <f>FRACw.sdM*G68</f>
        <v>3354777871.5684924</v>
      </c>
      <c r="H69" s="446">
        <f t="shared" si="28"/>
        <v>0.18219512461637305</v>
      </c>
      <c r="I69" s="296">
        <f>FRACw.sdA*I68</f>
        <v>2207580656.712647</v>
      </c>
      <c r="J69" s="446">
        <f t="shared" si="29"/>
        <v>0.18669847461880176</v>
      </c>
      <c r="K69" s="296">
        <f>FRACw.sdT*K68</f>
        <v>8301909640.0338945</v>
      </c>
      <c r="L69" s="461">
        <f t="shared" si="30"/>
        <v>0.18936405098207684</v>
      </c>
      <c r="M69" s="166"/>
      <c r="N69" s="156"/>
      <c r="O69" s="11"/>
      <c r="P69" s="979" t="s">
        <v>136</v>
      </c>
      <c r="Q69" s="968">
        <f>Q4</f>
        <v>33452.734739918604</v>
      </c>
      <c r="R69" s="979" t="s">
        <v>136</v>
      </c>
      <c r="S69" s="980">
        <f>R4</f>
        <v>123524.4925784465</v>
      </c>
      <c r="T69" s="979" t="s">
        <v>136</v>
      </c>
      <c r="U69" s="968">
        <f>S4</f>
        <v>164578.52730337816</v>
      </c>
      <c r="V69" s="11"/>
      <c r="W69" s="979" t="s">
        <v>243</v>
      </c>
      <c r="X69" s="968">
        <f>Q16</f>
        <v>6329.7464141382379</v>
      </c>
      <c r="Y69" s="979" t="s">
        <v>243</v>
      </c>
      <c r="Z69" s="968">
        <f>R16</f>
        <v>1258.302935617131</v>
      </c>
      <c r="AA69" s="979" t="s">
        <v>243</v>
      </c>
      <c r="AB69" s="968">
        <f>S16</f>
        <v>39.494548650931002</v>
      </c>
      <c r="AC69" s="11"/>
      <c r="AD69" s="11"/>
      <c r="AE69" s="11"/>
      <c r="AF69" s="11"/>
      <c r="AG69" s="11"/>
      <c r="AH69" s="11"/>
      <c r="AI69" s="11"/>
      <c r="AJ69" s="11"/>
      <c r="AK69" s="11"/>
      <c r="AL69" s="11"/>
      <c r="AM69" s="11"/>
      <c r="AN69" s="11"/>
      <c r="AO69" s="11"/>
      <c r="AP69" s="11"/>
      <c r="AQ69" s="981"/>
      <c r="AR69" s="982" t="s">
        <v>4752</v>
      </c>
      <c r="AS69" s="970">
        <f>AG45</f>
        <v>0.30282274004838539</v>
      </c>
      <c r="AT69" s="982" t="s">
        <v>4752</v>
      </c>
      <c r="AU69" s="970">
        <f>AH45</f>
        <v>0.68447675970763444</v>
      </c>
      <c r="AV69" s="982" t="s">
        <v>4752</v>
      </c>
      <c r="AW69" s="970">
        <f>AI45</f>
        <v>2.4970366273836314E-5</v>
      </c>
      <c r="AX69" s="982" t="s">
        <v>4752</v>
      </c>
      <c r="AY69" s="971">
        <f>AJ45</f>
        <v>5.128467892023898</v>
      </c>
    </row>
    <row r="70" spans="1:51" ht="12.75" customHeight="1" x14ac:dyDescent="0.2">
      <c r="A70" s="17"/>
      <c r="B70" s="159" t="s">
        <v>179</v>
      </c>
      <c r="C70" s="295">
        <f>C68*FRACs.sdR</f>
        <v>1880491.2319558563</v>
      </c>
      <c r="D70" s="446">
        <f t="shared" si="26"/>
        <v>7.2134137015636627E-5</v>
      </c>
      <c r="E70" s="295">
        <f>E68*FRACs.sdC</f>
        <v>76721225.77080372</v>
      </c>
      <c r="F70" s="446">
        <f t="shared" si="27"/>
        <v>3.5836501792679672E-2</v>
      </c>
      <c r="G70" s="296">
        <f>(1-FRACw.sdM)*G68</f>
        <v>838694467.89212286</v>
      </c>
      <c r="H70" s="446">
        <f t="shared" si="28"/>
        <v>4.5548781154093249E-2</v>
      </c>
      <c r="I70" s="296">
        <f>(1-FRACw.sdA)*I68</f>
        <v>551895164.17816162</v>
      </c>
      <c r="J70" s="446">
        <f t="shared" si="29"/>
        <v>4.6674618654700427E-2</v>
      </c>
      <c r="K70" s="296">
        <f>(1-FRACw.sdT)*K68</f>
        <v>2075477410.0084732</v>
      </c>
      <c r="L70" s="461">
        <f t="shared" si="30"/>
        <v>4.7341012745519204E-2</v>
      </c>
      <c r="M70" s="166"/>
      <c r="N70" s="156"/>
      <c r="O70" s="11"/>
      <c r="P70" s="979" t="s">
        <v>4744</v>
      </c>
      <c r="Q70" s="968">
        <f>Q5</f>
        <v>4045267.4283665479</v>
      </c>
      <c r="R70" s="979" t="s">
        <v>4744</v>
      </c>
      <c r="S70" s="968">
        <f>R5</f>
        <v>79774903.889732376</v>
      </c>
      <c r="T70" s="979" t="s">
        <v>4744</v>
      </c>
      <c r="U70" s="968">
        <f>S5</f>
        <v>55689538225.667175</v>
      </c>
      <c r="V70" s="11"/>
      <c r="W70" s="979" t="s">
        <v>244</v>
      </c>
      <c r="X70" s="968">
        <f>Q17</f>
        <v>1396380.7532274546</v>
      </c>
      <c r="Y70" s="979" t="s">
        <v>244</v>
      </c>
      <c r="Z70" s="968">
        <f>R17</f>
        <v>152674.94160263852</v>
      </c>
      <c r="AA70" s="979" t="s">
        <v>244</v>
      </c>
      <c r="AB70" s="968">
        <f>S17</f>
        <v>181667.95902838506</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147</v>
      </c>
      <c r="C71" s="295">
        <f>M.sd2RS*Molweight</f>
        <v>1.9979443628033892E-10</v>
      </c>
      <c r="D71" s="446">
        <f t="shared" si="26"/>
        <v>7.66395450119608E-21</v>
      </c>
      <c r="E71" s="295">
        <f>M.sd2CS*Molweight</f>
        <v>2.1935390156303997E-10</v>
      </c>
      <c r="F71" s="446">
        <f t="shared" si="27"/>
        <v>1.0246025669713191E-19</v>
      </c>
      <c r="G71" s="296">
        <f>M.sdMS*Molweight</f>
        <v>3.5776480837316561E-17</v>
      </c>
      <c r="H71" s="446">
        <f t="shared" si="28"/>
        <v>1.9429901573312236E-27</v>
      </c>
      <c r="I71" s="296">
        <f>M.sdAS*Molweight</f>
        <v>4.7060270387092892E-19</v>
      </c>
      <c r="J71" s="446">
        <f t="shared" si="29"/>
        <v>3.9799590876566844E-29</v>
      </c>
      <c r="K71" s="296">
        <f>M.sdTS*Molweight</f>
        <v>6.1856421958744799E-19</v>
      </c>
      <c r="L71" s="461">
        <f t="shared" si="30"/>
        <v>1.4109262987975361E-29</v>
      </c>
      <c r="M71" s="166"/>
      <c r="N71" s="156"/>
      <c r="O71" s="11"/>
      <c r="P71" s="979" t="s">
        <v>4745</v>
      </c>
      <c r="Q71" s="968">
        <f>Q6</f>
        <v>190571935.24840343</v>
      </c>
      <c r="R71" s="979" t="s">
        <v>4745</v>
      </c>
      <c r="S71" s="968">
        <f>R6</f>
        <v>392957008.46157879</v>
      </c>
      <c r="T71" s="979" t="s">
        <v>4745</v>
      </c>
      <c r="U71" s="968">
        <f>S6</f>
        <v>17330335210.394119</v>
      </c>
      <c r="V71" s="11"/>
      <c r="W71" s="981" t="s">
        <v>246</v>
      </c>
      <c r="X71" s="970">
        <f>Q18</f>
        <v>490410.00781085255</v>
      </c>
      <c r="Y71" s="981" t="s">
        <v>246</v>
      </c>
      <c r="Z71" s="970">
        <f>R18</f>
        <v>383.79215036550687</v>
      </c>
      <c r="AA71" s="981" t="s">
        <v>246</v>
      </c>
      <c r="AB71" s="970">
        <f>S18</f>
        <v>6.115792362146192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150</v>
      </c>
      <c r="C72" s="295">
        <f>M.sd2RA*Molweight</f>
        <v>2.7205139154636266</v>
      </c>
      <c r="D72" s="446">
        <f t="shared" si="26"/>
        <v>1.0435673413211958E-10</v>
      </c>
      <c r="E72" s="295">
        <f>M.sd2CA*Molweight</f>
        <v>0.17153713501410184</v>
      </c>
      <c r="F72" s="446">
        <f t="shared" si="27"/>
        <v>8.0125034300264638E-11</v>
      </c>
      <c r="G72" s="296">
        <f>M.sdMA*Molweight</f>
        <v>1.6248026175937289E-4</v>
      </c>
      <c r="H72" s="446">
        <f t="shared" si="28"/>
        <v>8.8241644222808763E-15</v>
      </c>
      <c r="I72" s="296">
        <f>M.sdAA*Molweight</f>
        <v>4.6625495259286532E-5</v>
      </c>
      <c r="J72" s="446">
        <f t="shared" si="29"/>
        <v>3.9431894897184068E-15</v>
      </c>
      <c r="K72" s="296">
        <f>M.sdTA*Molweight</f>
        <v>9.2996447195264166E-5</v>
      </c>
      <c r="L72" s="461">
        <f t="shared" si="30"/>
        <v>2.1212208674152858E-15</v>
      </c>
      <c r="M72" s="166"/>
      <c r="N72" s="156"/>
      <c r="O72" s="11"/>
      <c r="P72" s="981" t="s">
        <v>4746</v>
      </c>
      <c r="Q72" s="970">
        <f>Q7</f>
        <v>25874715524.823238</v>
      </c>
      <c r="R72" s="981" t="s">
        <v>4746</v>
      </c>
      <c r="S72" s="970">
        <f>R7</f>
        <v>1668012726.4229722</v>
      </c>
      <c r="T72" s="981" t="s">
        <v>4746</v>
      </c>
      <c r="U72" s="970">
        <f>S7</f>
        <v>1058378070.5789132</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152</v>
      </c>
      <c r="C73" s="295">
        <f>M.sd2RP*Molweight</f>
        <v>8.7145581101680296</v>
      </c>
      <c r="D73" s="446">
        <f t="shared" si="26"/>
        <v>3.3428346703631134E-10</v>
      </c>
      <c r="E73" s="295">
        <f>M.sd2CP*Molweight</f>
        <v>0.26294067688422013</v>
      </c>
      <c r="F73" s="446">
        <f t="shared" si="27"/>
        <v>1.2281964924126169E-10</v>
      </c>
      <c r="G73" s="296">
        <f>M.sdMP*Molweight</f>
        <v>2.4154696542862233E-5</v>
      </c>
      <c r="H73" s="446">
        <f t="shared" si="28"/>
        <v>1.3118209655531912E-15</v>
      </c>
      <c r="I73" s="296">
        <f>M.sdAP*Molweight</f>
        <v>3.2611670809061197E-7</v>
      </c>
      <c r="J73" s="446">
        <f t="shared" si="29"/>
        <v>2.7580189092111416E-17</v>
      </c>
      <c r="K73" s="296">
        <f>M.sdTP*Molweight</f>
        <v>4.8955302288346774E-7</v>
      </c>
      <c r="L73" s="461">
        <f t="shared" si="30"/>
        <v>1.1166556563889117E-17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238</v>
      </c>
      <c r="C75" s="295">
        <f>SUM(C76,C79:C81)</f>
        <v>350977901.32712376</v>
      </c>
      <c r="D75" s="446">
        <f t="shared" ref="D75:D81" si="31">C75/$C$103</f>
        <v>1.3463231092792275E-2</v>
      </c>
      <c r="E75" s="295">
        <f>SUM(E76,E79:E81)</f>
        <v>263577164.10325363</v>
      </c>
      <c r="F75" s="446">
        <f t="shared" ref="F75:F81" si="32">E75/$C$103</f>
        <v>1.0110608838012044E-2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140</v>
      </c>
      <c r="C76" s="295">
        <f>M.s1R*Molweight</f>
        <v>350975799.87526304</v>
      </c>
      <c r="D76" s="446">
        <f t="shared" si="31"/>
        <v>1.3463150482782573E-2</v>
      </c>
      <c r="E76" s="295">
        <f>M.s1C*Molweight</f>
        <v>263575585.95625389</v>
      </c>
      <c r="F76" s="446">
        <f t="shared" si="32"/>
        <v>1.0110548301557538E-2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239</v>
      </c>
      <c r="C77" s="295">
        <f>C76*FRwD.s1R</f>
        <v>2462.9707852945803</v>
      </c>
      <c r="D77" s="446">
        <f t="shared" si="31"/>
        <v>9.4477586001379434E-8</v>
      </c>
      <c r="E77" s="295">
        <f>E76*FRw.s1C</f>
        <v>1849.640254849116</v>
      </c>
      <c r="F77" s="446">
        <f t="shared" si="32"/>
        <v>7.095071825150377E-8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179</v>
      </c>
      <c r="C78" s="295">
        <f>C76*FRs.s1R</f>
        <v>350973336.90447772</v>
      </c>
      <c r="D78" s="446">
        <f t="shared" si="31"/>
        <v>1.346305600519657E-2</v>
      </c>
      <c r="E78" s="295">
        <f>E76*FRs.s1C</f>
        <v>263573736.315999</v>
      </c>
      <c r="F78" s="446">
        <f t="shared" si="32"/>
        <v>1.0110477350839284E-2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147</v>
      </c>
      <c r="C79" s="295">
        <f>M.s1RS*Molweight</f>
        <v>0.22541149436692257</v>
      </c>
      <c r="D79" s="446">
        <f t="shared" si="31"/>
        <v>8.6466043251110934E-12</v>
      </c>
      <c r="E79" s="295">
        <f>M.s1CS*Molweight</f>
        <v>2.2632026612081638E-2</v>
      </c>
      <c r="F79" s="446">
        <f t="shared" si="32"/>
        <v>8.6814640814860997E-13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150</v>
      </c>
      <c r="C80" s="295">
        <f>M.s1RA*Molweight</f>
        <v>1723.0938692500308</v>
      </c>
      <c r="D80" s="446">
        <f t="shared" si="31"/>
        <v>6.6096500288390034E-8</v>
      </c>
      <c r="E80" s="295">
        <f>M.s1CA*Molweight</f>
        <v>1536.9952425005397</v>
      </c>
      <c r="F80" s="446">
        <f t="shared" si="32"/>
        <v>5.895790606776846E-8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152</v>
      </c>
      <c r="C81" s="295">
        <f>M.s1RP*Molweight</f>
        <v>378.13258001030516</v>
      </c>
      <c r="D81" s="446">
        <f t="shared" si="31"/>
        <v>1.4504862810857195E-8</v>
      </c>
      <c r="E81" s="295">
        <f>M.s1CP*Molweight</f>
        <v>41.129125220791892</v>
      </c>
      <c r="F81" s="446">
        <f t="shared" si="32"/>
        <v>1.5776802909759713E-9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240</v>
      </c>
      <c r="C83" s="295">
        <f>SUM(C84,C87:C89)</f>
        <v>25393745881.688564</v>
      </c>
      <c r="D83" s="446">
        <f t="shared" ref="D83:D89" si="33">C83/$C$103</f>
        <v>0.97408374665209863</v>
      </c>
      <c r="E83" s="295">
        <f>SUM(E84,E87:E89)</f>
        <v>1306814397.8091362</v>
      </c>
      <c r="F83" s="446">
        <f t="shared" ref="F83:F89" si="34">E83/$C$103</f>
        <v>5.0128353285395028E-2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140</v>
      </c>
      <c r="C84" s="295">
        <f>M.s2R*Molweight</f>
        <v>25393676693.64999</v>
      </c>
      <c r="D84" s="446">
        <f t="shared" si="33"/>
        <v>0.97408109265437204</v>
      </c>
      <c r="E84" s="295">
        <f>M.s2C*Molweight</f>
        <v>1306810837.2503521</v>
      </c>
      <c r="F84" s="446">
        <f t="shared" si="34"/>
        <v>5.0128216705212773E-2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239</v>
      </c>
      <c r="C85" s="295">
        <f>C84*FRwD.s2R</f>
        <v>178199.9894291969</v>
      </c>
      <c r="D85" s="446">
        <f t="shared" si="33"/>
        <v>6.8356088213722845E-6</v>
      </c>
      <c r="E85" s="295">
        <f>E84*FRw.s2C</f>
        <v>9170.5380120164209</v>
      </c>
      <c r="F85" s="446">
        <f t="shared" si="34"/>
        <v>3.5177449074190897E-7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179</v>
      </c>
      <c r="C86" s="295">
        <f>C84*FRs.s2R</f>
        <v>25393498493.660557</v>
      </c>
      <c r="D86" s="446">
        <f t="shared" si="33"/>
        <v>0.97407425704555051</v>
      </c>
      <c r="E86" s="295">
        <f>E84*FRs.s2C</f>
        <v>1306801666.7123399</v>
      </c>
      <c r="F86" s="446">
        <f t="shared" si="34"/>
        <v>5.0127864930722028E-2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147</v>
      </c>
      <c r="C87" s="295">
        <f>M.s2RS*Molweight</f>
        <v>17.206290230674188</v>
      </c>
      <c r="D87" s="446">
        <f t="shared" si="33"/>
        <v>6.6001950763650113E-10</v>
      </c>
      <c r="E87" s="295">
        <f>M.s2CS*Molweight</f>
        <v>8.0461925673902202E-2</v>
      </c>
      <c r="F87" s="446">
        <f t="shared" si="34"/>
        <v>3.0864550030720265E-12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150</v>
      </c>
      <c r="C88" s="295">
        <f>M.s2RA*Molweight</f>
        <v>53193.60952577072</v>
      </c>
      <c r="D88" s="446">
        <f t="shared" si="33"/>
        <v>2.0404642428975134E-6</v>
      </c>
      <c r="E88" s="295">
        <f>M.s2CA*Molweight</f>
        <v>3469.0869413194155</v>
      </c>
      <c r="F88" s="446">
        <f t="shared" si="34"/>
        <v>1.3307139565017909E-7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2">
      <c r="A89" s="17"/>
      <c r="B89" s="159" t="s">
        <v>152</v>
      </c>
      <c r="C89" s="295">
        <f>M.s2RP*Molweight</f>
        <v>15977.222754910543</v>
      </c>
      <c r="D89" s="446">
        <f t="shared" si="33"/>
        <v>6.1287346399024247E-7</v>
      </c>
      <c r="E89" s="295">
        <f>M.s2CP*Molweight</f>
        <v>91.39138087035326</v>
      </c>
      <c r="F89" s="446">
        <f t="shared" si="34"/>
        <v>3.5057001477713075E-9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1256.9291759152388</v>
      </c>
      <c r="AI90" s="980" t="s">
        <v>4750</v>
      </c>
      <c r="AJ90" s="968">
        <f>AH39</f>
        <v>1.2557658801242957</v>
      </c>
      <c r="AK90" s="980" t="s">
        <v>4750</v>
      </c>
      <c r="AL90" s="968">
        <f>AI39</f>
        <v>1.7996319787907408E-9</v>
      </c>
      <c r="AM90" s="980" t="s">
        <v>4750</v>
      </c>
      <c r="AN90" s="969">
        <f>AJ39</f>
        <v>0.11799381996831002</v>
      </c>
    </row>
    <row r="91" spans="1:40" ht="12.75" customHeight="1" x14ac:dyDescent="0.2">
      <c r="A91" s="17"/>
      <c r="B91" s="104" t="s">
        <v>241</v>
      </c>
      <c r="C91" s="295">
        <f>SUM(C92,C95:C97)</f>
        <v>129991741.80754665</v>
      </c>
      <c r="D91" s="446">
        <f t="shared" ref="D91:D97" si="35">C91/$C$103</f>
        <v>4.9863790668644532E-3</v>
      </c>
      <c r="E91" s="295">
        <f>SUM(E92,E95:E97)</f>
        <v>97621164.510582536</v>
      </c>
      <c r="F91" s="446">
        <f t="shared" ref="F91:F97" si="36">E91/$C$103</f>
        <v>3.7446696569323154E-3</v>
      </c>
      <c r="G91" s="296">
        <f>SUM(G92,G95:G97)</f>
        <v>741426463.94036877</v>
      </c>
      <c r="H91" s="446">
        <f t="shared" ref="H91:H97" si="37">G91/$G$103</f>
        <v>4.0266238828007714E-2</v>
      </c>
      <c r="I91" s="296">
        <f>SUM(I92,I95:I97)</f>
        <v>133136260.43409361</v>
      </c>
      <c r="J91" s="446">
        <f t="shared" ref="J91:J97" si="38">I91/$I$103</f>
        <v>1.1259537296594581E-2</v>
      </c>
      <c r="K91" s="296">
        <f>SUM(K92,K95:K97)</f>
        <v>183815346.20445079</v>
      </c>
      <c r="L91" s="461">
        <f t="shared" ref="L91:L97" si="39">K91/$K$103</f>
        <v>4.1927725185172716E-3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122259.89672923597</v>
      </c>
      <c r="AI91" s="980" t="s">
        <v>4751</v>
      </c>
      <c r="AJ91" s="968">
        <f>AH40</f>
        <v>23488.119165694701</v>
      </c>
      <c r="AK91" s="980" t="s">
        <v>4751</v>
      </c>
      <c r="AL91" s="968">
        <f>AI40</f>
        <v>1351.5910287270297</v>
      </c>
      <c r="AM91" s="980" t="s">
        <v>4751</v>
      </c>
      <c r="AN91" s="969">
        <f>AJ40</f>
        <v>5575.3346789808638</v>
      </c>
    </row>
    <row r="92" spans="1:40" ht="12.75" customHeight="1" x14ac:dyDescent="0.2">
      <c r="A92" s="17"/>
      <c r="B92" s="443" t="s">
        <v>140</v>
      </c>
      <c r="C92" s="295">
        <f>M.s3R*Molweight</f>
        <v>129990963.49248274</v>
      </c>
      <c r="D92" s="446">
        <f t="shared" si="35"/>
        <v>4.9863492113221847E-3</v>
      </c>
      <c r="E92" s="295">
        <f>M.s3C*Molweight</f>
        <v>97620580.011737928</v>
      </c>
      <c r="F92" s="446">
        <f t="shared" si="36"/>
        <v>3.7446472360249347E-3</v>
      </c>
      <c r="G92" s="296">
        <f>M.sMD*Molweight</f>
        <v>741422024.70924795</v>
      </c>
      <c r="H92" s="446">
        <f t="shared" si="37"/>
        <v>4.0265997737152157E-2</v>
      </c>
      <c r="I92" s="296">
        <f>M.sAD*Molweight</f>
        <v>133135550.84346941</v>
      </c>
      <c r="J92" s="446">
        <f t="shared" si="38"/>
        <v>1.1259477285429535E-2</v>
      </c>
      <c r="K92" s="296">
        <f>M.sTD*Molweight</f>
        <v>183814084.45293042</v>
      </c>
      <c r="L92" s="461">
        <f t="shared" si="39"/>
        <v>4.1927437383462518E-3</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7.6666732952935508</v>
      </c>
      <c r="AI92" s="982" t="s">
        <v>4752</v>
      </c>
      <c r="AJ92" s="970">
        <f>AH41</f>
        <v>25.41512758451335</v>
      </c>
      <c r="AK92" s="982" t="s">
        <v>4752</v>
      </c>
      <c r="AL92" s="970">
        <f>AI41</f>
        <v>202.95839381183973</v>
      </c>
      <c r="AM92" s="982" t="s">
        <v>4752</v>
      </c>
      <c r="AN92" s="971">
        <f>AJ41</f>
        <v>147.75195567386024</v>
      </c>
    </row>
    <row r="93" spans="1:40" ht="12.75" customHeight="1" x14ac:dyDescent="0.2">
      <c r="A93" s="17"/>
      <c r="B93" s="159" t="s">
        <v>239</v>
      </c>
      <c r="C93" s="295">
        <f>C92*FRwD.s3R</f>
        <v>912.21088618664237</v>
      </c>
      <c r="D93" s="446">
        <f t="shared" si="35"/>
        <v>3.4991678734340001E-8</v>
      </c>
      <c r="E93" s="295">
        <f>E92*FRw.s3C</f>
        <v>685.05189445504186</v>
      </c>
      <c r="F93" s="446">
        <f t="shared" si="36"/>
        <v>2.6278041810407886E-8</v>
      </c>
      <c r="G93" s="296">
        <f>FRw.sM*G92</f>
        <v>5202.9250651521597</v>
      </c>
      <c r="H93" s="446">
        <f t="shared" si="37"/>
        <v>2.8256642225073616E-7</v>
      </c>
      <c r="I93" s="296">
        <f>FRw.sA*I92</f>
        <v>934.27801098567306</v>
      </c>
      <c r="J93" s="446">
        <f t="shared" si="38"/>
        <v>7.9013321207777732E-8</v>
      </c>
      <c r="K93" s="296">
        <f>FRw.sT*K92</f>
        <v>1289.9143476391773</v>
      </c>
      <c r="L93" s="461">
        <f t="shared" si="39"/>
        <v>2.9422556602032627E-8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179</v>
      </c>
      <c r="C94" s="295">
        <f>C92*FRs.s3R</f>
        <v>129990051.28159654</v>
      </c>
      <c r="D94" s="446">
        <f t="shared" si="35"/>
        <v>4.9863142196434496E-3</v>
      </c>
      <c r="E94" s="295">
        <f>E92*FRs.s3C</f>
        <v>97619894.959843457</v>
      </c>
      <c r="F94" s="446">
        <f t="shared" si="36"/>
        <v>3.7446209579831235E-3</v>
      </c>
      <c r="G94" s="296">
        <f>(1-FRw.sM)*G92</f>
        <v>741416821.78418279</v>
      </c>
      <c r="H94" s="446">
        <f t="shared" si="37"/>
        <v>4.0265715170729903E-2</v>
      </c>
      <c r="I94" s="296">
        <f>(1-FRw.sA)*I92</f>
        <v>133134616.56545843</v>
      </c>
      <c r="J94" s="446">
        <f t="shared" si="38"/>
        <v>1.1259398272108328E-2</v>
      </c>
      <c r="K94" s="296">
        <f>(1-FRw.sT)*K92</f>
        <v>183812794.53858277</v>
      </c>
      <c r="L94" s="461">
        <f t="shared" si="39"/>
        <v>4.1927143157896498E-3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147</v>
      </c>
      <c r="C95" s="295">
        <f>M.s3RS*Molweight</f>
        <v>0.14840038400934188</v>
      </c>
      <c r="D95" s="446">
        <f t="shared" si="35"/>
        <v>5.6925198327934808E-12</v>
      </c>
      <c r="E95" s="295">
        <f>M.s3CS*Molweight</f>
        <v>1.4899867682326186E-2</v>
      </c>
      <c r="F95" s="446">
        <f t="shared" si="36"/>
        <v>5.7154698657855977E-13</v>
      </c>
      <c r="G95" s="296">
        <f>M.sMS*Molweight</f>
        <v>2.6553665155046053E-3</v>
      </c>
      <c r="H95" s="446">
        <f t="shared" si="37"/>
        <v>1.4421069045871357E-13</v>
      </c>
      <c r="I95" s="296">
        <f>M.sAS*Molweight</f>
        <v>1.7850272910450878E-5</v>
      </c>
      <c r="J95" s="446">
        <f t="shared" si="38"/>
        <v>1.5096248980878315E-15</v>
      </c>
      <c r="K95" s="296">
        <f>M.sTS*Molweight</f>
        <v>2.3976334242405372E-5</v>
      </c>
      <c r="L95" s="461">
        <f t="shared" si="39"/>
        <v>5.4689294110693659E-16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150</v>
      </c>
      <c r="C96" s="295">
        <f>M.s3RA*Molweight</f>
        <v>638.13309477587143</v>
      </c>
      <c r="D96" s="446">
        <f t="shared" si="35"/>
        <v>2.4478274245872953E-8</v>
      </c>
      <c r="E96" s="295">
        <f>M.s3CA*Molweight</f>
        <v>569.2524951609081</v>
      </c>
      <c r="F96" s="446">
        <f t="shared" si="36"/>
        <v>2.1836069631508865E-8</v>
      </c>
      <c r="G96" s="296">
        <f>M.sMA*Molweight</f>
        <v>4434.1810359651017</v>
      </c>
      <c r="H96" s="446">
        <f t="shared" si="37"/>
        <v>2.4081658975576252E-7</v>
      </c>
      <c r="I96" s="296">
        <f>M.sAA*Molweight</f>
        <v>709.55734032996668</v>
      </c>
      <c r="J96" s="446">
        <f t="shared" si="38"/>
        <v>6.000835017799413E-8</v>
      </c>
      <c r="K96" s="296">
        <f>M.sTA*Molweight</f>
        <v>1261.703723920238</v>
      </c>
      <c r="L96" s="461">
        <f t="shared" si="39"/>
        <v>2.8779080797093898E-8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152</v>
      </c>
      <c r="C97" s="295">
        <f>M.s3RP*Molweight</f>
        <v>140.03356875523588</v>
      </c>
      <c r="D97" s="446">
        <f t="shared" si="35"/>
        <v>5.3715755031054978E-9</v>
      </c>
      <c r="E97" s="295">
        <f>M.s3CP*Molweight</f>
        <v>15.231449582715106</v>
      </c>
      <c r="F97" s="446">
        <f t="shared" si="36"/>
        <v>5.8426620261536231E-10</v>
      </c>
      <c r="G97" s="296">
        <f>M.sMP*Molweight</f>
        <v>5.047429399511512</v>
      </c>
      <c r="H97" s="446">
        <f t="shared" si="37"/>
        <v>2.7412158528587983E-10</v>
      </c>
      <c r="I97" s="296">
        <f>M.sAP*Molweight</f>
        <v>3.3266018955296205E-2</v>
      </c>
      <c r="J97" s="446">
        <f t="shared" si="38"/>
        <v>2.813358133352395E-12</v>
      </c>
      <c r="K97" s="296">
        <f>M.sTP*Molweight</f>
        <v>4.7772473557089593E-2</v>
      </c>
      <c r="L97" s="461">
        <f t="shared" si="39"/>
        <v>1.089675690347275E-12</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242</v>
      </c>
      <c r="C99" s="124">
        <f>SUM(C12,C20,C28,C36,C44,C52,C68,C76,C84,C92)</f>
        <v>26067473059.727287</v>
      </c>
      <c r="D99" s="446">
        <f>C99/$C$103</f>
        <v>0.99992738141409476</v>
      </c>
      <c r="E99" s="124">
        <f>SUM(E12,E20,E28,E36,E44,E52,E68,E76,E84,E92)</f>
        <v>2140713846.2301731</v>
      </c>
      <c r="F99" s="446">
        <f>E99/$E$103</f>
        <v>0.99992791847749607</v>
      </c>
      <c r="G99" s="124">
        <f>SUM(G12,G52,G60,G68,G92)</f>
        <v>18412995514.634041</v>
      </c>
      <c r="H99" s="446">
        <f>G99/$G$103</f>
        <v>0.99999408031774806</v>
      </c>
      <c r="I99" s="124">
        <f>SUM(I12,I52,I60,I68,I92)</f>
        <v>11824284110.848379</v>
      </c>
      <c r="J99" s="446">
        <f>I99/$I$103</f>
        <v>0.99999780313443809</v>
      </c>
      <c r="K99" s="124">
        <f>SUM(K12,K52,K60,K68,K92)</f>
        <v>43840954746.115715</v>
      </c>
      <c r="L99" s="461">
        <f>K99/$K$103</f>
        <v>0.99999893393352879</v>
      </c>
      <c r="M99" s="166"/>
      <c r="N99" s="156"/>
    </row>
    <row r="100" spans="1:14" ht="12.75" customHeight="1" x14ac:dyDescent="0.2">
      <c r="A100" s="304"/>
      <c r="B100" s="455" t="s">
        <v>243</v>
      </c>
      <c r="C100" s="459">
        <f>SUM(C15,C23,C31,C39,C47,C55,C71,C79,C87,C95)</f>
        <v>6329.7464141382379</v>
      </c>
      <c r="D100" s="446">
        <f>C100/$C$103</f>
        <v>2.4280400107837383E-7</v>
      </c>
      <c r="E100" s="459">
        <f>SUM(E15,E23,E31,E39,E47,E55,E71,E79,E87,E95)</f>
        <v>1258.302935617131</v>
      </c>
      <c r="F100" s="446">
        <f>E100/$E$103</f>
        <v>5.8775358389982373E-7</v>
      </c>
      <c r="G100" s="459">
        <f>SUM(G15,G55,G71,G63,G95)</f>
        <v>38.595941045063171</v>
      </c>
      <c r="H100" s="446">
        <f>G100/$G$103</f>
        <v>2.0961126362454916E-9</v>
      </c>
      <c r="I100" s="459">
        <f>SUM(I15,I55,I71,I63,I95)</f>
        <v>0.34151502563731573</v>
      </c>
      <c r="J100" s="446">
        <f>I100/$I$103</f>
        <v>2.8882448372615581E-11</v>
      </c>
      <c r="K100" s="459">
        <f>SUM(K15,K55,K71,K63,K95)</f>
        <v>0.55709258023051866</v>
      </c>
      <c r="L100" s="461">
        <f>K100/$K$103</f>
        <v>1.2707113464087038E-11</v>
      </c>
      <c r="M100" s="166"/>
      <c r="N100" s="156"/>
    </row>
    <row r="101" spans="1:14" ht="12.75" customHeight="1" x14ac:dyDescent="0.2">
      <c r="A101" s="304"/>
      <c r="B101" s="456" t="s">
        <v>244</v>
      </c>
      <c r="C101" s="459">
        <f>SUM(C16,C24,C32,C40,C48,C56,C72,C80,C88,C96)</f>
        <v>1396380.7532274546</v>
      </c>
      <c r="D101" s="446">
        <f>C101/$C$103</f>
        <v>5.3564046919029504E-5</v>
      </c>
      <c r="E101" s="459">
        <f>SUM(E16,E24,E32,E40,E48,E56,E72,E80,E88,E96)</f>
        <v>152674.94160263852</v>
      </c>
      <c r="F101" s="446">
        <f>E101/$E$103</f>
        <v>7.1314499520448715E-5</v>
      </c>
      <c r="G101" s="459">
        <f>SUM(G16,G56,G64,G72,G96)</f>
        <v>108955.1298198697</v>
      </c>
      <c r="H101" s="446">
        <f>G101/$G$103</f>
        <v>5.9172601629934699E-6</v>
      </c>
      <c r="I101" s="459">
        <f>SUM(I16,I56,I64,I72,I96)</f>
        <v>25976.028860473736</v>
      </c>
      <c r="J101" s="446">
        <f>I101/$I$103</f>
        <v>2.1968325144351381E-6</v>
      </c>
      <c r="K101" s="459">
        <f>SUM(K16,K56,K64,K72,K96)</f>
        <v>46736.800348041623</v>
      </c>
      <c r="L101" s="461">
        <f>K101/$K$103</f>
        <v>1.0660522973133163E-6</v>
      </c>
      <c r="M101" s="166"/>
      <c r="N101" s="156"/>
    </row>
    <row r="102" spans="1:14" ht="12.75" customHeight="1" x14ac:dyDescent="0.2">
      <c r="A102" s="304"/>
      <c r="B102" s="456" t="s">
        <v>246</v>
      </c>
      <c r="C102" s="459">
        <f>SUM(C17,C25,C33,C41,C49,C57,C73,C81,C89,C97)</f>
        <v>490410.00781085255</v>
      </c>
      <c r="D102" s="446">
        <f>C102/$C$103</f>
        <v>1.881173498505197E-5</v>
      </c>
      <c r="E102" s="459">
        <f>SUM(E17,E25,E33,E41,E49,E57,E73,E81,E89,E97)</f>
        <v>383.79215036550687</v>
      </c>
      <c r="F102" s="446">
        <f>E102/$E$103</f>
        <v>1.7926939965320355E-7</v>
      </c>
      <c r="G102" s="459">
        <f>SUM(G17,G57,G65,G73,G97)</f>
        <v>6.0022355522398625</v>
      </c>
      <c r="H102" s="446">
        <f>G102/$G$103</f>
        <v>3.2597629300144244E-10</v>
      </c>
      <c r="I102" s="459">
        <f>SUM(I17,I57,I65,I73,I97)</f>
        <v>4.9249190938222866E-2</v>
      </c>
      <c r="J102" s="446">
        <f>I102/$I$103</f>
        <v>4.1650794485889405E-12</v>
      </c>
      <c r="K102" s="459">
        <f>SUM(K17,K57,K65,K73,K97)</f>
        <v>6.4307618968106398E-2</v>
      </c>
      <c r="L102" s="461">
        <f>K102/$K$103</f>
        <v>1.466837362103926E-12</v>
      </c>
      <c r="M102" s="166"/>
      <c r="N102" s="156"/>
    </row>
    <row r="103" spans="1:14" ht="12.75" customHeight="1" thickBot="1" x14ac:dyDescent="0.25">
      <c r="A103" s="304"/>
      <c r="B103" s="482" t="s">
        <v>247</v>
      </c>
      <c r="C103" s="485">
        <f>SUM(C99:C102)</f>
        <v>26069366180.234741</v>
      </c>
      <c r="D103" s="485"/>
      <c r="E103" s="485">
        <f>SUM(E99:E102)</f>
        <v>2140868163.2668617</v>
      </c>
      <c r="F103" s="485"/>
      <c r="G103" s="485">
        <f>SUM(G99:G102)</f>
        <v>18413104514.362038</v>
      </c>
      <c r="H103" s="485"/>
      <c r="I103" s="485">
        <f>SUM(I99:I102)</f>
        <v>11824310087.268003</v>
      </c>
      <c r="J103" s="485"/>
      <c r="K103" s="485">
        <f>SUM(K99:K102)</f>
        <v>43841001483.53746</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2024-04-24T15:00:56Z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